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externalLinks/externalLink19.xml" ContentType="application/vnd.openxmlformats-officedocument.spreadsheetml.externalLink+xml"/>
  <Override PartName="/xl/externalLinks/externalLink20.xml" ContentType="application/vnd.openxmlformats-officedocument.spreadsheetml.externalLink+xml"/>
  <Override PartName="/xl/externalLinks/externalLink21.xml" ContentType="application/vnd.openxmlformats-officedocument.spreadsheetml.externalLink+xml"/>
  <Override PartName="/xl/externalLinks/externalLink22.xml" ContentType="application/vnd.openxmlformats-officedocument.spreadsheetml.externalLink+xml"/>
  <Override PartName="/xl/externalLinks/externalLink23.xml" ContentType="application/vnd.openxmlformats-officedocument.spreadsheetml.externalLink+xml"/>
  <Override PartName="/xl/externalLinks/externalLink24.xml" ContentType="application/vnd.openxmlformats-officedocument.spreadsheetml.externalLink+xml"/>
  <Override PartName="/xl/externalLinks/externalLink25.xml" ContentType="application/vnd.openxmlformats-officedocument.spreadsheetml.externalLink+xml"/>
  <Override PartName="/xl/externalLinks/externalLink26.xml" ContentType="application/vnd.openxmlformats-officedocument.spreadsheetml.externalLink+xml"/>
  <Override PartName="/xl/externalLinks/externalLink27.xml" ContentType="application/vnd.openxmlformats-officedocument.spreadsheetml.externalLink+xml"/>
  <Override PartName="/xl/externalLinks/externalLink28.xml" ContentType="application/vnd.openxmlformats-officedocument.spreadsheetml.externalLink+xml"/>
  <Override PartName="/xl/externalLinks/externalLink29.xml" ContentType="application/vnd.openxmlformats-officedocument.spreadsheetml.externalLink+xml"/>
  <Override PartName="/xl/externalLinks/externalLink30.xml" ContentType="application/vnd.openxmlformats-officedocument.spreadsheetml.externalLink+xml"/>
  <Override PartName="/xl/externalLinks/externalLink31.xml" ContentType="application/vnd.openxmlformats-officedocument.spreadsheetml.externalLink+xml"/>
  <Override PartName="/xl/externalLinks/externalLink32.xml" ContentType="application/vnd.openxmlformats-officedocument.spreadsheetml.externalLink+xml"/>
  <Override PartName="/xl/externalLinks/externalLink33.xml" ContentType="application/vnd.openxmlformats-officedocument.spreadsheetml.externalLink+xml"/>
  <Override PartName="/xl/externalLinks/externalLink34.xml" ContentType="application/vnd.openxmlformats-officedocument.spreadsheetml.externalLink+xml"/>
  <Override PartName="/xl/externalLinks/externalLink35.xml" ContentType="application/vnd.openxmlformats-officedocument.spreadsheetml.externalLink+xml"/>
  <Override PartName="/xl/externalLinks/externalLink36.xml" ContentType="application/vnd.openxmlformats-officedocument.spreadsheetml.externalLink+xml"/>
  <Override PartName="/xl/externalLinks/externalLink37.xml" ContentType="application/vnd.openxmlformats-officedocument.spreadsheetml.externalLink+xml"/>
  <Override PartName="/xl/externalLinks/externalLink38.xml" ContentType="application/vnd.openxmlformats-officedocument.spreadsheetml.externalLink+xml"/>
  <Override PartName="/xl/externalLinks/externalLink39.xml" ContentType="application/vnd.openxmlformats-officedocument.spreadsheetml.externalLink+xml"/>
  <Override PartName="/xl/externalLinks/externalLink40.xml" ContentType="application/vnd.openxmlformats-officedocument.spreadsheetml.externalLink+xml"/>
  <Override PartName="/xl/externalLinks/externalLink41.xml" ContentType="application/vnd.openxmlformats-officedocument.spreadsheetml.externalLink+xml"/>
  <Override PartName="/xl/externalLinks/externalLink42.xml" ContentType="application/vnd.openxmlformats-officedocument.spreadsheetml.externalLink+xml"/>
  <Override PartName="/xl/externalLinks/externalLink43.xml" ContentType="application/vnd.openxmlformats-officedocument.spreadsheetml.externalLink+xml"/>
  <Override PartName="/xl/externalLinks/externalLink44.xml" ContentType="application/vnd.openxmlformats-officedocument.spreadsheetml.externalLink+xml"/>
  <Override PartName="/xl/externalLinks/externalLink45.xml" ContentType="application/vnd.openxmlformats-officedocument.spreadsheetml.externalLink+xml"/>
  <Override PartName="/xl/externalLinks/externalLink46.xml" ContentType="application/vnd.openxmlformats-officedocument.spreadsheetml.externalLink+xml"/>
  <Override PartName="/xl/externalLinks/externalLink47.xml" ContentType="application/vnd.openxmlformats-officedocument.spreadsheetml.externalLink+xml"/>
  <Override PartName="/xl/externalLinks/externalLink48.xml" ContentType="application/vnd.openxmlformats-officedocument.spreadsheetml.externalLink+xml"/>
  <Override PartName="/xl/externalLinks/externalLink49.xml" ContentType="application/vnd.openxmlformats-officedocument.spreadsheetml.externalLink+xml"/>
  <Override PartName="/xl/externalLinks/externalLink50.xml" ContentType="application/vnd.openxmlformats-officedocument.spreadsheetml.externalLink+xml"/>
  <Override PartName="/xl/externalLinks/externalLink51.xml" ContentType="application/vnd.openxmlformats-officedocument.spreadsheetml.externalLink+xml"/>
  <Override PartName="/xl/externalLinks/externalLink52.xml" ContentType="application/vnd.openxmlformats-officedocument.spreadsheetml.externalLink+xml"/>
  <Override PartName="/xl/externalLinks/externalLink53.xml" ContentType="application/vnd.openxmlformats-officedocument.spreadsheetml.externalLink+xml"/>
  <Override PartName="/xl/externalLinks/externalLink54.xml" ContentType="application/vnd.openxmlformats-officedocument.spreadsheetml.externalLink+xml"/>
  <Override PartName="/xl/externalLinks/externalLink55.xml" ContentType="application/vnd.openxmlformats-officedocument.spreadsheetml.externalLink+xml"/>
  <Override PartName="/xl/externalLinks/externalLink56.xml" ContentType="application/vnd.openxmlformats-officedocument.spreadsheetml.externalLink+xml"/>
  <Override PartName="/xl/externalLinks/externalLink57.xml" ContentType="application/vnd.openxmlformats-officedocument.spreadsheetml.externalLink+xml"/>
  <Override PartName="/xl/externalLinks/externalLink58.xml" ContentType="application/vnd.openxmlformats-officedocument.spreadsheetml.externalLink+xml"/>
  <Override PartName="/xl/externalLinks/externalLink59.xml" ContentType="application/vnd.openxmlformats-officedocument.spreadsheetml.externalLink+xml"/>
  <Override PartName="/xl/externalLinks/externalLink60.xml" ContentType="application/vnd.openxmlformats-officedocument.spreadsheetml.externalLink+xml"/>
  <Override PartName="/xl/externalLinks/externalLink61.xml" ContentType="application/vnd.openxmlformats-officedocument.spreadsheetml.externalLink+xml"/>
  <Override PartName="/xl/externalLinks/externalLink62.xml" ContentType="application/vnd.openxmlformats-officedocument.spreadsheetml.externalLink+xml"/>
  <Override PartName="/xl/externalLinks/externalLink63.xml" ContentType="application/vnd.openxmlformats-officedocument.spreadsheetml.externalLink+xml"/>
  <Override PartName="/xl/externalLinks/externalLink64.xml" ContentType="application/vnd.openxmlformats-officedocument.spreadsheetml.externalLink+xml"/>
  <Override PartName="/xl/externalLinks/externalLink65.xml" ContentType="application/vnd.openxmlformats-officedocument.spreadsheetml.externalLink+xml"/>
  <Override PartName="/xl/externalLinks/externalLink66.xml" ContentType="application/vnd.openxmlformats-officedocument.spreadsheetml.externalLink+xml"/>
  <Override PartName="/xl/externalLinks/externalLink67.xml" ContentType="application/vnd.openxmlformats-officedocument.spreadsheetml.externalLink+xml"/>
  <Override PartName="/xl/externalLinks/externalLink68.xml" ContentType="application/vnd.openxmlformats-officedocument.spreadsheetml.externalLink+xml"/>
  <Override PartName="/xl/externalLinks/externalLink69.xml" ContentType="application/vnd.openxmlformats-officedocument.spreadsheetml.externalLink+xml"/>
  <Override PartName="/xl/externalLinks/externalLink70.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omments1.xml" ContentType="application/vnd.openxmlformats-officedocument.spreadsheetml.comment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130" codeName="{AE6600E7-7A62-396C-DE95-9942FA9DD81E}"/>
  <workbookPr updateLinks="never" codeName="현재_통합_문서"/>
  <mc:AlternateContent xmlns:mc="http://schemas.openxmlformats.org/markup-compatibility/2006">
    <mc:Choice Requires="x15">
      <x15ac:absPath xmlns:x15ac="http://schemas.microsoft.com/office/spreadsheetml/2010/11/ac" url="C:\Users\spoons02\Desktop\엑셀 수지\도면\"/>
    </mc:Choice>
  </mc:AlternateContent>
  <xr:revisionPtr revIDLastSave="0" documentId="8_{BE46051C-8086-41F6-A21C-4B7F0A951EC7}" xr6:coauthVersionLast="47" xr6:coauthVersionMax="47" xr10:uidLastSave="{00000000-0000-0000-0000-000000000000}"/>
  <bookViews>
    <workbookView xWindow="-108" yWindow="-108" windowWidth="23256" windowHeight="12576" tabRatio="778" xr2:uid="{00000000-000D-0000-FFFF-FFFF00000000}"/>
  </bookViews>
  <sheets>
    <sheet name="총괄장" sheetId="24" r:id="rId1"/>
    <sheet name="분양개요" sheetId="23" r:id="rId2"/>
    <sheet name="매입세율" sheetId="32" state="hidden" r:id="rId3"/>
    <sheet name="Equity" sheetId="20" r:id="rId4"/>
    <sheet name="비용집행계획" sheetId="29" r:id="rId5"/>
    <sheet name="사업수지표 " sheetId="25" r:id="rId6"/>
    <sheet name="CF분석" sheetId="28" r:id="rId7"/>
    <sheet name="PF 계산" sheetId="33" r:id="rId8"/>
    <sheet name="민감도분석" sheetId="9" r:id="rId9"/>
    <sheet name="책임준공 위험액" sheetId="10" state="hidden" r:id="rId10"/>
    <sheet name="공정율산정" sheetId="19" r:id="rId11"/>
    <sheet name="간접공사비" sheetId="15" state="hidden" r:id="rId12"/>
    <sheet name="각종부담금" sheetId="16" state="hidden" r:id="rId13"/>
    <sheet name="외주용역비" sheetId="17" state="hidden" r:id="rId14"/>
    <sheet name="기타비용" sheetId="18" state="hidden" r:id="rId15"/>
    <sheet name="부가세" sheetId="14" state="hidden" r:id="rId16"/>
    <sheet name="세금관련" sheetId="31" r:id="rId17"/>
    <sheet name="신탁사책준위험액계산" sheetId="35" r:id="rId18"/>
    <sheet name="분양가적정성" sheetId="11" state="hidden" r:id="rId19"/>
  </sheets>
  <externalReferences>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 r:id="rId35"/>
    <externalReference r:id="rId36"/>
    <externalReference r:id="rId37"/>
    <externalReference r:id="rId38"/>
    <externalReference r:id="rId39"/>
    <externalReference r:id="rId40"/>
    <externalReference r:id="rId41"/>
    <externalReference r:id="rId42"/>
    <externalReference r:id="rId43"/>
    <externalReference r:id="rId44"/>
    <externalReference r:id="rId45"/>
    <externalReference r:id="rId46"/>
    <externalReference r:id="rId47"/>
    <externalReference r:id="rId48"/>
    <externalReference r:id="rId49"/>
    <externalReference r:id="rId50"/>
    <externalReference r:id="rId51"/>
    <externalReference r:id="rId52"/>
    <externalReference r:id="rId53"/>
    <externalReference r:id="rId54"/>
    <externalReference r:id="rId55"/>
    <externalReference r:id="rId56"/>
    <externalReference r:id="rId57"/>
    <externalReference r:id="rId58"/>
    <externalReference r:id="rId59"/>
    <externalReference r:id="rId60"/>
    <externalReference r:id="rId61"/>
    <externalReference r:id="rId62"/>
    <externalReference r:id="rId63"/>
    <externalReference r:id="rId64"/>
    <externalReference r:id="rId65"/>
    <externalReference r:id="rId66"/>
    <externalReference r:id="rId67"/>
    <externalReference r:id="rId68"/>
    <externalReference r:id="rId69"/>
    <externalReference r:id="rId70"/>
    <externalReference r:id="rId71"/>
    <externalReference r:id="rId72"/>
    <externalReference r:id="rId73"/>
    <externalReference r:id="rId74"/>
    <externalReference r:id="rId75"/>
    <externalReference r:id="rId76"/>
    <externalReference r:id="rId77"/>
    <externalReference r:id="rId78"/>
    <externalReference r:id="rId79"/>
    <externalReference r:id="rId80"/>
    <externalReference r:id="rId81"/>
    <externalReference r:id="rId82"/>
    <externalReference r:id="rId83"/>
    <externalReference r:id="rId84"/>
    <externalReference r:id="rId85"/>
    <externalReference r:id="rId86"/>
    <externalReference r:id="rId87"/>
    <externalReference r:id="rId88"/>
    <externalReference r:id="rId89"/>
  </externalReferences>
  <definedNames>
    <definedName name="__" localSheetId="4" hidden="1">'[1]TOWER 10TON'!#REF!</definedName>
    <definedName name="__" localSheetId="16" hidden="1">'[1]TOWER 10TON'!#REF!</definedName>
    <definedName name="__" hidden="1">'[1]TOWER 10TON'!#REF!</definedName>
    <definedName name="_______IRR2" hidden="1">[2]공정!$AH$25:$AH$37</definedName>
    <definedName name="______IRR2" hidden="1">[2]공정!$AH$25:$AH$37</definedName>
    <definedName name="_____IRR2" hidden="1">[3]공정!$AH$25:$AH$37</definedName>
    <definedName name="____IRR2" hidden="1">[3]공정!$AH$25:$AH$37</definedName>
    <definedName name="___fill" localSheetId="4" hidden="1">[4]방배2E!#REF!</definedName>
    <definedName name="___fill" localSheetId="16" hidden="1">[4]방배2E!#REF!</definedName>
    <definedName name="___fill" hidden="1">[4]방배2E!#REF!</definedName>
    <definedName name="___IRR2" hidden="1">[3]공정!$AH$25:$AH$37</definedName>
    <definedName name="__123Graph_A" localSheetId="6" hidden="1">[5]은행!#REF!</definedName>
    <definedName name="__123Graph_A" localSheetId="3" hidden="1">[5]은행!#REF!</definedName>
    <definedName name="__123Graph_A" localSheetId="4" hidden="1">[5]은행!#REF!</definedName>
    <definedName name="__123Graph_A" localSheetId="5" hidden="1">[5]은행!#REF!</definedName>
    <definedName name="__123Graph_A" localSheetId="16" hidden="1">[5]은행!#REF!</definedName>
    <definedName name="__123Graph_A" localSheetId="0" hidden="1">[5]은행!#REF!</definedName>
    <definedName name="__123Graph_A" hidden="1">[5]은행!#REF!</definedName>
    <definedName name="__123Graph_A그래프2" localSheetId="4" hidden="1">#REF!</definedName>
    <definedName name="__123Graph_A그래프2" localSheetId="16" hidden="1">#REF!</definedName>
    <definedName name="__123Graph_A그래프2" hidden="1">#REF!</definedName>
    <definedName name="__123Graph_B" localSheetId="6" hidden="1">[6]부산제일극장!#REF!</definedName>
    <definedName name="__123Graph_B" localSheetId="3" hidden="1">[5]은행!#REF!</definedName>
    <definedName name="__123Graph_B" localSheetId="4" hidden="1">[5]은행!#REF!</definedName>
    <definedName name="__123Graph_B" localSheetId="5" hidden="1">[5]은행!#REF!</definedName>
    <definedName name="__123Graph_B" localSheetId="16" hidden="1">[5]은행!#REF!</definedName>
    <definedName name="__123Graph_B" localSheetId="0" hidden="1">[5]은행!#REF!</definedName>
    <definedName name="__123Graph_B" hidden="1">[5]은행!#REF!</definedName>
    <definedName name="__123Graph_BPERFORMANCE" localSheetId="4" hidden="1">[7]BQMPALOC!#REF!</definedName>
    <definedName name="__123Graph_BPERFORMANCE" localSheetId="16" hidden="1">[7]BQMPALOC!#REF!</definedName>
    <definedName name="__123Graph_BPERFORMANCE" hidden="1">[7]BQMPALOC!#REF!</definedName>
    <definedName name="__123Graph_B그래프2" localSheetId="4" hidden="1">#REF!</definedName>
    <definedName name="__123Graph_B그래프2" localSheetId="16" hidden="1">#REF!</definedName>
    <definedName name="__123Graph_B그래프2" hidden="1">#REF!</definedName>
    <definedName name="__123Graph_D" localSheetId="6" hidden="1">#REF!</definedName>
    <definedName name="__123Graph_D" localSheetId="3" hidden="1">#REF!</definedName>
    <definedName name="__123Graph_D" localSheetId="4" hidden="1">#REF!</definedName>
    <definedName name="__123Graph_D" localSheetId="5" hidden="1">#REF!</definedName>
    <definedName name="__123Graph_D" localSheetId="16" hidden="1">#REF!</definedName>
    <definedName name="__123Graph_D" localSheetId="0" hidden="1">#REF!</definedName>
    <definedName name="__123Graph_D" hidden="1">#REF!</definedName>
    <definedName name="__123Graph_E" localSheetId="4" hidden="1">[8]유림골조!#REF!</definedName>
    <definedName name="__123Graph_E" localSheetId="16" hidden="1">[8]유림골조!#REF!</definedName>
    <definedName name="__123Graph_E" hidden="1">[8]유림골조!#REF!</definedName>
    <definedName name="__123Graph_F" localSheetId="4" hidden="1">[9]B!#REF!</definedName>
    <definedName name="__123Graph_F" localSheetId="16" hidden="1">[9]B!#REF!</definedName>
    <definedName name="__123Graph_F" hidden="1">[9]B!#REF!</definedName>
    <definedName name="__123Graph_X" localSheetId="4" hidden="1">[9]B!#REF!</definedName>
    <definedName name="__123Graph_X" localSheetId="16" hidden="1">[9]B!#REF!</definedName>
    <definedName name="__123Graph_X" hidden="1">[9]B!#REF!</definedName>
    <definedName name="__123Graph_X그래프2" localSheetId="4" hidden="1">#REF!</definedName>
    <definedName name="__123Graph_X그래프2" localSheetId="16" hidden="1">#REF!</definedName>
    <definedName name="__123Graph_X그래프2" hidden="1">#REF!</definedName>
    <definedName name="__3_0__123Grap" localSheetId="4" hidden="1">'[1]TOWER 12TON'!#REF!</definedName>
    <definedName name="__3_0__123Grap" localSheetId="16" hidden="1">'[1]TOWER 12TON'!#REF!</definedName>
    <definedName name="__3_0__123Grap" hidden="1">'[1]TOWER 12TON'!#REF!</definedName>
    <definedName name="__6_0_Dist_" localSheetId="4" hidden="1">'[1]TOWER 10TON'!#REF!</definedName>
    <definedName name="__6_0_Dist_" localSheetId="16" hidden="1">'[1]TOWER 10TON'!#REF!</definedName>
    <definedName name="__6_0_Dist_" hidden="1">'[1]TOWER 10TON'!#REF!</definedName>
    <definedName name="__9_0_0_F" localSheetId="4" hidden="1">'[1]TOWER 10TON'!#REF!</definedName>
    <definedName name="__9_0_0_F" localSheetId="16" hidden="1">'[1]TOWER 10TON'!#REF!</definedName>
    <definedName name="__9_0_0_F" hidden="1">'[1]TOWER 10TON'!#REF!</definedName>
    <definedName name="__Fill" localSheetId="4" hidden="1">[4]방배2E!#REF!</definedName>
    <definedName name="__Fill" localSheetId="16" hidden="1">[4]방배2E!#REF!</definedName>
    <definedName name="__Fill" hidden="1">[4]방배2E!#REF!</definedName>
    <definedName name="__IntlFixup" hidden="1">TRUE</definedName>
    <definedName name="__IRR2" hidden="1">[3]공정!$AH$25:$AH$37</definedName>
    <definedName name="__PL7" localSheetId="16" hidden="1">{#N/A,#N/A,TRUE,"대 차 대 조 표"}</definedName>
    <definedName name="__PL7" hidden="1">{#N/A,#N/A,TRUE,"대 차 대 조 표"}</definedName>
    <definedName name="__SSS1" localSheetId="4" hidden="1">#REF!</definedName>
    <definedName name="__SSS1" localSheetId="16" hidden="1">#REF!</definedName>
    <definedName name="__SSS1" hidden="1">#REF!</definedName>
    <definedName name="__xlfn.BAHTTEXT" hidden="1">#NAME?</definedName>
    <definedName name="_001"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1"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002"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_1__123Graph_A차트_1" localSheetId="4" hidden="1">#REF!</definedName>
    <definedName name="_1__123Graph_A차트_1" localSheetId="16" hidden="1">#REF!</definedName>
    <definedName name="_1__123Graph_A차트_1" hidden="1">#REF!</definedName>
    <definedName name="_1_0__123Grap" localSheetId="4" hidden="1">'[1]TOWER 12TON'!#REF!</definedName>
    <definedName name="_1_0__123Grap" localSheetId="16" hidden="1">'[1]TOWER 12TON'!#REF!</definedName>
    <definedName name="_1_0__123Grap" hidden="1">'[1]TOWER 12TON'!#REF!</definedName>
    <definedName name="_1_123Grap" localSheetId="4" hidden="1">'[1]TOWER 12TON'!#REF!</definedName>
    <definedName name="_1_123Grap" localSheetId="16" hidden="1">'[1]TOWER 12TON'!#REF!</definedName>
    <definedName name="_1_123Grap" hidden="1">'[1]TOWER 12TON'!#REF!</definedName>
    <definedName name="_10__123Graph_AChart_13B" localSheetId="4" hidden="1">[10]OtherKPI!#REF!</definedName>
    <definedName name="_10__123Graph_AChart_13B" localSheetId="16" hidden="1">[10]OtherKPI!#REF!</definedName>
    <definedName name="_10__123Graph_AChart_13B" hidden="1">[10]OtherKPI!#REF!</definedName>
    <definedName name="_10_0_0코아공" localSheetId="4" hidden="1">[11]공통비총괄표!#REF!</definedName>
    <definedName name="_10_0_0코아공" localSheetId="16" hidden="1">[11]공통비총괄표!#REF!</definedName>
    <definedName name="_10_0_0코아공" hidden="1">[11]공통비총괄표!#REF!</definedName>
    <definedName name="_100__123Graph_CChart_23C" localSheetId="4" hidden="1">[10]OtherKPI!#REF!</definedName>
    <definedName name="_100__123Graph_CChart_23C" localSheetId="16" hidden="1">[10]OtherKPI!#REF!</definedName>
    <definedName name="_100__123Graph_CChart_23C" hidden="1">[10]OtherKPI!#REF!</definedName>
    <definedName name="_101____123Graph_BCHART_13" hidden="1">[12]Demand!$G$35:$L$35</definedName>
    <definedName name="_102____123Graph_BCHART_14" hidden="1">[12]Occ!$F$96:$P$96</definedName>
    <definedName name="_102__123Graph_CChart_24C" localSheetId="4" hidden="1">[10]OtherKPI!#REF!</definedName>
    <definedName name="_102__123Graph_CChart_24C" localSheetId="16" hidden="1">[10]OtherKPI!#REF!</definedName>
    <definedName name="_102__123Graph_CChart_24C" hidden="1">[10]OtherKPI!#REF!</definedName>
    <definedName name="_104__123Graph_CChart_25C" localSheetId="4" hidden="1">[10]OtherKPI!#REF!</definedName>
    <definedName name="_104__123Graph_CChart_25C" localSheetId="16" hidden="1">[10]OtherKPI!#REF!</definedName>
    <definedName name="_104__123Graph_CChart_25C" hidden="1">[10]OtherKPI!#REF!</definedName>
    <definedName name="_106__123Graph_CChart_26C" localSheetId="4" hidden="1">[10]OtherKPI!#REF!</definedName>
    <definedName name="_106__123Graph_CChart_26C" localSheetId="16" hidden="1">[10]OtherKPI!#REF!</definedName>
    <definedName name="_106__123Graph_CChart_26C" hidden="1">[10]OtherKPI!#REF!</definedName>
    <definedName name="_107____123Graph_CCHART_13" hidden="1">[12]Demand!$G$36:$L$36</definedName>
    <definedName name="_108____123Graph_CCHART_14" hidden="1">[12]Occ!$F$97:$P$97</definedName>
    <definedName name="_108__123Graph_CChart_4A" localSheetId="4" hidden="1">[10]OtherKPI!#REF!</definedName>
    <definedName name="_108__123Graph_CChart_4A" localSheetId="16" hidden="1">[10]OtherKPI!#REF!</definedName>
    <definedName name="_108__123Graph_CChart_4A" hidden="1">[10]OtherKPI!#REF!</definedName>
    <definedName name="_10F" localSheetId="4" hidden="1">#REF!</definedName>
    <definedName name="_10F" localSheetId="16" hidden="1">#REF!</definedName>
    <definedName name="_10F" hidden="1">#REF!</definedName>
    <definedName name="_11_0공통비" localSheetId="4" hidden="1">[11]공통비총괄표!#REF!</definedName>
    <definedName name="_11_0공통비" localSheetId="16" hidden="1">[11]공통비총괄표!#REF!</definedName>
    <definedName name="_11_0공통비" hidden="1">[11]공통비총괄표!#REF!</definedName>
    <definedName name="_110__123Graph_CChart_5A" localSheetId="4" hidden="1">[10]OtherKPI!#REF!</definedName>
    <definedName name="_110__123Graph_CChart_5A" localSheetId="16" hidden="1">[10]OtherKPI!#REF!</definedName>
    <definedName name="_110__123Graph_CChart_5A" hidden="1">[10]OtherKPI!#REF!</definedName>
    <definedName name="_112__123Graph_CChart_6A" localSheetId="4" hidden="1">[10]OtherKPI!#REF!</definedName>
    <definedName name="_112__123Graph_CChart_6A" localSheetId="16" hidden="1">[10]OtherKPI!#REF!</definedName>
    <definedName name="_112__123Graph_CChart_6A" hidden="1">[10]OtherKPI!#REF!</definedName>
    <definedName name="_114____123Graph_DCHART_13" hidden="1">[12]Demand!$G$37:$L$37</definedName>
    <definedName name="_114__123Graph_CChart_7A" localSheetId="4" hidden="1">[10]OtherKPI!#REF!</definedName>
    <definedName name="_114__123Graph_CChart_7A" localSheetId="16" hidden="1">[10]OtherKPI!#REF!</definedName>
    <definedName name="_114__123Graph_CChart_7A" hidden="1">[10]OtherKPI!#REF!</definedName>
    <definedName name="_115____123Graph_DCHART_14" hidden="1">[12]Occ!$F$98:$P$98</definedName>
    <definedName name="_116__123Graph_CChart_8A" localSheetId="4" hidden="1">[10]OtherKPI!#REF!</definedName>
    <definedName name="_116__123Graph_CChart_8A" localSheetId="16" hidden="1">[10]OtherKPI!#REF!</definedName>
    <definedName name="_116__123Graph_CChart_8A" hidden="1">[10]OtherKPI!#REF!</definedName>
    <definedName name="_118__123Graph_DChart_13B" localSheetId="4" hidden="1">[10]OtherKPI!#REF!</definedName>
    <definedName name="_118__123Graph_DChart_13B" localSheetId="16" hidden="1">[10]OtherKPI!#REF!</definedName>
    <definedName name="_118__123Graph_DChart_13B" hidden="1">[10]OtherKPI!#REF!</definedName>
    <definedName name="_12__123Graph_AChart_16B" localSheetId="4" hidden="1">[10]OtherKPI!#REF!</definedName>
    <definedName name="_12__123Graph_AChart_16B" localSheetId="16" hidden="1">[10]OtherKPI!#REF!</definedName>
    <definedName name="_12__123Graph_AChart_16B" hidden="1">[10]OtherKPI!#REF!</definedName>
    <definedName name="_12__123Graph_C차트_1" localSheetId="4" hidden="1">#REF!</definedName>
    <definedName name="_12__123Graph_C차트_1" localSheetId="16" hidden="1">#REF!</definedName>
    <definedName name="_12__123Graph_C차트_1" hidden="1">#REF!</definedName>
    <definedName name="_12_0_0_F" localSheetId="4" hidden="1">[13]Sheet4!#REF!</definedName>
    <definedName name="_12_0_0_F" localSheetId="16" hidden="1">[13]Sheet4!#REF!</definedName>
    <definedName name="_12_0_0_F" hidden="1">[13]Sheet4!#REF!</definedName>
    <definedName name="_12_0현대코아공" localSheetId="4" hidden="1">[11]공통비총괄표!#REF!</definedName>
    <definedName name="_12_0현대코아공" localSheetId="16" hidden="1">[11]공통비총괄표!#REF!</definedName>
    <definedName name="_12_0현대코아공" hidden="1">[11]공통비총괄표!#REF!</definedName>
    <definedName name="_120____123Graph_ECHART_14" hidden="1">[12]Occ!$F$99:$P$99</definedName>
    <definedName name="_120__123Graph_DChart_16B" localSheetId="4" hidden="1">[10]OtherKPI!#REF!</definedName>
    <definedName name="_120__123Graph_DChart_16B" localSheetId="16" hidden="1">[10]OtherKPI!#REF!</definedName>
    <definedName name="_120__123Graph_DChart_16B" hidden="1">[10]OtherKPI!#REF!</definedName>
    <definedName name="_122__123Graph_DChart_17B" localSheetId="4" hidden="1">[10]OtherKPI!#REF!</definedName>
    <definedName name="_122__123Graph_DChart_17B" localSheetId="16" hidden="1">[10]OtherKPI!#REF!</definedName>
    <definedName name="_122__123Graph_DChart_17B" hidden="1">[10]OtherKPI!#REF!</definedName>
    <definedName name="_124__123Graph_DChart_22C" localSheetId="4" hidden="1">[10]OtherKPI!#REF!</definedName>
    <definedName name="_124__123Graph_DChart_22C" localSheetId="16" hidden="1">[10]OtherKPI!#REF!</definedName>
    <definedName name="_124__123Graph_DChart_22C" hidden="1">[10]OtherKPI!#REF!</definedName>
    <definedName name="_125____123Graph_FCHART_14" hidden="1">[12]Occ!$F$100:$P$100</definedName>
    <definedName name="_126__123Graph_DChart_23C" localSheetId="4" hidden="1">[10]OtherKPI!#REF!</definedName>
    <definedName name="_126__123Graph_DChart_23C" localSheetId="16" hidden="1">[10]OtherKPI!#REF!</definedName>
    <definedName name="_126__123Graph_DChart_23C" hidden="1">[10]OtherKPI!#REF!</definedName>
    <definedName name="_128__123Graph_DChart_24C" localSheetId="4" hidden="1">[10]OtherKPI!#REF!</definedName>
    <definedName name="_128__123Graph_DChart_24C" localSheetId="16" hidden="1">[10]OtherKPI!#REF!</definedName>
    <definedName name="_128__123Graph_DChart_24C" hidden="1">[10]OtherKPI!#REF!</definedName>
    <definedName name="_13_0__123Grap" localSheetId="4" hidden="1">#REF!</definedName>
    <definedName name="_13_0__123Grap" localSheetId="16" hidden="1">#REF!</definedName>
    <definedName name="_13_0__123Grap" hidden="1">#REF!</definedName>
    <definedName name="_130____123Graph_XCHART_13" hidden="1">[12]Demand!$G$33:$L$33</definedName>
    <definedName name="_130__123Graph_DChart_25C" localSheetId="4" hidden="1">[10]OtherKPI!#REF!</definedName>
    <definedName name="_130__123Graph_DChart_25C" localSheetId="16" hidden="1">[10]OtherKPI!#REF!</definedName>
    <definedName name="_130__123Graph_DChart_25C" hidden="1">[10]OtherKPI!#REF!</definedName>
    <definedName name="_131____123Graph_XCHART_14" hidden="1">[12]Occ!$F$94:$P$94</definedName>
    <definedName name="_132__123Graph_DChart_26C" localSheetId="4" hidden="1">[10]OtherKPI!#REF!</definedName>
    <definedName name="_132__123Graph_DChart_26C" localSheetId="16" hidden="1">[10]OtherKPI!#REF!</definedName>
    <definedName name="_132__123Graph_DChart_26C" hidden="1">[10]OtherKPI!#REF!</definedName>
    <definedName name="_134__123Graph_DChart_4A" localSheetId="4" hidden="1">[10]OtherKPI!#REF!</definedName>
    <definedName name="_134__123Graph_DChart_4A" localSheetId="16" hidden="1">[10]OtherKPI!#REF!</definedName>
    <definedName name="_134__123Graph_DChart_4A" hidden="1">[10]OtherKPI!#REF!</definedName>
    <definedName name="_136__123Graph_DChart_5A" localSheetId="4" hidden="1">[10]OtherKPI!#REF!</definedName>
    <definedName name="_136__123Graph_DChart_5A" localSheetId="16" hidden="1">[10]OtherKPI!#REF!</definedName>
    <definedName name="_136__123Graph_DChart_5A" hidden="1">[10]OtherKPI!#REF!</definedName>
    <definedName name="_137____123Graph_XCHART_20" hidden="1">[12]Occ!$F$30:$P$30</definedName>
    <definedName name="_138____123Graph_XCHART_21" hidden="1">[12]Occ!$F$30:$P$30</definedName>
    <definedName name="_138__123Graph_DChart_6A" localSheetId="4" hidden="1">[10]OtherKPI!#REF!</definedName>
    <definedName name="_138__123Graph_DChart_6A" localSheetId="16" hidden="1">[10]OtherKPI!#REF!</definedName>
    <definedName name="_138__123Graph_DChart_6A" hidden="1">[10]OtherKPI!#REF!</definedName>
    <definedName name="_14__123Graph_AChart_17B" localSheetId="4" hidden="1">[10]OtherKPI!#REF!</definedName>
    <definedName name="_14__123Graph_AChart_17B" localSheetId="16" hidden="1">[10]OtherKPI!#REF!</definedName>
    <definedName name="_14__123Graph_AChart_17B" hidden="1">[10]OtherKPI!#REF!</definedName>
    <definedName name="_140__123Graph_DChart_7A" localSheetId="4" hidden="1">[10]OtherKPI!#REF!</definedName>
    <definedName name="_140__123Graph_DChart_7A" localSheetId="16" hidden="1">[10]OtherKPI!#REF!</definedName>
    <definedName name="_140__123Graph_DChart_7A" hidden="1">[10]OtherKPI!#REF!</definedName>
    <definedName name="_142___123Graph_ACHART_13" hidden="1">[12]Demand!$G$34:$L$34</definedName>
    <definedName name="_142__123Graph_DChart_8A" localSheetId="4" hidden="1">[10]OtherKPI!#REF!</definedName>
    <definedName name="_142__123Graph_DChart_8A" localSheetId="16" hidden="1">[10]OtherKPI!#REF!</definedName>
    <definedName name="_142__123Graph_DChart_8A" hidden="1">[10]OtherKPI!#REF!</definedName>
    <definedName name="_143___123Graph_ACHART_14" hidden="1">[12]Occ!$F$95:$P$95</definedName>
    <definedName name="_143__123Graph_XChart_10B" hidden="1">[14]Template!$E$7:$R$7</definedName>
    <definedName name="_144___123Graph_ACHART_20" hidden="1">[12]Occ!$G$38:$P$38</definedName>
    <definedName name="_144__123Graph_XChart_11B" hidden="1">[14]Template!$D$7:$R$7</definedName>
    <definedName name="_145___123Graph_ACHART_22" hidden="1">[12]Occ!$G$38:$P$38</definedName>
    <definedName name="_145__123Graph_XChart_12B" hidden="1">[14]Template!$D$7:$R$7</definedName>
    <definedName name="_146___123Graph_BCHART_13" hidden="1">[12]Demand!$G$35:$L$35</definedName>
    <definedName name="_146__123Graph_XChart_13B" hidden="1">[14]Template!$E$7:$P$7</definedName>
    <definedName name="_147___123Graph_BCHART_14" hidden="1">[12]Occ!$F$96:$P$96</definedName>
    <definedName name="_147__123Graph_XChart_17B" hidden="1">[14]Template!$E$7:$P$7</definedName>
    <definedName name="_148___123Graph_CCHART_13" hidden="1">[12]Demand!$G$36:$L$36</definedName>
    <definedName name="_148__123Graph_XChart_18B" hidden="1">[14]Template!$D$7:$R$7</definedName>
    <definedName name="_149___123Graph_CCHART_14" hidden="1">[12]Occ!$F$97:$P$97</definedName>
    <definedName name="_149__123Graph_XChart_19C" hidden="1">[14]Template!$E$7:$R$7</definedName>
    <definedName name="_15_0_0코아공" localSheetId="4" hidden="1">[15]공통비총괄표!#REF!</definedName>
    <definedName name="_15_0_0코아공" localSheetId="16" hidden="1">[15]공통비총괄표!#REF!</definedName>
    <definedName name="_15_0_0코아공" hidden="1">[15]공통비총괄표!#REF!</definedName>
    <definedName name="_150___123Graph_DCHART_13" hidden="1">[12]Demand!$G$37:$L$37</definedName>
    <definedName name="_150__123Graph_XChart_1A" hidden="1">[14]Template!$E$7:$R$7</definedName>
    <definedName name="_151___123Graph_DCHART_14" hidden="1">[12]Occ!$F$98:$P$98</definedName>
    <definedName name="_151__123Graph_XChart_20C" hidden="1">[14]Template!$D$7:$R$7</definedName>
    <definedName name="_152___123Graph_ECHART_14" hidden="1">[12]Occ!$F$99:$P$99</definedName>
    <definedName name="_152__123Graph_XChart_21C" hidden="1">[14]Template!$D$7:$R$7</definedName>
    <definedName name="_153___123Graph_FCHART_14" hidden="1">[12]Occ!$F$100:$P$100</definedName>
    <definedName name="_153__123Graph_XChart_22C" hidden="1">[14]Template!$E$7:$P$7</definedName>
    <definedName name="_154___123Graph_XCHART_13" hidden="1">[12]Demand!$G$33:$L$33</definedName>
    <definedName name="_154__123Graph_XChart_23C" hidden="1">[14]Template!$E$7:$P$7</definedName>
    <definedName name="_155___123Graph_XCHART_14" hidden="1">[12]Occ!$F$94:$P$94</definedName>
    <definedName name="_155__123Graph_XChart_24C" hidden="1">[14]Template!$E$7:$P$7</definedName>
    <definedName name="_156___123Graph_XCHART_20" hidden="1">[12]Occ!$F$30:$P$30</definedName>
    <definedName name="_156__123Graph_XChart_25C" hidden="1">[14]Template!$E$7:$P$7</definedName>
    <definedName name="_157___123Graph_XCHART_21" hidden="1">[12]Occ!$F$30:$P$30</definedName>
    <definedName name="_157__123Graph_XChart_26C" hidden="1">[14]Template!$E$7:$P$7</definedName>
    <definedName name="_158__123Graph_XChart_27C" hidden="1">[14]Template!$D$7:$R$7</definedName>
    <definedName name="_159__123Graph_XChart_2A" hidden="1">[14]Template!$D$7:$R$7</definedName>
    <definedName name="_16__123Graph_AChart_18B" localSheetId="4" hidden="1">[10]OtherKPI!#REF!</definedName>
    <definedName name="_16__123Graph_AChart_18B" localSheetId="16" hidden="1">[10]OtherKPI!#REF!</definedName>
    <definedName name="_16__123Graph_AChart_18B" hidden="1">[10]OtherKPI!#REF!</definedName>
    <definedName name="_16__123Graph_X차트_1" localSheetId="4" hidden="1">#REF!</definedName>
    <definedName name="_16__123Graph_X차트_1" localSheetId="16" hidden="1">#REF!</definedName>
    <definedName name="_16__123Graph_X차트_1" hidden="1">#REF!</definedName>
    <definedName name="_16_0__123Grap" localSheetId="4" hidden="1">#REF!</definedName>
    <definedName name="_16_0__123Grap" localSheetId="16" hidden="1">#REF!</definedName>
    <definedName name="_16_0__123Grap" hidden="1">#REF!</definedName>
    <definedName name="_16_0_Dist_" localSheetId="4" hidden="1">#REF!</definedName>
    <definedName name="_16_0_Dist_" localSheetId="16" hidden="1">#REF!</definedName>
    <definedName name="_16_0_Dist_" hidden="1">#REF!</definedName>
    <definedName name="_160__123Graph_XChart_3A" hidden="1">[14]Template!$D$7:$R$7</definedName>
    <definedName name="_161__123Graph_XChart_4A" hidden="1">[14]Template!$E$7:$P$7</definedName>
    <definedName name="_162__123Graph_XChart_5A" hidden="1">[14]Template!$E$7:$P$7</definedName>
    <definedName name="_163__123Graph_XChart_6A" hidden="1">[14]Template!$E$7:$P$7</definedName>
    <definedName name="_164__123Graph_XChart_7A" hidden="1">[14]Template!$E$7:$P$7</definedName>
    <definedName name="_165__123Graph_XChart_8A" hidden="1">[14]Template!$E$7:$P$7</definedName>
    <definedName name="_166__123Graph_XChart_9A" hidden="1">[14]Template!$D$7:$R$7</definedName>
    <definedName name="_17_0_0__123Grap" localSheetId="4" hidden="1">[16]유림골조!#REF!</definedName>
    <definedName name="_17_0_0__123Grap" localSheetId="16" hidden="1">[16]유림골조!#REF!</definedName>
    <definedName name="_17_0_0__123Grap" hidden="1">[16]유림골조!#REF!</definedName>
    <definedName name="_18__123Graph_AChart_19C" localSheetId="4" hidden="1">[10]OtherKPI!#REF!</definedName>
    <definedName name="_18__123Graph_AChart_19C" localSheetId="16" hidden="1">[10]OtherKPI!#REF!</definedName>
    <definedName name="_18__123Graph_AChart_19C" hidden="1">[10]OtherKPI!#REF!</definedName>
    <definedName name="_18_0공통비" localSheetId="4" hidden="1">[15]공통비총괄표!#REF!</definedName>
    <definedName name="_18_0공통비" localSheetId="16" hidden="1">[15]공통비총괄표!#REF!</definedName>
    <definedName name="_18_0공통비" hidden="1">[15]공통비총괄표!#REF!</definedName>
    <definedName name="_2__123Graph_B차트_1" localSheetId="4" hidden="1">#REF!</definedName>
    <definedName name="_2__123Graph_B차트_1" localSheetId="16" hidden="1">#REF!</definedName>
    <definedName name="_2__123Graph_B차트_1" hidden="1">#REF!</definedName>
    <definedName name="_2_0__123Grap" localSheetId="4" hidden="1">'[1]TOWER 12TON'!#REF!</definedName>
    <definedName name="_2_0__123Grap" localSheetId="16" hidden="1">'[1]TOWER 12TON'!#REF!</definedName>
    <definedName name="_2_0__123Grap" hidden="1">'[1]TOWER 12TON'!#REF!</definedName>
    <definedName name="_2_0_Dist_" localSheetId="4" hidden="1">'[1]TOWER 10TON'!#REF!</definedName>
    <definedName name="_2_0_Dist_" localSheetId="16" hidden="1">'[1]TOWER 10TON'!#REF!</definedName>
    <definedName name="_2_0_Dist_" hidden="1">'[1]TOWER 10TON'!#REF!</definedName>
    <definedName name="_20__123Graph_AChart_1A" localSheetId="4" hidden="1">[10]OtherKPI!#REF!</definedName>
    <definedName name="_20__123Graph_AChart_1A" localSheetId="16" hidden="1">[10]OtherKPI!#REF!</definedName>
    <definedName name="_20__123Graph_AChart_1A" hidden="1">[10]OtherKPI!#REF!</definedName>
    <definedName name="_20_0_0_F" localSheetId="4" hidden="1">#REF!</definedName>
    <definedName name="_20_0_0_F" localSheetId="16" hidden="1">#REF!</definedName>
    <definedName name="_20_0_0_F" hidden="1">#REF!</definedName>
    <definedName name="_21_0현대코아공" localSheetId="4" hidden="1">[15]공통비총괄표!#REF!</definedName>
    <definedName name="_21_0현대코아공" localSheetId="16" hidden="1">[15]공통비총괄표!#REF!</definedName>
    <definedName name="_21_0현대코아공" hidden="1">[15]공통비총괄표!#REF!</definedName>
    <definedName name="_22__123Graph_AChart_20C" localSheetId="4" hidden="1">[10]OtherKPI!#REF!</definedName>
    <definedName name="_22__123Graph_AChart_20C" localSheetId="16" hidden="1">[10]OtherKPI!#REF!</definedName>
    <definedName name="_22__123Graph_AChart_20C" hidden="1">[10]OtherKPI!#REF!</definedName>
    <definedName name="_23_0_0코아공" localSheetId="4" hidden="1">[11]공통비총괄표!#REF!</definedName>
    <definedName name="_23_0_0코아공" localSheetId="16" hidden="1">[11]공통비총괄표!#REF!</definedName>
    <definedName name="_23_0_0코아공" hidden="1">[11]공통비총괄표!#REF!</definedName>
    <definedName name="_24__123Graph_AChart_21C" localSheetId="4" hidden="1">[10]OtherKPI!#REF!</definedName>
    <definedName name="_24__123Graph_AChart_21C" localSheetId="16" hidden="1">[10]OtherKPI!#REF!</definedName>
    <definedName name="_24__123Graph_AChart_21C" hidden="1">[10]OtherKPI!#REF!</definedName>
    <definedName name="_26__123Graph_AChart_22C" localSheetId="4" hidden="1">[10]OtherKPI!#REF!</definedName>
    <definedName name="_26__123Graph_AChart_22C" localSheetId="16" hidden="1">[10]OtherKPI!#REF!</definedName>
    <definedName name="_26__123Graph_AChart_22C" hidden="1">[10]OtherKPI!#REF!</definedName>
    <definedName name="_26_0공통비" localSheetId="4" hidden="1">[11]공통비총괄표!#REF!</definedName>
    <definedName name="_26_0공통비" localSheetId="16" hidden="1">[11]공통비총괄표!#REF!</definedName>
    <definedName name="_26_0공통비" hidden="1">[11]공통비총괄표!#REF!</definedName>
    <definedName name="_28__123Graph_AChart_23C" localSheetId="4" hidden="1">[10]OtherKPI!#REF!</definedName>
    <definedName name="_28__123Graph_AChart_23C" localSheetId="16" hidden="1">[10]OtherKPI!#REF!</definedName>
    <definedName name="_28__123Graph_AChart_23C" hidden="1">[10]OtherKPI!#REF!</definedName>
    <definedName name="_29_0현대코아공" localSheetId="4" hidden="1">[11]공통비총괄표!#REF!</definedName>
    <definedName name="_29_0현대코아공" localSheetId="16" hidden="1">[11]공통비총괄표!#REF!</definedName>
    <definedName name="_29_0현대코아공" hidden="1">[11]공통비총괄표!#REF!</definedName>
    <definedName name="_2Dist_" localSheetId="4" hidden="1">'[1]TOWER 10TON'!#REF!</definedName>
    <definedName name="_2Dist_" localSheetId="16" hidden="1">'[1]TOWER 10TON'!#REF!</definedName>
    <definedName name="_2Dist_" hidden="1">'[1]TOWER 10TON'!#REF!</definedName>
    <definedName name="_3__123Graph_C차트_1" localSheetId="4" hidden="1">#REF!</definedName>
    <definedName name="_3__123Graph_C차트_1" localSheetId="16" hidden="1">#REF!</definedName>
    <definedName name="_3__123Graph_C차트_1" hidden="1">#REF!</definedName>
    <definedName name="_3_0__123Grap" localSheetId="4" hidden="1">#REF!</definedName>
    <definedName name="_3_0__123Grap" localSheetId="16" hidden="1">#REF!</definedName>
    <definedName name="_3_0__123Grap" hidden="1">#REF!</definedName>
    <definedName name="_3_0_0__123Grap" localSheetId="4" hidden="1">[16]유림골조!#REF!</definedName>
    <definedName name="_3_0_0__123Grap" localSheetId="16" hidden="1">[16]유림골조!#REF!</definedName>
    <definedName name="_3_0_0__123Grap" hidden="1">[16]유림골조!#REF!</definedName>
    <definedName name="_3_0_0_F" localSheetId="4" hidden="1">'[1]TOWER 10TON'!#REF!</definedName>
    <definedName name="_3_0_0_F" localSheetId="16" hidden="1">'[1]TOWER 10TON'!#REF!</definedName>
    <definedName name="_3_0_0_F" hidden="1">'[1]TOWER 10TON'!#REF!</definedName>
    <definedName name="_3_123Grap" localSheetId="4" hidden="1">#REF!</definedName>
    <definedName name="_3_123Grap" localSheetId="16" hidden="1">#REF!</definedName>
    <definedName name="_3_123Grap" hidden="1">#REF!</definedName>
    <definedName name="_30__123Graph_AChart_24C" localSheetId="4" hidden="1">[10]OtherKPI!#REF!</definedName>
    <definedName name="_30__123Graph_AChart_24C" localSheetId="16" hidden="1">[10]OtherKPI!#REF!</definedName>
    <definedName name="_30__123Graph_AChart_24C" hidden="1">[10]OtherKPI!#REF!</definedName>
    <definedName name="_30공통비" localSheetId="4" hidden="1">[11]공통비총괄표!#REF!</definedName>
    <definedName name="_30공통비" localSheetId="16" hidden="1">[11]공통비총괄표!#REF!</definedName>
    <definedName name="_30공통비" hidden="1">[11]공통비총괄표!#REF!</definedName>
    <definedName name="_31코아공" localSheetId="4" hidden="1">[11]공통비총괄표!#REF!</definedName>
    <definedName name="_31코아공" localSheetId="16" hidden="1">[11]공통비총괄표!#REF!</definedName>
    <definedName name="_31코아공" hidden="1">[11]공통비총괄표!#REF!</definedName>
    <definedName name="_32__123Graph_AChart_25C" localSheetId="4" hidden="1">[10]OtherKPI!#REF!</definedName>
    <definedName name="_32__123Graph_AChart_25C" localSheetId="16" hidden="1">[10]OtherKPI!#REF!</definedName>
    <definedName name="_32__123Graph_AChart_25C" hidden="1">[10]OtherKPI!#REF!</definedName>
    <definedName name="_32_0__123Grap" localSheetId="4" hidden="1">#REF!</definedName>
    <definedName name="_32_0__123Grap" localSheetId="16" hidden="1">#REF!</definedName>
    <definedName name="_32_0__123Grap" hidden="1">#REF!</definedName>
    <definedName name="_32현대코아공" localSheetId="4" hidden="1">[11]공통비총괄표!#REF!</definedName>
    <definedName name="_32현대코아공" localSheetId="16" hidden="1">[11]공통비총괄표!#REF!</definedName>
    <definedName name="_32현대코아공" hidden="1">[11]공통비총괄표!#REF!</definedName>
    <definedName name="_34__123Graph_AChart_26C" localSheetId="4" hidden="1">[10]OtherKPI!#REF!</definedName>
    <definedName name="_34__123Graph_AChart_26C" localSheetId="16" hidden="1">[10]OtherKPI!#REF!</definedName>
    <definedName name="_34__123Graph_AChart_26C" hidden="1">[10]OtherKPI!#REF!</definedName>
    <definedName name="_35_0__123Grap" localSheetId="4" hidden="1">#REF!</definedName>
    <definedName name="_35_0__123Grap" localSheetId="16" hidden="1">#REF!</definedName>
    <definedName name="_35_0__123Grap" hidden="1">#REF!</definedName>
    <definedName name="_36__123Graph_AChart_27C" localSheetId="4" hidden="1">[10]OtherKPI!#REF!</definedName>
    <definedName name="_36__123Graph_AChart_27C" localSheetId="16" hidden="1">[10]OtherKPI!#REF!</definedName>
    <definedName name="_36__123Graph_AChart_27C" hidden="1">[10]OtherKPI!#REF!</definedName>
    <definedName name="_36_0__123Grap" localSheetId="4" hidden="1">#REF!</definedName>
    <definedName name="_36_0__123Grap" localSheetId="16" hidden="1">#REF!</definedName>
    <definedName name="_36_0__123Grap" hidden="1">#REF!</definedName>
    <definedName name="_38_____123Graph_ACHART_13" hidden="1">[12]Demand!$G$34:$L$34</definedName>
    <definedName name="_38__123Graph_AChart_2A" localSheetId="4" hidden="1">[10]OtherKPI!#REF!</definedName>
    <definedName name="_38__123Graph_AChart_2A" localSheetId="16" hidden="1">[10]OtherKPI!#REF!</definedName>
    <definedName name="_38__123Graph_AChart_2A" hidden="1">[10]OtherKPI!#REF!</definedName>
    <definedName name="_39_____123Graph_ACHART_14" hidden="1">[12]Occ!$F$95:$P$95</definedName>
    <definedName name="_3F" localSheetId="4" hidden="1">'[1]TOWER 10TON'!#REF!</definedName>
    <definedName name="_3F" localSheetId="16" hidden="1">'[1]TOWER 10TON'!#REF!</definedName>
    <definedName name="_3F" hidden="1">'[1]TOWER 10TON'!#REF!</definedName>
    <definedName name="_4_____0__123Grap" localSheetId="4" hidden="1">#REF!</definedName>
    <definedName name="_4_____0__123Grap" localSheetId="16" hidden="1">#REF!</definedName>
    <definedName name="_4_____0__123Grap" hidden="1">#REF!</definedName>
    <definedName name="_4__123Graph_AChart_10B" localSheetId="4" hidden="1">[10]OtherKPI!#REF!</definedName>
    <definedName name="_4__123Graph_AChart_10B" localSheetId="16" hidden="1">[10]OtherKPI!#REF!</definedName>
    <definedName name="_4__123Graph_AChart_10B" hidden="1">[10]OtherKPI!#REF!</definedName>
    <definedName name="_4__123Graph_A차트_1" localSheetId="4" hidden="1">#REF!</definedName>
    <definedName name="_4__123Graph_A차트_1" localSheetId="16" hidden="1">#REF!</definedName>
    <definedName name="_4__123Graph_A차트_1" hidden="1">#REF!</definedName>
    <definedName name="_4__123Graph_X차트_1" localSheetId="4" hidden="1">#REF!</definedName>
    <definedName name="_4__123Graph_X차트_1" localSheetId="16" hidden="1">#REF!</definedName>
    <definedName name="_4__123Graph_X차트_1" hidden="1">#REF!</definedName>
    <definedName name="_4_0__123Grap" localSheetId="4" hidden="1">#REF!</definedName>
    <definedName name="_4_0__123Grap" localSheetId="16" hidden="1">#REF!</definedName>
    <definedName name="_4_0__123Grap" hidden="1">#REF!</definedName>
    <definedName name="_4_123Grap" localSheetId="4" hidden="1">[16]유림골조!#REF!</definedName>
    <definedName name="_4_123Grap" localSheetId="16" hidden="1">[16]유림골조!#REF!</definedName>
    <definedName name="_4_123Grap" hidden="1">[16]유림골조!#REF!</definedName>
    <definedName name="_40__123Graph_AChart_3A" localSheetId="4" hidden="1">[10]OtherKPI!#REF!</definedName>
    <definedName name="_40__123Graph_AChart_3A" localSheetId="16" hidden="1">[10]OtherKPI!#REF!</definedName>
    <definedName name="_40__123Graph_AChart_3A" hidden="1">[10]OtherKPI!#REF!</definedName>
    <definedName name="_42__123Graph_AChart_4A" localSheetId="4" hidden="1">[10]OtherKPI!#REF!</definedName>
    <definedName name="_42__123Graph_AChart_4A" localSheetId="16" hidden="1">[10]OtherKPI!#REF!</definedName>
    <definedName name="_42__123Graph_AChart_4A" hidden="1">[10]OtherKPI!#REF!</definedName>
    <definedName name="_44__123Graph_AChart_5A" localSheetId="4" hidden="1">[10]OtherKPI!#REF!</definedName>
    <definedName name="_44__123Graph_AChart_5A" localSheetId="16" hidden="1">[10]OtherKPI!#REF!</definedName>
    <definedName name="_44__123Graph_AChart_5A" hidden="1">[10]OtherKPI!#REF!</definedName>
    <definedName name="_45_____123Graph_ACHART_20" hidden="1">[12]Occ!$G$38:$P$38</definedName>
    <definedName name="_46__123Graph_AChart_6A" localSheetId="4" hidden="1">[10]OtherKPI!#REF!</definedName>
    <definedName name="_46__123Graph_AChart_6A" localSheetId="16" hidden="1">[10]OtherKPI!#REF!</definedName>
    <definedName name="_46__123Graph_AChart_6A" hidden="1">[10]OtherKPI!#REF!</definedName>
    <definedName name="_47_____123Graph_ACHART_22" hidden="1">[12]Occ!$G$38:$P$38</definedName>
    <definedName name="_48__123Graph_AChart_7A" localSheetId="4" hidden="1">[10]OtherKPI!#REF!</definedName>
    <definedName name="_48__123Graph_AChart_7A" localSheetId="16" hidden="1">[10]OtherKPI!#REF!</definedName>
    <definedName name="_48__123Graph_AChart_7A" hidden="1">[10]OtherKPI!#REF!</definedName>
    <definedName name="_49_____123Graph_BCHART_13" hidden="1">[12]Demand!$G$35:$L$35</definedName>
    <definedName name="_5_0__123Grap" localSheetId="4" hidden="1">#REF!</definedName>
    <definedName name="_5_0__123Grap" localSheetId="16" hidden="1">#REF!</definedName>
    <definedName name="_5_0__123Grap" hidden="1">#REF!</definedName>
    <definedName name="_5_0_0__123Grap" localSheetId="4" hidden="1">[16]유림골조!#REF!</definedName>
    <definedName name="_5_0_0__123Grap" localSheetId="16" hidden="1">[16]유림골조!#REF!</definedName>
    <definedName name="_5_0_0__123Grap" hidden="1">[16]유림골조!#REF!</definedName>
    <definedName name="_5_0_Dist_" localSheetId="4" hidden="1">#REF!</definedName>
    <definedName name="_5_0_Dist_" localSheetId="16" hidden="1">#REF!</definedName>
    <definedName name="_5_0_Dist_" hidden="1">#REF!</definedName>
    <definedName name="_50_____123Graph_BCHART_14" hidden="1">[12]Occ!$F$96:$P$96</definedName>
    <definedName name="_50__123Graph_AChart_8A" localSheetId="4" hidden="1">[10]OtherKPI!#REF!</definedName>
    <definedName name="_50__123Graph_AChart_8A" localSheetId="16" hidden="1">[10]OtherKPI!#REF!</definedName>
    <definedName name="_50__123Graph_AChart_8A" hidden="1">[10]OtherKPI!#REF!</definedName>
    <definedName name="_52__123Graph_AChart_9A" localSheetId="4" hidden="1">[10]OtherKPI!#REF!</definedName>
    <definedName name="_52__123Graph_AChart_9A" localSheetId="16" hidden="1">[10]OtherKPI!#REF!</definedName>
    <definedName name="_52__123Graph_AChart_9A" hidden="1">[10]OtherKPI!#REF!</definedName>
    <definedName name="_54__123Graph_BChart_12B" localSheetId="4" hidden="1">[10]OtherKPI!#REF!</definedName>
    <definedName name="_54__123Graph_BChart_12B" localSheetId="16" hidden="1">[10]OtherKPI!#REF!</definedName>
    <definedName name="_54__123Graph_BChart_12B" hidden="1">[10]OtherKPI!#REF!</definedName>
    <definedName name="_55_____123Graph_CCHART_13" hidden="1">[12]Demand!$G$36:$L$36</definedName>
    <definedName name="_56_____123Graph_CCHART_14" hidden="1">[12]Occ!$F$97:$P$97</definedName>
    <definedName name="_56__123Graph_BChart_13B" localSheetId="4" hidden="1">[10]OtherKPI!#REF!</definedName>
    <definedName name="_56__123Graph_BChart_13B" localSheetId="16" hidden="1">[10]OtherKPI!#REF!</definedName>
    <definedName name="_56__123Graph_BChart_13B" hidden="1">[10]OtherKPI!#REF!</definedName>
    <definedName name="_58__123Graph_BChart_16B" localSheetId="4" hidden="1">[10]OtherKPI!#REF!</definedName>
    <definedName name="_58__123Graph_BChart_16B" localSheetId="16" hidden="1">[10]OtherKPI!#REF!</definedName>
    <definedName name="_58__123Graph_BChart_16B" hidden="1">[10]OtherKPI!#REF!</definedName>
    <definedName name="_59_0_0__123Grap" localSheetId="4" hidden="1">[16]유림골조!#REF!</definedName>
    <definedName name="_59_0_0__123Grap" localSheetId="16" hidden="1">[16]유림골조!#REF!</definedName>
    <definedName name="_59_0_0__123Grap" hidden="1">[16]유림골조!#REF!</definedName>
    <definedName name="_6__123Graph_AChart_11B" localSheetId="4" hidden="1">[10]OtherKPI!#REF!</definedName>
    <definedName name="_6__123Graph_AChart_11B" localSheetId="16" hidden="1">[10]OtherKPI!#REF!</definedName>
    <definedName name="_6__123Graph_AChart_11B" hidden="1">[10]OtherKPI!#REF!</definedName>
    <definedName name="_6_0__123Grap" localSheetId="4" hidden="1">#REF!</definedName>
    <definedName name="_6_0__123Grap" localSheetId="16" hidden="1">#REF!</definedName>
    <definedName name="_6_0__123Grap" hidden="1">#REF!</definedName>
    <definedName name="_6_0_0__123Grap" localSheetId="4" hidden="1">[16]유림골조!#REF!</definedName>
    <definedName name="_6_0_0__123Grap" localSheetId="16" hidden="1">[16]유림골조!#REF!</definedName>
    <definedName name="_6_0_0__123Grap" hidden="1">[16]유림골조!#REF!</definedName>
    <definedName name="_6_0_0_F" localSheetId="4" hidden="1">#REF!</definedName>
    <definedName name="_6_0_0_F" localSheetId="16" hidden="1">#REF!</definedName>
    <definedName name="_6_0_0_F" hidden="1">#REF!</definedName>
    <definedName name="_6_0_0코아공" localSheetId="4" hidden="1">[11]공통비총괄표!#REF!</definedName>
    <definedName name="_6_0_0코아공" localSheetId="16" hidden="1">[11]공통비총괄표!#REF!</definedName>
    <definedName name="_6_0_0코아공" hidden="1">[11]공통비총괄표!#REF!</definedName>
    <definedName name="_6_0_Dist_" localSheetId="4" hidden="1">#REF!</definedName>
    <definedName name="_6_0_Dist_" localSheetId="16" hidden="1">#REF!</definedName>
    <definedName name="_6_0_Dist_" hidden="1">#REF!</definedName>
    <definedName name="_60__123Graph_BChart_17B" localSheetId="4" hidden="1">[10]OtherKPI!#REF!</definedName>
    <definedName name="_60__123Graph_BChart_17B" localSheetId="16" hidden="1">[10]OtherKPI!#REF!</definedName>
    <definedName name="_60__123Graph_BChart_17B" hidden="1">[10]OtherKPI!#REF!</definedName>
    <definedName name="_62_____123Graph_DCHART_13" hidden="1">[12]Demand!$G$37:$L$37</definedName>
    <definedName name="_62__123Graph_BChart_18B" localSheetId="4" hidden="1">[10]OtherKPI!#REF!</definedName>
    <definedName name="_62__123Graph_BChart_18B" localSheetId="16" hidden="1">[10]OtherKPI!#REF!</definedName>
    <definedName name="_62__123Graph_BChart_18B" hidden="1">[10]OtherKPI!#REF!</definedName>
    <definedName name="_63_____123Graph_DCHART_14" hidden="1">[12]Occ!$F$98:$P$98</definedName>
    <definedName name="_64__123Graph_BChart_21C" localSheetId="4" hidden="1">[10]OtherKPI!#REF!</definedName>
    <definedName name="_64__123Graph_BChart_21C" localSheetId="16" hidden="1">[10]OtherKPI!#REF!</definedName>
    <definedName name="_64__123Graph_BChart_21C" hidden="1">[10]OtherKPI!#REF!</definedName>
    <definedName name="_66__123Graph_BChart_22C" localSheetId="4" hidden="1">[10]OtherKPI!#REF!</definedName>
    <definedName name="_66__123Graph_BChart_22C" localSheetId="16" hidden="1">[10]OtherKPI!#REF!</definedName>
    <definedName name="_66__123Graph_BChart_22C" hidden="1">[10]OtherKPI!#REF!</definedName>
    <definedName name="_68_____123Graph_ECHART_14" hidden="1">[12]Occ!$F$99:$P$99</definedName>
    <definedName name="_68__123Graph_BChart_23C" localSheetId="4" hidden="1">[10]OtherKPI!#REF!</definedName>
    <definedName name="_68__123Graph_BChart_23C" localSheetId="16" hidden="1">[10]OtherKPI!#REF!</definedName>
    <definedName name="_68__123Graph_BChart_23C" hidden="1">[10]OtherKPI!#REF!</definedName>
    <definedName name="_7______123Grap" localSheetId="4" hidden="1">#REF!</definedName>
    <definedName name="_7______123Grap" localSheetId="16" hidden="1">#REF!</definedName>
    <definedName name="_7______123Grap" hidden="1">#REF!</definedName>
    <definedName name="_7_0공통비" localSheetId="4" hidden="1">[11]공통비총괄표!#REF!</definedName>
    <definedName name="_7_0공통비" localSheetId="16" hidden="1">[11]공통비총괄표!#REF!</definedName>
    <definedName name="_7_0공통비" hidden="1">[11]공통비총괄표!#REF!</definedName>
    <definedName name="_70__123Graph_BChart_24C" localSheetId="4" hidden="1">[10]OtherKPI!#REF!</definedName>
    <definedName name="_70__123Graph_BChart_24C" localSheetId="16" hidden="1">[10]OtherKPI!#REF!</definedName>
    <definedName name="_70__123Graph_BChart_24C" hidden="1">[10]OtherKPI!#REF!</definedName>
    <definedName name="_72__123Graph_BChart_25C" localSheetId="4" hidden="1">[10]OtherKPI!#REF!</definedName>
    <definedName name="_72__123Graph_BChart_25C" localSheetId="16" hidden="1">[10]OtherKPI!#REF!</definedName>
    <definedName name="_72__123Graph_BChart_25C" hidden="1">[10]OtherKPI!#REF!</definedName>
    <definedName name="_73_____123Graph_FCHART_14" hidden="1">[12]Occ!$F$100:$P$100</definedName>
    <definedName name="_74__123Graph_BChart_26C" localSheetId="4" hidden="1">[10]OtherKPI!#REF!</definedName>
    <definedName name="_74__123Graph_BChart_26C" localSheetId="16" hidden="1">[10]OtherKPI!#REF!</definedName>
    <definedName name="_74__123Graph_BChart_26C" hidden="1">[10]OtherKPI!#REF!</definedName>
    <definedName name="_76__123Graph_BChart_27C" localSheetId="4" hidden="1">[10]OtherKPI!#REF!</definedName>
    <definedName name="_76__123Graph_BChart_27C" localSheetId="16" hidden="1">[10]OtherKPI!#REF!</definedName>
    <definedName name="_76__123Graph_BChart_27C" hidden="1">[10]OtherKPI!#REF!</definedName>
    <definedName name="_78_____123Graph_XCHART_13" hidden="1">[12]Demand!$G$33:$L$33</definedName>
    <definedName name="_78__123Graph_BChart_3A" localSheetId="4" hidden="1">[10]OtherKPI!#REF!</definedName>
    <definedName name="_78__123Graph_BChart_3A" localSheetId="16" hidden="1">[10]OtherKPI!#REF!</definedName>
    <definedName name="_78__123Graph_BChart_3A" hidden="1">[10]OtherKPI!#REF!</definedName>
    <definedName name="_79_____123Graph_XCHART_14" hidden="1">[12]Occ!$F$94:$P$94</definedName>
    <definedName name="_7Dist_" localSheetId="4" hidden="1">#REF!</definedName>
    <definedName name="_7Dist_" localSheetId="16" hidden="1">#REF!</definedName>
    <definedName name="_7Dist_" hidden="1">#REF!</definedName>
    <definedName name="_8__123Graph_AChart_12B" localSheetId="4" hidden="1">[10]OtherKPI!#REF!</definedName>
    <definedName name="_8__123Graph_AChart_12B" localSheetId="16" hidden="1">[10]OtherKPI!#REF!</definedName>
    <definedName name="_8__123Graph_AChart_12B" hidden="1">[10]OtherKPI!#REF!</definedName>
    <definedName name="_8__123Graph_B차트_1" localSheetId="4" hidden="1">#REF!</definedName>
    <definedName name="_8__123Graph_B차트_1" localSheetId="16" hidden="1">#REF!</definedName>
    <definedName name="_8__123Graph_B차트_1" hidden="1">#REF!</definedName>
    <definedName name="_8_0_0_F" localSheetId="4" hidden="1">'[1]TOWER 10TON'!#REF!</definedName>
    <definedName name="_8_0_0_F" localSheetId="16" hidden="1">'[1]TOWER 10TON'!#REF!</definedName>
    <definedName name="_8_0_0_F" hidden="1">'[1]TOWER 10TON'!#REF!</definedName>
    <definedName name="_8_0현대코아공" localSheetId="4" hidden="1">[11]공통비총괄표!#REF!</definedName>
    <definedName name="_8_0현대코아공" localSheetId="16" hidden="1">[11]공통비총괄표!#REF!</definedName>
    <definedName name="_8_0현대코아공" hidden="1">[11]공통비총괄표!#REF!</definedName>
    <definedName name="_80__123Graph_BChart_4A" localSheetId="4" hidden="1">[10]OtherKPI!#REF!</definedName>
    <definedName name="_80__123Graph_BChart_4A" localSheetId="16" hidden="1">[10]OtherKPI!#REF!</definedName>
    <definedName name="_80__123Graph_BChart_4A" hidden="1">[10]OtherKPI!#REF!</definedName>
    <definedName name="_81_0_0코아공" localSheetId="4" hidden="1">[11]공통비총괄표!#REF!</definedName>
    <definedName name="_81_0_0코아공" localSheetId="16" hidden="1">[11]공통비총괄표!#REF!</definedName>
    <definedName name="_81_0_0코아공" hidden="1">[11]공통비총괄표!#REF!</definedName>
    <definedName name="_82__123Graph_BChart_5A" localSheetId="4" hidden="1">[10]OtherKPI!#REF!</definedName>
    <definedName name="_82__123Graph_BChart_5A" localSheetId="16" hidden="1">[10]OtherKPI!#REF!</definedName>
    <definedName name="_82__123Graph_BChart_5A" hidden="1">[10]OtherKPI!#REF!</definedName>
    <definedName name="_84__123Graph_BChart_6A" localSheetId="4" hidden="1">[10]OtherKPI!#REF!</definedName>
    <definedName name="_84__123Graph_BChart_6A" localSheetId="16" hidden="1">[10]OtherKPI!#REF!</definedName>
    <definedName name="_84__123Graph_BChart_6A" hidden="1">[10]OtherKPI!#REF!</definedName>
    <definedName name="_85_____123Graph_XCHART_20" hidden="1">[12]Occ!$F$30:$P$30</definedName>
    <definedName name="_86_____123Graph_XCHART_21" hidden="1">[12]Occ!$F$30:$P$30</definedName>
    <definedName name="_86__123Graph_BChart_7A" localSheetId="4" hidden="1">[10]OtherKPI!#REF!</definedName>
    <definedName name="_86__123Graph_BChart_7A" localSheetId="16" hidden="1">[10]OtherKPI!#REF!</definedName>
    <definedName name="_86__123Graph_BChart_7A" hidden="1">[10]OtherKPI!#REF!</definedName>
    <definedName name="_88__123Graph_BChart_8A" localSheetId="4" hidden="1">[10]OtherKPI!#REF!</definedName>
    <definedName name="_88__123Graph_BChart_8A" localSheetId="16" hidden="1">[10]OtherKPI!#REF!</definedName>
    <definedName name="_88__123Graph_BChart_8A" hidden="1">[10]OtherKPI!#REF!</definedName>
    <definedName name="_9_0_0__123Grap" localSheetId="4" hidden="1">[16]유림골조!#REF!</definedName>
    <definedName name="_9_0_0__123Grap" localSheetId="16" hidden="1">[16]유림골조!#REF!</definedName>
    <definedName name="_9_0_0__123Grap" hidden="1">[16]유림골조!#REF!</definedName>
    <definedName name="_9_0_0_F" localSheetId="4" hidden="1">#REF!</definedName>
    <definedName name="_9_0_0_F" localSheetId="16" hidden="1">#REF!</definedName>
    <definedName name="_9_0_0_F" hidden="1">#REF!</definedName>
    <definedName name="_9_123Grap" localSheetId="4" hidden="1">#REF!</definedName>
    <definedName name="_9_123Grap" localSheetId="16" hidden="1">#REF!</definedName>
    <definedName name="_9_123Grap" hidden="1">#REF!</definedName>
    <definedName name="_90____123Graph_ACHART_13" hidden="1">[12]Demand!$G$34:$L$34</definedName>
    <definedName name="_90__123Graph_BChart_9A" localSheetId="4" hidden="1">[10]OtherKPI!#REF!</definedName>
    <definedName name="_90__123Graph_BChart_9A" localSheetId="16" hidden="1">[10]OtherKPI!#REF!</definedName>
    <definedName name="_90__123Graph_BChart_9A" hidden="1">[10]OtherKPI!#REF!</definedName>
    <definedName name="_90_0공통비" localSheetId="4" hidden="1">[11]공통비총괄표!#REF!</definedName>
    <definedName name="_90_0공통비" localSheetId="16" hidden="1">[11]공통비총괄표!#REF!</definedName>
    <definedName name="_90_0공통비" hidden="1">[11]공통비총괄표!#REF!</definedName>
    <definedName name="_91____123Graph_ACHART_14" hidden="1">[12]Occ!$F$95:$P$95</definedName>
    <definedName name="_92__123Graph_CChart_13B" localSheetId="4" hidden="1">[10]OtherKPI!#REF!</definedName>
    <definedName name="_92__123Graph_CChart_13B" localSheetId="16" hidden="1">[10]OtherKPI!#REF!</definedName>
    <definedName name="_92__123Graph_CChart_13B" hidden="1">[10]OtherKPI!#REF!</definedName>
    <definedName name="_94__123Graph_CChart_16B" localSheetId="4" hidden="1">[10]OtherKPI!#REF!</definedName>
    <definedName name="_94__123Graph_CChart_16B" localSheetId="16" hidden="1">[10]OtherKPI!#REF!</definedName>
    <definedName name="_94__123Graph_CChart_16B" hidden="1">[10]OtherKPI!#REF!</definedName>
    <definedName name="_96__123Graph_CChart_17B" localSheetId="4" hidden="1">[10]OtherKPI!#REF!</definedName>
    <definedName name="_96__123Graph_CChart_17B" localSheetId="16" hidden="1">[10]OtherKPI!#REF!</definedName>
    <definedName name="_96__123Graph_CChart_17B" hidden="1">[10]OtherKPI!#REF!</definedName>
    <definedName name="_97____123Graph_ACHART_20" hidden="1">[12]Occ!$G$38:$P$38</definedName>
    <definedName name="_98__123Graph_CChart_22C" localSheetId="4" hidden="1">[10]OtherKPI!#REF!</definedName>
    <definedName name="_98__123Graph_CChart_22C" localSheetId="16" hidden="1">[10]OtherKPI!#REF!</definedName>
    <definedName name="_98__123Graph_CChart_22C" hidden="1">[10]OtherKPI!#REF!</definedName>
    <definedName name="_99____123Graph_ACHART_22" hidden="1">[12]Occ!$G$38:$P$38</definedName>
    <definedName name="_99_0현대코아공" localSheetId="4" hidden="1">[11]공통비총괄표!#REF!</definedName>
    <definedName name="_99_0현대코아공" localSheetId="16" hidden="1">[11]공통비총괄표!#REF!</definedName>
    <definedName name="_99_0현대코아공" hidden="1">[11]공통비총괄표!#REF!</definedName>
    <definedName name="_Dist_Bin" localSheetId="4" hidden="1">#REF!</definedName>
    <definedName name="_Dist_Bin" localSheetId="16" hidden="1">#REF!</definedName>
    <definedName name="_Dist_Bin" hidden="1">#REF!</definedName>
    <definedName name="_Dist_Values" localSheetId="4" hidden="1">#REF!</definedName>
    <definedName name="_Dist_Values" localSheetId="16" hidden="1">#REF!</definedName>
    <definedName name="_Dist_Values" hidden="1">#REF!</definedName>
    <definedName name="_Fill" localSheetId="6" hidden="1">#REF!</definedName>
    <definedName name="_Fill" localSheetId="3" hidden="1">[17]집계표!#REF!</definedName>
    <definedName name="_Fill" localSheetId="4" hidden="1">[17]집계표!#REF!</definedName>
    <definedName name="_Fill" localSheetId="5" hidden="1">[17]집계표!#REF!</definedName>
    <definedName name="_Fill" localSheetId="16" hidden="1">[17]집계표!#REF!</definedName>
    <definedName name="_Fill" localSheetId="0" hidden="1">[17]집계표!#REF!</definedName>
    <definedName name="_Fill" hidden="1">[17]집계표!#REF!</definedName>
    <definedName name="_fill1" localSheetId="4" hidden="1">[18]경비!#REF!</definedName>
    <definedName name="_fill1" localSheetId="16" hidden="1">[18]경비!#REF!</definedName>
    <definedName name="_fill1" hidden="1">[18]경비!#REF!</definedName>
    <definedName name="_filll" localSheetId="4" hidden="1">#REF!</definedName>
    <definedName name="_filll" localSheetId="16" hidden="1">#REF!</definedName>
    <definedName name="_filll" hidden="1">#REF!</definedName>
    <definedName name="_xlnm._FilterDatabase" localSheetId="6" hidden="1">#REF!</definedName>
    <definedName name="_xlnm._FilterDatabase" localSheetId="5" hidden="1">'사업수지표 '!$A$3:$W$8</definedName>
    <definedName name="_xlnm._FilterDatabase" localSheetId="0" hidden="1">총괄장!$A$6:$S$11</definedName>
    <definedName name="_IRR2" hidden="1">[3]공정!$AH$25:$AH$37</definedName>
    <definedName name="_jyr6"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jyr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_Key1" localSheetId="6" hidden="1">#REF!</definedName>
    <definedName name="_Key1" localSheetId="3" hidden="1">#REF!</definedName>
    <definedName name="_Key1" localSheetId="4" hidden="1">#REF!</definedName>
    <definedName name="_Key1" localSheetId="5" hidden="1">#REF!</definedName>
    <definedName name="_Key1" localSheetId="16" hidden="1">#REF!</definedName>
    <definedName name="_Key1" localSheetId="0" hidden="1">#REF!</definedName>
    <definedName name="_Key1" hidden="1">#REF!</definedName>
    <definedName name="_Key2" localSheetId="6" hidden="1">#REF!</definedName>
    <definedName name="_Key2" localSheetId="3" hidden="1">#REF!</definedName>
    <definedName name="_Key2" localSheetId="4" hidden="1">#REF!</definedName>
    <definedName name="_Key2" localSheetId="5" hidden="1">#REF!</definedName>
    <definedName name="_Key2" localSheetId="16" hidden="1">#REF!</definedName>
    <definedName name="_Key2" localSheetId="0" hidden="1">#REF!</definedName>
    <definedName name="_Key2" hidden="1">#REF!</definedName>
    <definedName name="_Key21" localSheetId="4" hidden="1">#REF!</definedName>
    <definedName name="_Key21" localSheetId="16" hidden="1">#REF!</definedName>
    <definedName name="_Key21" hidden="1">#REF!</definedName>
    <definedName name="_kfkf" localSheetId="4" hidden="1">#REF!</definedName>
    <definedName name="_kfkf" localSheetId="16" hidden="1">#REF!</definedName>
    <definedName name="_kfkf" hidden="1">#REF!</definedName>
    <definedName name="_MatInverse_In" localSheetId="4" hidden="1">#REF!</definedName>
    <definedName name="_MatInverse_In" localSheetId="16" hidden="1">#REF!</definedName>
    <definedName name="_MatInverse_In" hidden="1">#REF!</definedName>
    <definedName name="_MatInverse_Out" localSheetId="4" hidden="1">#REF!</definedName>
    <definedName name="_MatInverse_Out" localSheetId="16" hidden="1">#REF!</definedName>
    <definedName name="_MatInverse_Out" hidden="1">#REF!</definedName>
    <definedName name="_MatMult_A" localSheetId="4" hidden="1">#REF!</definedName>
    <definedName name="_MatMult_A" localSheetId="16" hidden="1">#REF!</definedName>
    <definedName name="_MatMult_A" hidden="1">#REF!</definedName>
    <definedName name="_MatMult_AxB" localSheetId="4" hidden="1">#REF!</definedName>
    <definedName name="_MatMult_AxB" localSheetId="16" hidden="1">#REF!</definedName>
    <definedName name="_MatMult_AxB" hidden="1">#REF!</definedName>
    <definedName name="_MatMult_B" localSheetId="4" hidden="1">#REF!</definedName>
    <definedName name="_MatMult_B" localSheetId="16" hidden="1">#REF!</definedName>
    <definedName name="_MatMult_B" hidden="1">#REF!</definedName>
    <definedName name="_MCC3" localSheetId="16" hidden="1">{#N/A,#N/A,FALSE,"CCTV"}</definedName>
    <definedName name="_MCC3" hidden="1">{#N/A,#N/A,FALSE,"CCTV"}</definedName>
    <definedName name="_Order1" localSheetId="6" hidden="1">0</definedName>
    <definedName name="_Order1" hidden="1">255</definedName>
    <definedName name="_Order2" hidden="1">0</definedName>
    <definedName name="_P3" localSheetId="16" hidden="1">{#N/A,#N/A,FALSE,"배수1"}</definedName>
    <definedName name="_P3" hidden="1">{#N/A,#N/A,FALSE,"배수1"}</definedName>
    <definedName name="_P4" localSheetId="16" hidden="1">{#N/A,#N/A,FALSE,"혼합골재"}</definedName>
    <definedName name="_P4" hidden="1">{#N/A,#N/A,FALSE,"혼합골재"}</definedName>
    <definedName name="_P5" localSheetId="16" hidden="1">{#N/A,#N/A,FALSE,"배수1"}</definedName>
    <definedName name="_P5" hidden="1">{#N/A,#N/A,FALSE,"배수1"}</definedName>
    <definedName name="_P6" localSheetId="16" hidden="1">{#N/A,#N/A,FALSE,"2~8번"}</definedName>
    <definedName name="_P6" hidden="1">{#N/A,#N/A,FALSE,"2~8번"}</definedName>
    <definedName name="_Parse_In" localSheetId="6" hidden="1">#REF!</definedName>
    <definedName name="_Parse_In" localSheetId="3" hidden="1">#REF!</definedName>
    <definedName name="_Parse_In" localSheetId="4" hidden="1">#REF!</definedName>
    <definedName name="_Parse_In" localSheetId="5" hidden="1">#REF!</definedName>
    <definedName name="_Parse_In" localSheetId="16" hidden="1">#REF!</definedName>
    <definedName name="_Parse_In" localSheetId="0" hidden="1">#REF!</definedName>
    <definedName name="_Parse_In" hidden="1">#REF!</definedName>
    <definedName name="_Parse_Out" localSheetId="6" hidden="1">#REF!</definedName>
    <definedName name="_Parse_Out" localSheetId="3" hidden="1">#REF!</definedName>
    <definedName name="_Parse_Out" localSheetId="4" hidden="1">#REF!</definedName>
    <definedName name="_Parse_Out" localSheetId="5" hidden="1">#REF!</definedName>
    <definedName name="_Parse_Out" localSheetId="16" hidden="1">#REF!</definedName>
    <definedName name="_Parse_Out" localSheetId="0" hidden="1">#REF!</definedName>
    <definedName name="_Parse_Out" hidden="1">#REF!</definedName>
    <definedName name="_PL7" localSheetId="16" hidden="1">{#N/A,#N/A,TRUE,"대 차 대 조 표"}</definedName>
    <definedName name="_PL7" hidden="1">{#N/A,#N/A,TRUE,"대 차 대 조 표"}</definedName>
    <definedName name="_Regression_Int" hidden="1">1</definedName>
    <definedName name="_Regression_Out" localSheetId="4" hidden="1">#REF!</definedName>
    <definedName name="_Regression_Out" localSheetId="16" hidden="1">#REF!</definedName>
    <definedName name="_Regression_Out" hidden="1">#REF!</definedName>
    <definedName name="_Regression_X" localSheetId="4" hidden="1">#REF!</definedName>
    <definedName name="_Regression_X" localSheetId="16" hidden="1">#REF!</definedName>
    <definedName name="_Regression_X" hidden="1">#REF!</definedName>
    <definedName name="_Regression_Y" localSheetId="4" hidden="1">#REF!</definedName>
    <definedName name="_Regression_Y" localSheetId="16" hidden="1">#REF!</definedName>
    <definedName name="_Regression_Y" hidden="1">#REF!</definedName>
    <definedName name="_S3" localSheetId="16" hidden="1">{#N/A,#N/A,FALSE,"포장2"}</definedName>
    <definedName name="_S3" hidden="1">{#N/A,#N/A,FALSE,"포장2"}</definedName>
    <definedName name="_Sort" localSheetId="6" hidden="1">#REF!</definedName>
    <definedName name="_Sort" localSheetId="3" hidden="1">#REF!</definedName>
    <definedName name="_Sort" localSheetId="4" hidden="1">#REF!</definedName>
    <definedName name="_Sort" localSheetId="5" hidden="1">#REF!</definedName>
    <definedName name="_Sort" localSheetId="16" hidden="1">#REF!</definedName>
    <definedName name="_Sort" localSheetId="0" hidden="1">#REF!</definedName>
    <definedName name="_Sort" hidden="1">#REF!</definedName>
    <definedName name="_SORT1" localSheetId="4" hidden="1">#REF!</definedName>
    <definedName name="_SORT1" localSheetId="16" hidden="1">#REF!</definedName>
    <definedName name="_SORT1" hidden="1">#REF!</definedName>
    <definedName name="_SSS1" localSheetId="4" hidden="1">#REF!</definedName>
    <definedName name="_SSS1" localSheetId="16" hidden="1">#REF!</definedName>
    <definedName name="_SSS1" hidden="1">#REF!</definedName>
    <definedName name="_Table1_In1" localSheetId="4" hidden="1">#REF!</definedName>
    <definedName name="_Table1_In1" localSheetId="16" hidden="1">#REF!</definedName>
    <definedName name="_Table1_In1" hidden="1">#REF!</definedName>
    <definedName name="_Table1_Out" localSheetId="4" hidden="1">#REF!</definedName>
    <definedName name="_Table1_Out" localSheetId="16" hidden="1">#REF!</definedName>
    <definedName name="_Table1_Out" hidden="1">#REF!</definedName>
    <definedName name="_Table2_In1" localSheetId="4" hidden="1">#REF!</definedName>
    <definedName name="_Table2_In1" localSheetId="16" hidden="1">#REF!</definedName>
    <definedName name="_Table2_In1" hidden="1">#REF!</definedName>
    <definedName name="_Table2_In2" localSheetId="4" hidden="1">#REF!</definedName>
    <definedName name="_Table2_In2" localSheetId="16" hidden="1">#REF!</definedName>
    <definedName name="_Table2_In2" hidden="1">#REF!</definedName>
    <definedName name="_Table2_Out" localSheetId="4" hidden="1">#REF!</definedName>
    <definedName name="_Table2_Out" localSheetId="16" hidden="1">#REF!</definedName>
    <definedName name="_Table2_Out" hidden="1">#REF!</definedName>
    <definedName name="_woogi" localSheetId="4" hidden="1">#REF!</definedName>
    <definedName name="_woogi" localSheetId="16" hidden="1">#REF!</definedName>
    <definedName name="_woogi" hidden="1">#REF!</definedName>
    <definedName name="_woogi2" localSheetId="4" hidden="1">#REF!</definedName>
    <definedName name="_woogi2" localSheetId="16" hidden="1">#REF!</definedName>
    <definedName name="_woogi2" hidden="1">#REF!</definedName>
    <definedName name="_woogi24" localSheetId="4" hidden="1">#REF!</definedName>
    <definedName name="_woogi24" localSheetId="16" hidden="1">#REF!</definedName>
    <definedName name="_woogi24" hidden="1">#REF!</definedName>
    <definedName name="_woogi3" localSheetId="4" hidden="1">#REF!</definedName>
    <definedName name="_woogi3" localSheetId="16" hidden="1">#REF!</definedName>
    <definedName name="_woogi3" hidden="1">#REF!</definedName>
    <definedName name="_재ㅐ햐" localSheetId="4" hidden="1">#REF!</definedName>
    <definedName name="_재ㅐ햐" localSheetId="16" hidden="1">#REF!</definedName>
    <definedName name="_재ㅐ햐" hidden="1">#REF!</definedName>
    <definedName name="´cAE°eE¹" localSheetId="4" hidden="1">#REF!</definedName>
    <definedName name="´cAE°eE¹" localSheetId="16" hidden="1">#REF!</definedName>
    <definedName name="´cAE°eE¹" hidden="1">#REF!</definedName>
    <definedName name="￠￥cAE¡ÆeEⓒo" localSheetId="4" hidden="1">#REF!</definedName>
    <definedName name="￠￥cAE¡ÆeEⓒo" localSheetId="16" hidden="1">#REF!</definedName>
    <definedName name="￠￥cAE¡ÆeEⓒo" hidden="1">#REF!</definedName>
    <definedName name="aaa" localSheetId="6" hidden="1">#REF!</definedName>
    <definedName name="aaaa" localSheetId="6" hidden="1">{#N/A,#N/A,FALSE,"CCTV"}</definedName>
    <definedName name="aaaaa" localSheetId="6" hidden="1">{#N/A,#N/A,FALSE,"조골재"}</definedName>
    <definedName name="aaaaaa" localSheetId="4" hidden="1">[19]목표세부명세!#REF!</definedName>
    <definedName name="aaaaaa" localSheetId="16" hidden="1">[19]목표세부명세!#REF!</definedName>
    <definedName name="aaaaaa" hidden="1">[19]목표세부명세!#REF!</definedName>
    <definedName name="aaaaaaaaaa" localSheetId="6" hidden="1">{#N/A,#N/A,FALSE,"포장1";#N/A,#N/A,FALSE,"포장1"}</definedName>
    <definedName name="aaaaaaaaaaaaaa" localSheetId="4" hidden="1">[19]목표세부명세!#REF!</definedName>
    <definedName name="aaaaaaaaaaaaaa" localSheetId="16" hidden="1">[19]목표세부명세!#REF!</definedName>
    <definedName name="aaaaaaaaaaaaaa" hidden="1">[19]목표세부명세!#REF!</definedName>
    <definedName name="ab" hidden="1">1</definedName>
    <definedName name="abc" localSheetId="6" hidden="1">[20]목표세부명세!#REF!</definedName>
    <definedName name="abc" localSheetId="3" hidden="1">[21]목표세부명세!#REF!</definedName>
    <definedName name="abc" localSheetId="4" hidden="1">[21]목표세부명세!#REF!</definedName>
    <definedName name="abc" localSheetId="5" hidden="1">[21]목표세부명세!#REF!</definedName>
    <definedName name="abc" localSheetId="16" hidden="1">[21]목표세부명세!#REF!</definedName>
    <definedName name="abc" localSheetId="0" hidden="1">[21]목표세부명세!#REF!</definedName>
    <definedName name="abc" hidden="1">[21]목표세부명세!#REF!</definedName>
    <definedName name="abcd" localSheetId="6" hidden="1">[22]노임이!#REF!</definedName>
    <definedName name="abcd" localSheetId="3" hidden="1">[20]노임이!#REF!</definedName>
    <definedName name="abcd" localSheetId="4" hidden="1">[20]노임이!#REF!</definedName>
    <definedName name="abcd" localSheetId="5" hidden="1">[20]노임이!#REF!</definedName>
    <definedName name="abcd" localSheetId="16" hidden="1">[20]노임이!#REF!</definedName>
    <definedName name="abcd" localSheetId="0" hidden="1">[20]노임이!#REF!</definedName>
    <definedName name="abcd" hidden="1">[20]노임이!#REF!</definedName>
    <definedName name="Access_Button" hidden="1">"종합사번1999년_99년02월_퇴사__List"</definedName>
    <definedName name="AccessDatabase" hidden="1">"C:\My Documents\사번\종합사번1999년.mdb"</definedName>
    <definedName name="ADC" localSheetId="4" hidden="1">#REF!</definedName>
    <definedName name="ADC" localSheetId="16" hidden="1">#REF!</definedName>
    <definedName name="ADC" hidden="1">#REF!</definedName>
    <definedName name="ad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d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fasdf" localSheetId="4" hidden="1">#REF!</definedName>
    <definedName name="afasdf" localSheetId="16" hidden="1">#REF!</definedName>
    <definedName name="afasdf" hidden="1">#REF!</definedName>
    <definedName name="af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f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g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g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hh"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hh"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J" localSheetId="16" hidden="1">{#N/A,#N/A,FALSE,"이태원철근"}</definedName>
    <definedName name="AJ" hidden="1">{#N/A,#N/A,FALSE,"이태원철근"}</definedName>
    <definedName name="AJH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JH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AN" localSheetId="4" hidden="1">[23]경비!#REF!</definedName>
    <definedName name="AN" localSheetId="16" hidden="1">[23]경비!#REF!</definedName>
    <definedName name="AN" hidden="1">[23]경비!#REF!</definedName>
    <definedName name="ann"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nn"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nscount" hidden="1">2</definedName>
    <definedName name="AQWS"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QW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ar"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r"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RBS" localSheetId="16" hidden="1">{#N/A,#N/A,FALSE,"BS";#N/A,#N/A,FALSE,"PL";#N/A,#N/A,FALSE,"처분";#N/A,#N/A,FALSE,"현금";#N/A,#N/A,FALSE,"매출";#N/A,#N/A,FALSE,"원가";#N/A,#N/A,FALSE,"경영"}</definedName>
    <definedName name="ARBS" hidden="1">{#N/A,#N/A,FALSE,"BS";#N/A,#N/A,FALSE,"PL";#N/A,#N/A,FALSE,"처분";#N/A,#N/A,FALSE,"현금";#N/A,#N/A,FALSE,"매출";#N/A,#N/A,FALSE,"원가";#N/A,#N/A,FALSE,"경영"}</definedName>
    <definedName name="arbss" localSheetId="16" hidden="1">{#N/A,#N/A,FALSE,"BS";#N/A,#N/A,FALSE,"PL";#N/A,#N/A,FALSE,"처분";#N/A,#N/A,FALSE,"현금";#N/A,#N/A,FALSE,"매출";#N/A,#N/A,FALSE,"원가";#N/A,#N/A,FALSE,"경영"}</definedName>
    <definedName name="arbss" hidden="1">{#N/A,#N/A,FALSE,"BS";#N/A,#N/A,FALSE,"PL";#N/A,#N/A,FALSE,"처분";#N/A,#N/A,FALSE,"현금";#N/A,#N/A,FALSE,"매출";#N/A,#N/A,FALSE,"원가";#N/A,#N/A,FALSE,"경영"}</definedName>
    <definedName name="arr"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rr"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s" localSheetId="16" hidden="1">{#N/A,#N/A,FALSE,"PART-1234-8-12-9(41)";#N/A,#N/A,FALSE,"PARTS-2(3)";#N/A,#N/A,FALSE,"VAN SYSTEM";#N/A,#N/A,FALSE,"PARTS-10(26)";#N/A,#N/A,FALSE,"PART-5-6-7-11(14)";#N/A,#N/A,FALSE,"PARTS-4(3)";#N/A,#N/A,FALSE,"PCLASS"}</definedName>
    <definedName name="as" hidden="1">{#N/A,#N/A,FALSE,"PART-1234-8-12-9(41)";#N/A,#N/A,FALSE,"PARTS-2(3)";#N/A,#N/A,FALSE,"VAN SYSTEM";#N/A,#N/A,FALSE,"PARTS-10(26)";#N/A,#N/A,FALSE,"PART-5-6-7-11(14)";#N/A,#N/A,FALSE,"PARTS-4(3)";#N/A,#N/A,FALSE,"PCLASS"}</definedName>
    <definedName name="AS2DocOpenMode" hidden="1">"AS2DocumentBrowse"</definedName>
    <definedName name="AS2ReportLS" hidden="1">1</definedName>
    <definedName name="AS2StaticLS" localSheetId="4" hidden="1">#REF!</definedName>
    <definedName name="AS2StaticLS" localSheetId="16" hidden="1">#REF!</definedName>
    <definedName name="AS2StaticLS" hidden="1">#REF!</definedName>
    <definedName name="AS2SyncStepLS" hidden="1">0</definedName>
    <definedName name="AS2TickmarkLS" localSheetId="4" hidden="1">#REF!</definedName>
    <definedName name="AS2TickmarkLS" localSheetId="16" hidden="1">#REF!</definedName>
    <definedName name="AS2TickmarkLS" hidden="1">#REF!</definedName>
    <definedName name="AS2VersionLS" hidden="1">300</definedName>
    <definedName name="ass"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ss"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vvvv"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vvvv"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vvvvv"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avvvvv"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BB" localSheetId="6" hidden="1">{#N/A,#N/A,FALSE,"이태원철근"}</definedName>
    <definedName name="BBB"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B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C" localSheetId="16" hidden="1">{#N/A,#N/A,FALSE,"이태원철근"}</definedName>
    <definedName name="BC" hidden="1">{#N/A,#N/A,FALSE,"이태원철근"}</definedName>
    <definedName name="BD5산근" localSheetId="4" hidden="1">#REF!</definedName>
    <definedName name="BD5산근" localSheetId="16" hidden="1">#REF!</definedName>
    <definedName name="BD5산근" hidden="1">#REF!</definedName>
    <definedName name="BD5수량집계" localSheetId="4" hidden="1">#REF!</definedName>
    <definedName name="BD5수량집계" localSheetId="16" hidden="1">#REF!</definedName>
    <definedName name="BD5수량집계" hidden="1">#REF!</definedName>
    <definedName name="BFDFB"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FDFB"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BG_Del" hidden="1">15</definedName>
    <definedName name="BG_Ins" hidden="1">4</definedName>
    <definedName name="BG_Mod" hidden="1">6</definedName>
    <definedName name="BI" localSheetId="6" hidden="1">{#N/A,#N/A,FALSE,"이태원철근"}</definedName>
    <definedName name="BPR_01" localSheetId="16" hidden="1">{#N/A,#N/A,FALSE,"BS";#N/A,#N/A,FALSE,"PL";#N/A,#N/A,FALSE,"처분";#N/A,#N/A,FALSE,"현금";#N/A,#N/A,FALSE,"매출";#N/A,#N/A,FALSE,"원가";#N/A,#N/A,FALSE,"경영"}</definedName>
    <definedName name="BPR_01" hidden="1">{#N/A,#N/A,FALSE,"BS";#N/A,#N/A,FALSE,"PL";#N/A,#N/A,FALSE,"처분";#N/A,#N/A,FALSE,"현금";#N/A,#N/A,FALSE,"매출";#N/A,#N/A,FALSE,"원가";#N/A,#N/A,FALSE,"경영"}</definedName>
    <definedName name="BSB"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BSB"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BU별" localSheetId="16" hidden="1">{#N/A,#N/A,FALSE,"동부"}</definedName>
    <definedName name="BU별" hidden="1">{#N/A,#N/A,FALSE,"동부"}</definedName>
    <definedName name="CARL" localSheetId="16" hidden="1">{#N/A,#N/A,FALSE,"CCTV"}</definedName>
    <definedName name="CARL" hidden="1">{#N/A,#N/A,FALSE,"CCTV"}</definedName>
    <definedName name="CARL1" localSheetId="16" hidden="1">{#N/A,#N/A,FALSE,"CCTV"}</definedName>
    <definedName name="CARL1" hidden="1">{#N/A,#N/A,FALSE,"CCTV"}</definedName>
    <definedName name="CARL2" localSheetId="16" hidden="1">{#N/A,#N/A,FALSE,"CCTV"}</definedName>
    <definedName name="CARL2" hidden="1">{#N/A,#N/A,FALSE,"CCTV"}</definedName>
    <definedName name="CBWorkbookPriority" hidden="1">-1447029235</definedName>
    <definedName name="CF요인" localSheetId="6" hidden="1">#REF!</definedName>
    <definedName name="CF요인" localSheetId="3" hidden="1">#REF!</definedName>
    <definedName name="CF요인" localSheetId="4" hidden="1">#REF!</definedName>
    <definedName name="CF요인" localSheetId="5" hidden="1">#REF!</definedName>
    <definedName name="CF요인" localSheetId="16" hidden="1">#REF!</definedName>
    <definedName name="CF요인" localSheetId="0" hidden="1">#REF!</definedName>
    <definedName name="CF요인" hidden="1">#REF!</definedName>
    <definedName name="CHD" localSheetId="16" hidden="1">{#N/A,#N/A,FALSE,"손익표지";#N/A,#N/A,FALSE,"손익계산";#N/A,#N/A,FALSE,"일반관리비";#N/A,#N/A,FALSE,"영업외수익";#N/A,#N/A,FALSE,"영업외비용";#N/A,#N/A,FALSE,"매출액";#N/A,#N/A,FALSE,"요약손익";#N/A,#N/A,FALSE,"요약대차";#N/A,#N/A,FALSE,"매출채권현황";#N/A,#N/A,FALSE,"매출채권명세"}</definedName>
    <definedName name="CHD" hidden="1">{#N/A,#N/A,FALSE,"손익표지";#N/A,#N/A,FALSE,"손익계산";#N/A,#N/A,FALSE,"일반관리비";#N/A,#N/A,FALSE,"영업외수익";#N/A,#N/A,FALSE,"영업외비용";#N/A,#N/A,FALSE,"매출액";#N/A,#N/A,FALSE,"요약손익";#N/A,#N/A,FALSE,"요약대차";#N/A,#N/A,FALSE,"매출채권현황";#N/A,#N/A,FALSE,"매출채권명세"}</definedName>
    <definedName name="chemical" localSheetId="16" hidden="1">{#N/A,#N/A,FALSE,"CCTV"}</definedName>
    <definedName name="chemical" hidden="1">{#N/A,#N/A,FALSE,"CCTV"}</definedName>
    <definedName name="CHOI" localSheetId="16" hidden="1">{#N/A,#N/A,FALSE,"PART-1234-8-12-9(41)";#N/A,#N/A,FALSE,"PARTS-2(3)";#N/A,#N/A,FALSE,"VAN SYSTEM";#N/A,#N/A,FALSE,"PARTS-10(26)";#N/A,#N/A,FALSE,"PART-5-6-7-11(14)";#N/A,#N/A,FALSE,"PARTS-4(3)";#N/A,#N/A,FALSE,"PCLASS"}</definedName>
    <definedName name="CHOI" hidden="1">{#N/A,#N/A,FALSE,"PART-1234-8-12-9(41)";#N/A,#N/A,FALSE,"PARTS-2(3)";#N/A,#N/A,FALSE,"VAN SYSTEM";#N/A,#N/A,FALSE,"PARTS-10(26)";#N/A,#N/A,FALSE,"PART-5-6-7-11(14)";#N/A,#N/A,FALSE,"PARTS-4(3)";#N/A,#N/A,FALSE,"PCLASS"}</definedName>
    <definedName name="CQ" localSheetId="16"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Q"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cxv"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cxv"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 localSheetId="6" hidden="1">{#N/A,#N/A,FALSE,"이태원철근"}</definedName>
    <definedName name="DA_2049328543900000203" localSheetId="4" hidden="1">[24]산출세액!#REF!</definedName>
    <definedName name="DA_2049328543900000203" localSheetId="16" hidden="1">[24]산출세액!#REF!</definedName>
    <definedName name="DA_2049328543900000203" hidden="1">[24]산출세액!#REF!</definedName>
    <definedName name="DA_2049328543900000230" localSheetId="4" hidden="1">[24]산출세액!#REF!</definedName>
    <definedName name="DA_2049328543900000230" localSheetId="16" hidden="1">[24]산출세액!#REF!</definedName>
    <definedName name="DA_2049328543900000230" hidden="1">[24]산출세액!#REF!</definedName>
    <definedName name="DA_2049328543900000234" localSheetId="4" hidden="1">[24]산출세액!#REF!</definedName>
    <definedName name="DA_2049328543900000234" localSheetId="16" hidden="1">[24]산출세액!#REF!</definedName>
    <definedName name="DA_2049328543900000234" hidden="1">[24]산출세액!#REF!</definedName>
    <definedName name="DA_2049328543900000242" localSheetId="4" hidden="1">[24]산출세액!#REF!</definedName>
    <definedName name="DA_2049328543900000242" localSheetId="16" hidden="1">[24]산출세액!#REF!</definedName>
    <definedName name="DA_2049328543900000242" hidden="1">[24]산출세액!#REF!</definedName>
    <definedName name="DA_2049328543900000250" localSheetId="4" hidden="1">[24]산출세액!#REF!</definedName>
    <definedName name="DA_2049328543900000250" localSheetId="16" hidden="1">[24]산출세액!#REF!</definedName>
    <definedName name="DA_2049328543900000250" hidden="1">[24]산출세액!#REF!</definedName>
    <definedName name="DA_2049328543900000254" localSheetId="4" hidden="1">[25]이연법인세!#REF!</definedName>
    <definedName name="DA_2049328543900000254" localSheetId="16" hidden="1">[25]이연법인세!#REF!</definedName>
    <definedName name="DA_2049328543900000254" hidden="1">[25]이연법인세!#REF!</definedName>
    <definedName name="DA_2049328543900000258" localSheetId="4" hidden="1">[25]이연법인세!#REF!</definedName>
    <definedName name="DA_2049328543900000258" localSheetId="16" hidden="1">[25]이연법인세!#REF!</definedName>
    <definedName name="DA_2049328543900000258" hidden="1">[25]이연법인세!#REF!</definedName>
    <definedName name="dao" localSheetId="16" hidden="1">{#N/A,#N/A,FALSE,"BS";#N/A,#N/A,FALSE,"PL";#N/A,#N/A,FALSE,"처분";#N/A,#N/A,FALSE,"현금";#N/A,#N/A,FALSE,"매출";#N/A,#N/A,FALSE,"원가";#N/A,#N/A,FALSE,"경영"}</definedName>
    <definedName name="dao" hidden="1">{#N/A,#N/A,FALSE,"BS";#N/A,#N/A,FALSE,"PL";#N/A,#N/A,FALSE,"처분";#N/A,#N/A,FALSE,"현금";#N/A,#N/A,FALSE,"매출";#N/A,#N/A,FALSE,"원가";#N/A,#N/A,FALSE,"경영"}</definedName>
    <definedName name="dataww" localSheetId="4" hidden="1">#REF!</definedName>
    <definedName name="dataww" localSheetId="16" hidden="1">#REF!</definedName>
    <definedName name="dataww" hidden="1">#REF!</definedName>
    <definedName name="dddd" localSheetId="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ddd" localSheetId="4" hidden="1">#REF!</definedName>
    <definedName name="ddddd" localSheetId="16" hidden="1">#REF!</definedName>
    <definedName name="ddddd" hidden="1">#REF!</definedName>
    <definedName name="ddddd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ddd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dddd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dddd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DFDF" localSheetId="4" hidden="1">#REF!</definedName>
    <definedName name="DDFDF" localSheetId="16" hidden="1">#REF!</definedName>
    <definedName name="DDFDF" hidden="1">#REF!</definedName>
    <definedName name="DDFRE"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DFR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 localSheetId="4" hidden="1">#REF!</definedName>
    <definedName name="df" localSheetId="16" hidden="1">#REF!</definedName>
    <definedName name="df" hidden="1">#REF!</definedName>
    <definedName name="dfakdf" localSheetId="4" hidden="1">#REF!</definedName>
    <definedName name="dfakdf" localSheetId="16" hidden="1">#REF!</definedName>
    <definedName name="dfakdf" hidden="1">#REF!</definedName>
    <definedName name="DFASDFDS" localSheetId="16" hidden="1">{#N/A,#N/A,FALSE,"손익표지";#N/A,#N/A,FALSE,"손익계산";#N/A,#N/A,FALSE,"일반관리비";#N/A,#N/A,FALSE,"영업외수익";#N/A,#N/A,FALSE,"영업외비용";#N/A,#N/A,FALSE,"매출액";#N/A,#N/A,FALSE,"요약손익";#N/A,#N/A,FALSE,"요약대차";#N/A,#N/A,FALSE,"매출채권현황";#N/A,#N/A,FALSE,"매출채권명세"}</definedName>
    <definedName name="DFASDFDS" hidden="1">{#N/A,#N/A,FALSE,"손익표지";#N/A,#N/A,FALSE,"손익계산";#N/A,#N/A,FALSE,"일반관리비";#N/A,#N/A,FALSE,"영업외수익";#N/A,#N/A,FALSE,"영업외비용";#N/A,#N/A,FALSE,"매출액";#N/A,#N/A,FALSE,"요약손익";#N/A,#N/A,FALSE,"요약대차";#N/A,#N/A,FALSE,"매출채권현황";#N/A,#N/A,FALSE,"매출채권명세"}</definedName>
    <definedName name="DFASFD" localSheetId="16" hidden="1">{#N/A,#N/A,FALSE,"골재소요량";#N/A,#N/A,FALSE,"골재소요량"}</definedName>
    <definedName name="DFASFD" hidden="1">{#N/A,#N/A,FALSE,"골재소요량";#N/A,#N/A,FALSE,"골재소요량"}</definedName>
    <definedName name="DFDASFGDASG" localSheetId="16" hidden="1">{#N/A,#N/A,FALSE,"단가표지"}</definedName>
    <definedName name="DFDASFGDASG" hidden="1">{#N/A,#N/A,FALSE,"단가표지"}</definedName>
    <definedName name="dfd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fd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FDFDF" localSheetId="16" hidden="1">{#N/A,#N/A,FALSE,"단가표지"}</definedName>
    <definedName name="DFDFDF" hidden="1">{#N/A,#N/A,FALSE,"단가표지"}</definedName>
    <definedName name="DFDSADFADSF" localSheetId="16" hidden="1">{#N/A,#N/A,FALSE,"2~8번"}</definedName>
    <definedName name="DFDSADFADSF" hidden="1">{#N/A,#N/A,FALSE,"2~8번"}</definedName>
    <definedName name="DFDSAFDFD" localSheetId="16" hidden="1">{#N/A,#N/A,FALSE,"부대1"}</definedName>
    <definedName name="DFDSAFDFD" hidden="1">{#N/A,#N/A,FALSE,"부대1"}</definedName>
    <definedName name="DFDSAFSFG" localSheetId="16" hidden="1">{#N/A,#N/A,FALSE,"구조2"}</definedName>
    <definedName name="DFDSAFSFG" hidden="1">{#N/A,#N/A,FALSE,"구조2"}</definedName>
    <definedName name="DFDSAGFDSAG" localSheetId="16" hidden="1">{#N/A,#N/A,FALSE,"혼합골재"}</definedName>
    <definedName name="DFDSAGFDSAG" hidden="1">{#N/A,#N/A,FALSE,"혼합골재"}</definedName>
    <definedName name="DFDSFD" localSheetId="16" hidden="1">{#N/A,#N/A,FALSE,"속도"}</definedName>
    <definedName name="DFDSFD" hidden="1">{#N/A,#N/A,FALSE,"속도"}</definedName>
    <definedName name="DFDSFDFDFD" localSheetId="16" hidden="1">{#N/A,#N/A,FALSE,"구조1"}</definedName>
    <definedName name="DFDSFDFDFD" hidden="1">{#N/A,#N/A,FALSE,"구조1"}</definedName>
    <definedName name="DFDSFDS" localSheetId="16" hidden="1">{#N/A,#N/A,FALSE,"부대2"}</definedName>
    <definedName name="DFDSFDS" hidden="1">{#N/A,#N/A,FALSE,"부대2"}</definedName>
    <definedName name="DFDSSF" localSheetId="16" hidden="1">{#N/A,#N/A,FALSE,"이정표"}</definedName>
    <definedName name="DFDSSF" hidden="1">{#N/A,#N/A,FALSE,"이정표"}</definedName>
    <definedName name="df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f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FGADSGAFDG" localSheetId="16" hidden="1">{#N/A,#N/A,FALSE,"운반시간"}</definedName>
    <definedName name="DFGADSGAFDG" hidden="1">{#N/A,#N/A,FALSE,"운반시간"}</definedName>
    <definedName name="dfggh"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fggh"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FSAFSAFD" localSheetId="4" hidden="1">#REF!</definedName>
    <definedName name="DFSAFSAFD" localSheetId="16" hidden="1">#REF!</definedName>
    <definedName name="DFSAFSAFD" hidden="1">#REF!</definedName>
    <definedName name="DFSDF" localSheetId="4" hidden="1">#REF!</definedName>
    <definedName name="DFSDF" localSheetId="16" hidden="1">#REF!</definedName>
    <definedName name="DFSDF" hidden="1">#REF!</definedName>
    <definedName name="DFSF" localSheetId="4" hidden="1">#REF!</definedName>
    <definedName name="DFSF" localSheetId="16" hidden="1">#REF!</definedName>
    <definedName name="DFSF" hidden="1">#REF!</definedName>
    <definedName name="DFSWE"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FS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DGD"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GFDS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DJDJDJD"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DJDJDJD"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DJQ" localSheetId="16" hidden="1">{#N/A,#N/A,FALSE,"PART-1234-8-12-9(41)";#N/A,#N/A,FALSE,"PARTS-2(3)";#N/A,#N/A,FALSE,"VAN SYSTEM";#N/A,#N/A,FALSE,"PARTS-10(26)";#N/A,#N/A,FALSE,"PART-5-6-7-11(14)";#N/A,#N/A,FALSE,"PARTS-4(3)";#N/A,#N/A,FALSE,"PCLASS"}</definedName>
    <definedName name="DJQ" hidden="1">{#N/A,#N/A,FALSE,"PART-1234-8-12-9(41)";#N/A,#N/A,FALSE,"PARTS-2(3)";#N/A,#N/A,FALSE,"VAN SYSTEM";#N/A,#N/A,FALSE,"PARTS-10(26)";#N/A,#N/A,FALSE,"PART-5-6-7-11(14)";#N/A,#N/A,FALSE,"PARTS-4(3)";#N/A,#N/A,FALSE,"PCLASS"}</definedName>
    <definedName name="DJQAN" localSheetId="16" hidden="1">{#N/A,#N/A,TRUE,"대 차 대 조 표"}</definedName>
    <definedName name="DJQAN" hidden="1">{#N/A,#N/A,TRUE,"대 차 대 조 표"}</definedName>
    <definedName name="dk"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k"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kdk" localSheetId="16" hidden="1">{#N/A,#N/A,FALSE,"BS";#N/A,#N/A,FALSE,"PL";#N/A,#N/A,FALSE,"처분";#N/A,#N/A,FALSE,"현금";#N/A,#N/A,FALSE,"매출";#N/A,#N/A,FALSE,"원가";#N/A,#N/A,FALSE,"경영"}</definedName>
    <definedName name="dkdk" hidden="1">{#N/A,#N/A,FALSE,"BS";#N/A,#N/A,FALSE,"PL";#N/A,#N/A,FALSE,"처분";#N/A,#N/A,FALSE,"현금";#N/A,#N/A,FALSE,"매출";#N/A,#N/A,FALSE,"원가";#N/A,#N/A,FALSE,"경영"}</definedName>
    <definedName name="dkdkdkd" localSheetId="16" hidden="1">{#N/A,#N/A,FALSE,"BS";#N/A,#N/A,FALSE,"IS";#N/A,#N/A,FALSE,"결손금처리";#N/A,#N/A,FALSE,"cashflow"}</definedName>
    <definedName name="dkdkdkd" hidden="1">{#N/A,#N/A,FALSE,"BS";#N/A,#N/A,FALSE,"IS";#N/A,#N/A,FALSE,"결손금처리";#N/A,#N/A,FALSE,"cashflow"}</definedName>
    <definedName name="dlkfajldjf" localSheetId="16" hidden="1">{#N/A,#N/A,FALSE,"지침";#N/A,#N/A,FALSE,"환경분석";#N/A,#N/A,FALSE,"Sheet16"}</definedName>
    <definedName name="dlkfajldjf" hidden="1">{#N/A,#N/A,FALSE,"지침";#N/A,#N/A,FALSE,"환경분석";#N/A,#N/A,FALSE,"Sheet16"}</definedName>
    <definedName name="dlwodud" localSheetId="16" hidden="1">{#N/A,#N/A,FALSE,"조골재"}</definedName>
    <definedName name="dlwodud" hidden="1">{#N/A,#N/A,FALSE,"조골재"}</definedName>
    <definedName name="dma" localSheetId="16" hidden="1">{#N/A,#N/A,FALSE,"BS";#N/A,#N/A,FALSE,"PL";#N/A,#N/A,FALSE,"처분";#N/A,#N/A,FALSE,"현금";#N/A,#N/A,FALSE,"매출";#N/A,#N/A,FALSE,"원가";#N/A,#N/A,FALSE,"경영"}</definedName>
    <definedName name="dma" hidden="1">{#N/A,#N/A,FALSE,"BS";#N/A,#N/A,FALSE,"PL";#N/A,#N/A,FALSE,"처분";#N/A,#N/A,FALSE,"현금";#N/A,#N/A,FALSE,"매출";#N/A,#N/A,FALSE,"원가";#N/A,#N/A,FALSE,"경영"}</definedName>
    <definedName name="DMKJUXF" localSheetId="16" hidden="1">{#N/A,#N/A,FALSE,"포장2"}</definedName>
    <definedName name="DMKJUXF" hidden="1">{#N/A,#N/A,FALSE,"포장2"}</definedName>
    <definedName name="dn" localSheetId="16" hidden="1">{#N/A,#N/A,FALSE,"혼합골재"}</definedName>
    <definedName name="dn" hidden="1">{#N/A,#N/A,FALSE,"혼합골재"}</definedName>
    <definedName name="DNFL" localSheetId="16" hidden="1">{#N/A,#N/A,FALSE,"동부"}</definedName>
    <definedName name="DNFL" hidden="1">{#N/A,#N/A,FALSE,"동부"}</definedName>
    <definedName name="DpFKDL" localSheetId="16" hidden="1">{#N/A,#N/A,FALSE,"이태원철근"}</definedName>
    <definedName name="DpFKDL" hidden="1">{#N/A,#N/A,FALSE,"이태원철근"}</definedName>
    <definedName name="dsaf" localSheetId="16" hidden="1">{#N/A,#N/A,FALSE,"조골재"}</definedName>
    <definedName name="dsaf" hidden="1">{#N/A,#N/A,FALSE,"조골재"}</definedName>
    <definedName name="DSAFAHSDHFDHF" localSheetId="16" hidden="1">{#N/A,#N/A,FALSE,"손익표지";#N/A,#N/A,FALSE,"손익계산";#N/A,#N/A,FALSE,"일반관리비";#N/A,#N/A,FALSE,"영업외수익";#N/A,#N/A,FALSE,"영업외비용";#N/A,#N/A,FALSE,"매출액";#N/A,#N/A,FALSE,"요약손익";#N/A,#N/A,FALSE,"요약대차";#N/A,#N/A,FALSE,"매출채권현황";#N/A,#N/A,FALSE,"매출채권명세"}</definedName>
    <definedName name="DSAFAHSDHFDHF" hidden="1">{#N/A,#N/A,FALSE,"손익표지";#N/A,#N/A,FALSE,"손익계산";#N/A,#N/A,FALSE,"일반관리비";#N/A,#N/A,FALSE,"영업외수익";#N/A,#N/A,FALSE,"영업외비용";#N/A,#N/A,FALSE,"매출액";#N/A,#N/A,FALSE,"요약손익";#N/A,#N/A,FALSE,"요약대차";#N/A,#N/A,FALSE,"매출채권현황";#N/A,#N/A,FALSE,"매출채권명세"}</definedName>
    <definedName name="DSF" localSheetId="16" hidden="1">{#N/A,#N/A,FALSE,"골재소요량";#N/A,#N/A,FALSE,"골재소요량"}</definedName>
    <definedName name="DSF" hidden="1">{#N/A,#N/A,FALSE,"골재소요량";#N/A,#N/A,FALSE,"골재소요량"}</definedName>
    <definedName name="dsfsdfds" localSheetId="4" hidden="1">'[26]#REF'!#REF!</definedName>
    <definedName name="dsfsdfds" localSheetId="16" hidden="1">'[26]#REF'!#REF!</definedName>
    <definedName name="dsfsdfds" hidden="1">'[26]#REF'!#REF!</definedName>
    <definedName name="dtjcfcgfh" localSheetId="4" hidden="1">[11]공통비총괄표!#REF!</definedName>
    <definedName name="dtjcfcgfh" localSheetId="16" hidden="1">[11]공통비총괄표!#REF!</definedName>
    <definedName name="dtjcfcgfh" hidden="1">[11]공통비총괄표!#REF!</definedName>
    <definedName name="DW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DW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E" localSheetId="6" hidden="1">{#N/A,#N/A,FALSE,"이태원철근"}</definedName>
    <definedName name="ED" localSheetId="16" hidden="1">{#N/A,#N/A,FALSE,"CCTV"}</definedName>
    <definedName name="ED" hidden="1">{#N/A,#N/A,FALSE,"CCTV"}</definedName>
    <definedName name="ee" localSheetId="16" hidden="1">{#N/A,#N/A,FALSE,"단가표지"}</definedName>
    <definedName name="ee" hidden="1">{#N/A,#N/A,FALSE,"단가표지"}</definedName>
    <definedName name="eee" localSheetId="4" hidden="1">#REF!</definedName>
    <definedName name="eee" localSheetId="16" hidden="1">#REF!</definedName>
    <definedName name="eee" hidden="1">#REF!</definedName>
    <definedName name="efd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efd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ehrmq" localSheetId="16" hidden="1">{#N/A,#N/A,FALSE,"이태원철근"}</definedName>
    <definedName name="ehrmq" hidden="1">{#N/A,#N/A,FALSE,"이태원철근"}</definedName>
    <definedName name="EK" localSheetId="4" hidden="1">#REF!</definedName>
    <definedName name="EK" localSheetId="16" hidden="1">#REF!</definedName>
    <definedName name="EK" hidden="1">#REF!</definedName>
    <definedName name="ekfie" localSheetId="16" hidden="1">{#N/A,#N/A,FALSE,"Aging Summary";#N/A,#N/A,FALSE,"Ratio Analysis";#N/A,#N/A,FALSE,"Test 120 Day Accts";#N/A,#N/A,FALSE,"Tickmarks"}</definedName>
    <definedName name="ekfie" hidden="1">{#N/A,#N/A,FALSE,"Aging Summary";#N/A,#N/A,FALSE,"Ratio Analysis";#N/A,#N/A,FALSE,"Test 120 Day Accts";#N/A,#N/A,FALSE,"Tickmarks"}</definedName>
    <definedName name="ELLEN1" localSheetId="16" hidden="1">{#N/A,#N/A,FALSE,"CCTV"}</definedName>
    <definedName name="ELLEN1" hidden="1">{#N/A,#N/A,FALSE,"CCTV"}</definedName>
    <definedName name="ELLEN10" localSheetId="16" hidden="1">{#N/A,#N/A,FALSE,"CCTV"}</definedName>
    <definedName name="ELLEN10" hidden="1">{#N/A,#N/A,FALSE,"CCTV"}</definedName>
    <definedName name="ELLEN11" localSheetId="16" hidden="1">{#N/A,#N/A,FALSE,"CCTV"}</definedName>
    <definedName name="ELLEN11" hidden="1">{#N/A,#N/A,FALSE,"CCTV"}</definedName>
    <definedName name="ELLEN12" localSheetId="16" hidden="1">{#N/A,#N/A,FALSE,"CCTV"}</definedName>
    <definedName name="ELLEN12" hidden="1">{#N/A,#N/A,FALSE,"CCTV"}</definedName>
    <definedName name="ELLEN13" localSheetId="16" hidden="1">{#N/A,#N/A,FALSE,"CCTV"}</definedName>
    <definedName name="ELLEN13" hidden="1">{#N/A,#N/A,FALSE,"CCTV"}</definedName>
    <definedName name="ELLEN14" localSheetId="16" hidden="1">{#N/A,#N/A,FALSE,"CCTV"}</definedName>
    <definedName name="ELLEN14" hidden="1">{#N/A,#N/A,FALSE,"CCTV"}</definedName>
    <definedName name="ELLEN15" localSheetId="16" hidden="1">{#N/A,#N/A,FALSE,"CCTV"}</definedName>
    <definedName name="ELLEN15" hidden="1">{#N/A,#N/A,FALSE,"CCTV"}</definedName>
    <definedName name="ELLEN16" localSheetId="16" hidden="1">{#N/A,#N/A,FALSE,"CCTV"}</definedName>
    <definedName name="ELLEN16" hidden="1">{#N/A,#N/A,FALSE,"CCTV"}</definedName>
    <definedName name="ELLEN17" localSheetId="16" hidden="1">{#N/A,#N/A,FALSE,"CCTV"}</definedName>
    <definedName name="ELLEN17" hidden="1">{#N/A,#N/A,FALSE,"CCTV"}</definedName>
    <definedName name="ELLEN18" localSheetId="16" hidden="1">{#N/A,#N/A,FALSE,"CCTV"}</definedName>
    <definedName name="ELLEN18" hidden="1">{#N/A,#N/A,FALSE,"CCTV"}</definedName>
    <definedName name="ELLEN19" localSheetId="16" hidden="1">{#N/A,#N/A,FALSE,"CCTV"}</definedName>
    <definedName name="ELLEN19" hidden="1">{#N/A,#N/A,FALSE,"CCTV"}</definedName>
    <definedName name="ELLEN2" localSheetId="16" hidden="1">{#N/A,#N/A,FALSE,"CCTV"}</definedName>
    <definedName name="ELLEN2" hidden="1">{#N/A,#N/A,FALSE,"CCTV"}</definedName>
    <definedName name="ELLEN3" localSheetId="16" hidden="1">{#N/A,#N/A,FALSE,"CCTV"}</definedName>
    <definedName name="ELLEN3" hidden="1">{#N/A,#N/A,FALSE,"CCTV"}</definedName>
    <definedName name="ELLEN4" localSheetId="16" hidden="1">{#N/A,#N/A,FALSE,"CCTV"}</definedName>
    <definedName name="ELLEN4" hidden="1">{#N/A,#N/A,FALSE,"CCTV"}</definedName>
    <definedName name="ELLEN5" localSheetId="16" hidden="1">{#N/A,#N/A,FALSE,"CCTV"}</definedName>
    <definedName name="ELLEN5" hidden="1">{#N/A,#N/A,FALSE,"CCTV"}</definedName>
    <definedName name="ELLEN6" localSheetId="16" hidden="1">{#N/A,#N/A,FALSE,"CCTV"}</definedName>
    <definedName name="ELLEN6" hidden="1">{#N/A,#N/A,FALSE,"CCTV"}</definedName>
    <definedName name="ELLEN7" localSheetId="16" hidden="1">{#N/A,#N/A,FALSE,"CCTV"}</definedName>
    <definedName name="ELLEN7" hidden="1">{#N/A,#N/A,FALSE,"CCTV"}</definedName>
    <definedName name="ELLEN8" localSheetId="16" hidden="1">{#N/A,#N/A,FALSE,"CCTV"}</definedName>
    <definedName name="ELLEN8" hidden="1">{#N/A,#N/A,FALSE,"CCTV"}</definedName>
    <definedName name="ELLEN9" localSheetId="16" hidden="1">{#N/A,#N/A,FALSE,"CCTV"}</definedName>
    <definedName name="ELLEN9" hidden="1">{#N/A,#N/A,FALSE,"CCTV"}</definedName>
    <definedName name="ENJA"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NJ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ER" localSheetId="16" hidden="1">{#N/A,#N/A,FALSE,"CCTV"}</definedName>
    <definedName name="ER" hidden="1">{#N/A,#N/A,FALSE,"CCTV"}</definedName>
    <definedName name="ET" localSheetId="16" hidden="1">{#N/A,#N/A,FALSE,"CCTV"}</definedName>
    <definedName name="ET" hidden="1">{#N/A,#N/A,FALSE,"CCTV"}</definedName>
    <definedName name="EV__EVCOM_OPTIONS__" hidden="1">10</definedName>
    <definedName name="EV__LASTREFTIME__" hidden="1">"(GMT+09:00)2010-10-27 오후 7:31:04"</definedName>
    <definedName name="EWQEQ"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QEQ"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ewr"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ewr"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EWRWE" localSheetId="16" hidden="1">{"'장비'!$A$3:$M$12"}</definedName>
    <definedName name="EWRWE" hidden="1">{"'장비'!$A$3:$M$12"}</definedName>
    <definedName name="ewrweq" localSheetId="16" hidden="1">{"'장비'!$A$3:$M$12"}</definedName>
    <definedName name="ewrweq" hidden="1">{"'장비'!$A$3:$M$12"}</definedName>
    <definedName name="EX" localSheetId="16" hidden="1">{#N/A,#N/A,FALSE,"CCTV"}</definedName>
    <definedName name="EX" hidden="1">{#N/A,#N/A,FALSE,"CCTV"}</definedName>
    <definedName name="FD" localSheetId="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DS"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DS"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df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f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fdf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fdf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fe"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fe"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GDFAGFD" localSheetId="16" hidden="1">{#N/A,#N/A,FALSE,"포장1";#N/A,#N/A,FALSE,"포장1"}</definedName>
    <definedName name="FDGDFAGFD" hidden="1">{#N/A,#N/A,FALSE,"포장1";#N/A,#N/A,FALSE,"포장1"}</definedName>
    <definedName name="fdgfdg" localSheetId="16" hidden="1">{#N/A,#N/A,FALSE,"2~8번"}</definedName>
    <definedName name="fdgfdg" hidden="1">{#N/A,#N/A,FALSE,"2~8번"}</definedName>
    <definedName name="fdgfgf" localSheetId="16" hidden="1">{#N/A,#N/A,FALSE,"운반시간"}</definedName>
    <definedName name="fdgfgf" hidden="1">{#N/A,#N/A,FALSE,"운반시간"}</definedName>
    <definedName name="FDS"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S"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DSA" localSheetId="16" hidden="1">{#N/A,#N/A,FALSE,"CCTV"}</definedName>
    <definedName name="FDSA" hidden="1">{#N/A,#N/A,FALSE,"CCTV"}</definedName>
    <definedName name="FE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E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EFE"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EFE"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F" localSheetId="4" hidden="1">[23]경비!#REF!</definedName>
    <definedName name="FF" localSheetId="16" hidden="1">[23]경비!#REF!</definedName>
    <definedName name="FF" hidden="1">[23]경비!#REF!</definedName>
    <definedName name="FFDGF" localSheetId="16" hidden="1">{#N/A,#N/A,FALSE,"부대2"}</definedName>
    <definedName name="FFDGF" hidden="1">{#N/A,#N/A,FALSE,"부대2"}</definedName>
    <definedName name="fff" localSheetId="16" hidden="1">{#N/A,#N/A,FALSE,"CCTV"}</definedName>
    <definedName name="fff" hidden="1">{#N/A,#N/A,FALSE,"CCTV"}</definedName>
    <definedName name="fff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ff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FFFF" localSheetId="16" hidden="1">{#N/A,#N/A,FALSE,"CCTV"}</definedName>
    <definedName name="FFFFF" hidden="1">{#N/A,#N/A,FALSE,"CCTV"}</definedName>
    <definedName name="fffff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ffff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ffffff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ffffff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GDAG" localSheetId="16" hidden="1">{#N/A,#N/A,FALSE,"포장2"}</definedName>
    <definedName name="FGDAG" hidden="1">{#N/A,#N/A,FALSE,"포장2"}</definedName>
    <definedName name="FGDAGFG" localSheetId="16" hidden="1">{#N/A,#N/A,FALSE,"혼합골재"}</definedName>
    <definedName name="FGDAGFG" hidden="1">{#N/A,#N/A,FALSE,"혼합골재"}</definedName>
    <definedName name="FG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G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fgfadgf" localSheetId="16" hidden="1">{#N/A,#N/A,FALSE,"혼합골재"}</definedName>
    <definedName name="fgfadgf" hidden="1">{#N/A,#N/A,FALSE,"혼합골재"}</definedName>
    <definedName name="FGFDG" localSheetId="16" hidden="1">{#N/A,#N/A,FALSE,"표지목차"}</definedName>
    <definedName name="FGFDG" hidden="1">{#N/A,#N/A,FALSE,"표지목차"}</definedName>
    <definedName name="fgfdgffff" localSheetId="16" hidden="1">{#N/A,#N/A,FALSE,"부대2"}</definedName>
    <definedName name="fgfdgffff" hidden="1">{#N/A,#N/A,FALSE,"부대2"}</definedName>
    <definedName name="fgfdsgdfg" localSheetId="16" hidden="1">{#N/A,#N/A,FALSE,"혼합골재"}</definedName>
    <definedName name="fgfdsgdfg" hidden="1">{#N/A,#N/A,FALSE,"혼합골재"}</definedName>
    <definedName name="fghfdagfd" localSheetId="16" hidden="1">{#N/A,#N/A,FALSE,"표지목차"}</definedName>
    <definedName name="fghfdagfd" hidden="1">{#N/A,#N/A,FALSE,"표지목차"}</definedName>
    <definedName name="fhddg" localSheetId="16" hidden="1">{#N/A,#N/A,FALSE,"부대1"}</definedName>
    <definedName name="fhddg" hidden="1">{#N/A,#N/A,FALSE,"부대1"}</definedName>
    <definedName name="FHGFH" localSheetId="16" hidden="1">{#N/A,#N/A,FALSE,"손익표지";#N/A,#N/A,FALSE,"손익계산";#N/A,#N/A,FALSE,"일반관리비";#N/A,#N/A,FALSE,"영업외수익";#N/A,#N/A,FALSE,"영업외비용";#N/A,#N/A,FALSE,"매출액";#N/A,#N/A,FALSE,"요약손익";#N/A,#N/A,FALSE,"요약대차";#N/A,#N/A,FALSE,"매출채권현황";#N/A,#N/A,FALSE,"매출채권명세"}</definedName>
    <definedName name="FHGFH" hidden="1">{#N/A,#N/A,FALSE,"손익표지";#N/A,#N/A,FALSE,"손익계산";#N/A,#N/A,FALSE,"일반관리비";#N/A,#N/A,FALSE,"영업외수익";#N/A,#N/A,FALSE,"영업외비용";#N/A,#N/A,FALSE,"매출액";#N/A,#N/A,FALSE,"요약손익";#N/A,#N/A,FALSE,"요약대차";#N/A,#N/A,FALSE,"매출채권현황";#N/A,#N/A,FALSE,"매출채권명세"}</definedName>
    <definedName name="FM계약일할" localSheetId="16" hidden="1">{#N/A,#N/A,TRUE,"대 차 대 조 표"}</definedName>
    <definedName name="FM계약일할" hidden="1">{#N/A,#N/A,TRUE,"대 차 대 조 표"}</definedName>
    <definedName name="FOR" localSheetId="16" hidden="1">{#N/A,#N/A,FALSE,"CCTV"}</definedName>
    <definedName name="FOR" hidden="1">{#N/A,#N/A,FALSE,"CCTV"}</definedName>
    <definedName name="FORMAT" localSheetId="16" hidden="1">{#N/A,#N/A,FALSE,"CCTV"}</definedName>
    <definedName name="FORMAT" hidden="1">{#N/A,#N/A,FALSE,"CCTV"}</definedName>
    <definedName name="FSDF"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SDFF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fththfg" localSheetId="4" hidden="1">[16]유림골조!#REF!</definedName>
    <definedName name="fththfg" localSheetId="16" hidden="1">[16]유림골조!#REF!</definedName>
    <definedName name="fththfg" hidden="1">[16]유림골조!#REF!</definedName>
    <definedName name="G" localSheetId="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ADFGSDFG" localSheetId="4" hidden="1">#REF!</definedName>
    <definedName name="GADFGSDFG" localSheetId="16" hidden="1">#REF!</definedName>
    <definedName name="GADFGSDFG" hidden="1">#REF!</definedName>
    <definedName name="gbc"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bc"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DFG"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F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DG"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EMCO" localSheetId="4" hidden="1">#REF!</definedName>
    <definedName name="GEMCO" localSheetId="16" hidden="1">#REF!</definedName>
    <definedName name="GEMCO" hidden="1">#REF!</definedName>
    <definedName name="GEW"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EW"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F" localSheetId="4" hidden="1">#REF!</definedName>
    <definedName name="GF" localSheetId="16" hidden="1">#REF!</definedName>
    <definedName name="GF" hidden="1">#REF!</definedName>
    <definedName name="GFDGDF"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G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GFDJ" localSheetId="16" hidden="1">{#N/A,#N/A,FALSE,"손익표지";#N/A,#N/A,FALSE,"손익계산";#N/A,#N/A,FALSE,"일반관리비";#N/A,#N/A,FALSE,"영업외수익";#N/A,#N/A,FALSE,"영업외비용";#N/A,#N/A,FALSE,"매출액";#N/A,#N/A,FALSE,"요약손익";#N/A,#N/A,FALSE,"요약대차";#N/A,#N/A,FALSE,"매출채권현황";#N/A,#N/A,FALSE,"매출채권명세"}</definedName>
    <definedName name="GFDJ" hidden="1">{#N/A,#N/A,FALSE,"손익표지";#N/A,#N/A,FALSE,"손익계산";#N/A,#N/A,FALSE,"일반관리비";#N/A,#N/A,FALSE,"영업외수익";#N/A,#N/A,FALSE,"영업외비용";#N/A,#N/A,FALSE,"매출액";#N/A,#N/A,FALSE,"요약손익";#N/A,#N/A,FALSE,"요약대차";#N/A,#N/A,FALSE,"매출채권현황";#N/A,#N/A,FALSE,"매출채권명세"}</definedName>
    <definedName name="GFDS" localSheetId="16" hidden="1">{#N/A,#N/A,FALSE,"CCTV"}</definedName>
    <definedName name="GFDS" hidden="1">{#N/A,#N/A,FALSE,"CCTV"}</definedName>
    <definedName name="GF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F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fgdfg" localSheetId="6" hidden="1">'[27]점수계산1-2'!#REF!</definedName>
    <definedName name="gfgdfg" localSheetId="3" hidden="1">[28]차액보증!#REF!</definedName>
    <definedName name="gfgdfg" localSheetId="4" hidden="1">[28]차액보증!#REF!</definedName>
    <definedName name="gfgdfg" localSheetId="5" hidden="1">[28]차액보증!#REF!</definedName>
    <definedName name="gfgdfg" localSheetId="16" hidden="1">[28]차액보증!#REF!</definedName>
    <definedName name="gfgdfg" localSheetId="0" hidden="1">[28]차액보증!#REF!</definedName>
    <definedName name="gfgdfg" hidden="1">[28]차액보증!#REF!</definedName>
    <definedName name="gfgf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fgf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FGFHGFHF" localSheetId="16" hidden="1">{#N/A,#N/A,FALSE,"토공2"}</definedName>
    <definedName name="GFGFHGFHF" hidden="1">{#N/A,#N/A,FALSE,"토공2"}</definedName>
    <definedName name="GFHGF" localSheetId="16" hidden="1">{#N/A,#N/A,FALSE,"손익표지";#N/A,#N/A,FALSE,"손익계산";#N/A,#N/A,FALSE,"일반관리비";#N/A,#N/A,FALSE,"영업외수익";#N/A,#N/A,FALSE,"영업외비용";#N/A,#N/A,FALSE,"매출액";#N/A,#N/A,FALSE,"요약손익";#N/A,#N/A,FALSE,"요약대차";#N/A,#N/A,FALSE,"매출채권현황";#N/A,#N/A,FALSE,"매출채권명세"}</definedName>
    <definedName name="GFHGF" hidden="1">{#N/A,#N/A,FALSE,"손익표지";#N/A,#N/A,FALSE,"손익계산";#N/A,#N/A,FALSE,"일반관리비";#N/A,#N/A,FALSE,"영업외수익";#N/A,#N/A,FALSE,"영업외비용";#N/A,#N/A,FALSE,"매출액";#N/A,#N/A,FALSE,"요약손익";#N/A,#N/A,FALSE,"요약대차";#N/A,#N/A,FALSE,"매출채권현황";#N/A,#N/A,FALSE,"매출채권명세"}</definedName>
    <definedName name="gfhgh" localSheetId="16" hidden="1">{#N/A,#N/A,FALSE,"배수2"}</definedName>
    <definedName name="gfhgh" hidden="1">{#N/A,#N/A,FALSE,"배수2"}</definedName>
    <definedName name="gg" localSheetId="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gfhgfshgh" localSheetId="16" hidden="1">{#N/A,#N/A,FALSE,"포장2"}</definedName>
    <definedName name="ggfhgfshgh" hidden="1">{#N/A,#N/A,FALSE,"포장2"}</definedName>
    <definedName name="GGG"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g"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ggggg" localSheetId="16" hidden="1">{#N/A,#N/A,FALSE,"구조1"}</definedName>
    <definedName name="ggggg" hidden="1">{#N/A,#N/A,FALSE,"구조1"}</definedName>
    <definedName name="gggh"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ggh"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GGTR"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GTR"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GTRE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GH"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H"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ghgfh" localSheetId="16" hidden="1">{#N/A,#N/A,FALSE,"포장2"}</definedName>
    <definedName name="ghgfh" hidden="1">{#N/A,#N/A,FALSE,"포장2"}</definedName>
    <definedName name="GJHGLI" localSheetId="16" hidden="1">{#N/A,#N/A,FALSE,"포장1";#N/A,#N/A,FALSE,"포장1"}</definedName>
    <definedName name="GJHGLI" hidden="1">{#N/A,#N/A,FALSE,"포장1";#N/A,#N/A,FALSE,"포장1"}</definedName>
    <definedName name="grew" localSheetId="4" hidden="1">#REF!</definedName>
    <definedName name="grew" localSheetId="16" hidden="1">#REF!</definedName>
    <definedName name="grew" hidden="1">#REF!</definedName>
    <definedName name="h" localSheetId="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han" localSheetId="6" hidden="1">#REF!</definedName>
    <definedName name="han" localSheetId="3" hidden="1">#REF!</definedName>
    <definedName name="han" localSheetId="4" hidden="1">#REF!</definedName>
    <definedName name="han" localSheetId="5" hidden="1">#REF!</definedName>
    <definedName name="han" localSheetId="16" hidden="1">#REF!</definedName>
    <definedName name="han" localSheetId="0" hidden="1">#REF!</definedName>
    <definedName name="han" hidden="1">#REF!</definedName>
    <definedName name="hardwar" localSheetId="4" hidden="1">#REF!</definedName>
    <definedName name="hardwar" localSheetId="16" hidden="1">#REF!</definedName>
    <definedName name="hardwar" hidden="1">#REF!</definedName>
    <definedName name="HDGBG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DGBG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DGFDS" localSheetId="4" hidden="1">#REF!</definedName>
    <definedName name="HDGFDS" localSheetId="16" hidden="1">#REF!</definedName>
    <definedName name="HDGFDS" hidden="1">#REF!</definedName>
    <definedName name="hgc" localSheetId="16" hidden="1">{#N/A,#N/A,TRUE,"대 차 대 조 표"}</definedName>
    <definedName name="hgc" hidden="1">{#N/A,#N/A,TRUE,"대 차 대 조 표"}</definedName>
    <definedName name="hgd" localSheetId="16" hidden="1">{#N/A,#N/A,FALSE,"배수2"}</definedName>
    <definedName name="hgd" hidden="1">{#N/A,#N/A,FALSE,"배수2"}</definedName>
    <definedName name="HGF" localSheetId="16" hidden="1">{#N/A,#N/A,FALSE,"손익표지";#N/A,#N/A,FALSE,"손익계산";#N/A,#N/A,FALSE,"일반관리비";#N/A,#N/A,FALSE,"영업외수익";#N/A,#N/A,FALSE,"영업외비용";#N/A,#N/A,FALSE,"매출액";#N/A,#N/A,FALSE,"요약손익";#N/A,#N/A,FALSE,"요약대차";#N/A,#N/A,FALSE,"매출채권현황";#N/A,#N/A,FALSE,"매출채권명세"}</definedName>
    <definedName name="HGF" hidden="1">{#N/A,#N/A,FALSE,"손익표지";#N/A,#N/A,FALSE,"손익계산";#N/A,#N/A,FALSE,"일반관리비";#N/A,#N/A,FALSE,"영업외수익";#N/A,#N/A,FALSE,"영업외비용";#N/A,#N/A,FALSE,"매출액";#N/A,#N/A,FALSE,"요약손익";#N/A,#N/A,FALSE,"요약대차";#N/A,#N/A,FALSE,"매출채권현황";#N/A,#N/A,FALSE,"매출채권명세"}</definedName>
    <definedName name="hhh" localSheetId="6" hidden="1">#REF!</definedName>
    <definedName name="HIGE" hidden="1">#N/A</definedName>
    <definedName name="HJK" localSheetId="16" hidden="1">{#N/A,#N/A,FALSE,"이태원철근"}</definedName>
    <definedName name="HJK" hidden="1">{#N/A,#N/A,FALSE,"이태원철근"}</definedName>
    <definedName name="hjl" localSheetId="16" hidden="1">{#N/A,#N/A,FALSE,"이태원철근"}</definedName>
    <definedName name="hjl" hidden="1">{#N/A,#N/A,FALSE,"이태원철근"}</definedName>
    <definedName name="hjtjgh"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jtjgh"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kl" localSheetId="16" hidden="1">{#N/A,#N/A,FALSE,"이태원철근"}</definedName>
    <definedName name="hkl" hidden="1">{#N/A,#N/A,FALSE,"이태원철근"}</definedName>
    <definedName name="HMHM"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MHM"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THT"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THT"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HTML_CodePage" hidden="1">949</definedName>
    <definedName name="HTML_Control" localSheetId="16" hidden="1">{"'Firr(선)'!$AS$1:$AY$62","'Firr(사)'!$AS$1:$AY$62","'Firr(회)'!$AS$1:$AY$62","'Firr(선)'!$L$1:$V$62","'Firr(사)'!$L$1:$V$62","'Firr(회)'!$L$1:$V$62"}</definedName>
    <definedName name="HTML_Control" hidden="1">{"'Firr(선)'!$AS$1:$AY$62","'Firr(사)'!$AS$1:$AY$62","'Firr(회)'!$AS$1:$AY$62","'Firr(선)'!$L$1:$V$62","'Firr(사)'!$L$1:$V$62","'Firr(회)'!$L$1:$V$62"}</definedName>
    <definedName name="HTML_Description" hidden="1">""</definedName>
    <definedName name="HTML_Email" hidden="1">""</definedName>
    <definedName name="HTML_Header" localSheetId="6" hidden="1">"8%"</definedName>
    <definedName name="HTML_Header" hidden="1">"옥포덕포실행"</definedName>
    <definedName name="HTML_LastUpdate" localSheetId="6" hidden="1">"2000-11-08"</definedName>
    <definedName name="HTML_LastUpdate" hidden="1">"01-01-10"</definedName>
    <definedName name="HTML_LineAfter" hidden="1">FALSE</definedName>
    <definedName name="HTML_LineBefore" hidden="1">FALSE</definedName>
    <definedName name="HTML_Name" localSheetId="6" hidden="1">"이제찬"</definedName>
    <definedName name="HTML_Name" hidden="1">"정보기술실"</definedName>
    <definedName name="HTML_OBDlg2" hidden="1">TRUE</definedName>
    <definedName name="HTML_OBDlg4" hidden="1">TRUE</definedName>
    <definedName name="HTML_OS" hidden="1">0</definedName>
    <definedName name="HTML_PathFile" localSheetId="6" hidden="1">"C:\My Documents\MyHTML.htm"</definedName>
    <definedName name="HTML_PathFile" hidden="1">"C:\(박인욱)\옥포덕포\MyHTML.htm"</definedName>
    <definedName name="HTML_Title" localSheetId="6" hidden="1">"Firrsrwd"</definedName>
    <definedName name="HTML_Title" hidden="1">"옥포덕포실행"</definedName>
    <definedName name="HTML1_1" hidden="1">"'[98계획ⅱ.XLS]98총괄'!$A$2:$F$16"</definedName>
    <definedName name="HTML1_10" hidden="1">""</definedName>
    <definedName name="HTML1_11" hidden="1">1</definedName>
    <definedName name="HTML1_12" hidden="1">"C:\My Documents\cck\MyHTML.htm"</definedName>
    <definedName name="HTML1_2" hidden="1">1</definedName>
    <definedName name="HTML1_3" hidden="1">"98계획ⅱ.XL"</definedName>
    <definedName name="HTML1_4" hidden="1">"98총괄"</definedName>
    <definedName name="HTML1_5" hidden="1">""</definedName>
    <definedName name="HTML1_6" hidden="1">1</definedName>
    <definedName name="HTML1_7" hidden="1">1</definedName>
    <definedName name="HTML1_8" hidden="1">"97-12-10"</definedName>
    <definedName name="HTML1_9" hidden="1">"hyogye01"</definedName>
    <definedName name="HTMLCount" hidden="1">1</definedName>
    <definedName name="HTR" localSheetId="16" hidden="1">{#N/A,#N/A,FALSE,"이태원철근"}</definedName>
    <definedName name="HTR" hidden="1">{#N/A,#N/A,FALSE,"이태원철근"}</definedName>
    <definedName name="i" localSheetId="6" hidden="1">{#N/A,#N/A,FALSE,"PART-1234-8-12-9(41)";#N/A,#N/A,FALSE,"PARTS-2(3)";#N/A,#N/A,FALSE,"VAN SYSTEM";#N/A,#N/A,FALSE,"PARTS-10(26)";#N/A,#N/A,FALSE,"PART-5-6-7-11(14)";#N/A,#N/A,FALSE,"PARTS-4(3)";#N/A,#N/A,FALSE,"PCLASS"}</definedName>
    <definedName name="ii" localSheetId="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 localSheetId="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i"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i"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ii"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ii"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iii"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iiiiii"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JELLS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JELLS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iiu"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iu"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OIOIOIO" localSheetId="16" hidden="1">{#N/A,#N/A,FALSE,"표지목차"}</definedName>
    <definedName name="IOIOIOIO" hidden="1">{#N/A,#N/A,FALSE,"표지목차"}</definedName>
    <definedName name="iu"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u"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uuu"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iuuu"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j" localSheetId="6" hidden="1">#REF!</definedName>
    <definedName name="jeld" localSheetId="16" hidden="1">{#N/A,#N/A,FALSE,"Sheet5"}</definedName>
    <definedName name="jeld" hidden="1">{#N/A,#N/A,FALSE,"Sheet5"}</definedName>
    <definedName name="JFJ" localSheetId="16" hidden="1">{#N/A,#N/A,FALSE,"손익표지";#N/A,#N/A,FALSE,"손익계산";#N/A,#N/A,FALSE,"일반관리비";#N/A,#N/A,FALSE,"영업외수익";#N/A,#N/A,FALSE,"영업외비용";#N/A,#N/A,FALSE,"매출액";#N/A,#N/A,FALSE,"요약손익";#N/A,#N/A,FALSE,"요약대차";#N/A,#N/A,FALSE,"매출채권현황";#N/A,#N/A,FALSE,"매출채권명세"}</definedName>
    <definedName name="JFJ" hidden="1">{#N/A,#N/A,FALSE,"손익표지";#N/A,#N/A,FALSE,"손익계산";#N/A,#N/A,FALSE,"일반관리비";#N/A,#N/A,FALSE,"영업외수익";#N/A,#N/A,FALSE,"영업외비용";#N/A,#N/A,FALSE,"매출액";#N/A,#N/A,FALSE,"요약손익";#N/A,#N/A,FALSE,"요약대차";#N/A,#N/A,FALSE,"매출채권현황";#N/A,#N/A,FALSE,"매출채권명세"}</definedName>
    <definedName name="JHGJ" localSheetId="16" hidden="1">{#N/A,#N/A,FALSE,"손익표지";#N/A,#N/A,FALSE,"손익계산";#N/A,#N/A,FALSE,"일반관리비";#N/A,#N/A,FALSE,"영업외수익";#N/A,#N/A,FALSE,"영업외비용";#N/A,#N/A,FALSE,"매출액";#N/A,#N/A,FALSE,"요약손익";#N/A,#N/A,FALSE,"요약대차";#N/A,#N/A,FALSE,"매출채권현황";#N/A,#N/A,FALSE,"매출채권명세"}</definedName>
    <definedName name="JHGJ" hidden="1">{#N/A,#N/A,FALSE,"손익표지";#N/A,#N/A,FALSE,"손익계산";#N/A,#N/A,FALSE,"일반관리비";#N/A,#N/A,FALSE,"영업외수익";#N/A,#N/A,FALSE,"영업외비용";#N/A,#N/A,FALSE,"매출액";#N/A,#N/A,FALSE,"요약손익";#N/A,#N/A,FALSE,"요약대차";#N/A,#N/A,FALSE,"매출채권현황";#N/A,#N/A,FALSE,"매출채권명세"}</definedName>
    <definedName name="JHGJG" localSheetId="16" hidden="1">{#N/A,#N/A,FALSE,"손익표지";#N/A,#N/A,FALSE,"손익계산";#N/A,#N/A,FALSE,"일반관리비";#N/A,#N/A,FALSE,"영업외수익";#N/A,#N/A,FALSE,"영업외비용";#N/A,#N/A,FALSE,"매출액";#N/A,#N/A,FALSE,"요약손익";#N/A,#N/A,FALSE,"요약대차";#N/A,#N/A,FALSE,"매출채권현황";#N/A,#N/A,FALSE,"매출채권명세"}</definedName>
    <definedName name="JHGJG" hidden="1">{#N/A,#N/A,FALSE,"손익표지";#N/A,#N/A,FALSE,"손익계산";#N/A,#N/A,FALSE,"일반관리비";#N/A,#N/A,FALSE,"영업외수익";#N/A,#N/A,FALSE,"영업외비용";#N/A,#N/A,FALSE,"매출액";#N/A,#N/A,FALSE,"요약손익";#N/A,#N/A,FALSE,"요약대차";#N/A,#N/A,FALSE,"매출채권현황";#N/A,#N/A,FALSE,"매출채권명세"}</definedName>
    <definedName name="JHJH" localSheetId="16" hidden="1">{#N/A,#N/A,FALSE,"손익표지";#N/A,#N/A,FALSE,"손익계산";#N/A,#N/A,FALSE,"일반관리비";#N/A,#N/A,FALSE,"영업외수익";#N/A,#N/A,FALSE,"영업외비용";#N/A,#N/A,FALSE,"매출액";#N/A,#N/A,FALSE,"요약손익";#N/A,#N/A,FALSE,"요약대차";#N/A,#N/A,FALSE,"매출채권현황";#N/A,#N/A,FALSE,"매출채권명세"}</definedName>
    <definedName name="JHJH" hidden="1">{#N/A,#N/A,FALSE,"손익표지";#N/A,#N/A,FALSE,"손익계산";#N/A,#N/A,FALSE,"일반관리비";#N/A,#N/A,FALSE,"영업외수익";#N/A,#N/A,FALSE,"영업외비용";#N/A,#N/A,FALSE,"매출액";#N/A,#N/A,FALSE,"요약손익";#N/A,#N/A,FALSE,"요약대차";#N/A,#N/A,FALSE,"매출채권현황";#N/A,#N/A,FALSE,"매출채권명세"}</definedName>
    <definedName name="JIM" localSheetId="16" hidden="1">{#N/A,#N/A,FALSE,"Sheet5"}</definedName>
    <definedName name="JIM" hidden="1">{#N/A,#N/A,FALSE,"Sheet5"}</definedName>
    <definedName name="jj"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jj"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JJFOR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FOR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HSHH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JJJ"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JJJJ"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JJ"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JSUW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KJ" localSheetId="16" hidden="1">{#N/A,#N/A,FALSE,"손익표지";#N/A,#N/A,FALSE,"손익계산";#N/A,#N/A,FALSE,"일반관리비";#N/A,#N/A,FALSE,"영업외수익";#N/A,#N/A,FALSE,"영업외비용";#N/A,#N/A,FALSE,"매출액";#N/A,#N/A,FALSE,"요약손익";#N/A,#N/A,FALSE,"요약대차";#N/A,#N/A,FALSE,"매출채권현황";#N/A,#N/A,FALSE,"매출채권명세"}</definedName>
    <definedName name="JKJ" hidden="1">{#N/A,#N/A,FALSE,"손익표지";#N/A,#N/A,FALSE,"손익계산";#N/A,#N/A,FALSE,"일반관리비";#N/A,#N/A,FALSE,"영업외수익";#N/A,#N/A,FALSE,"영업외비용";#N/A,#N/A,FALSE,"매출액";#N/A,#N/A,FALSE,"요약손익";#N/A,#N/A,FALSE,"요약대차";#N/A,#N/A,FALSE,"매출채권현황";#N/A,#N/A,FALSE,"매출채권명세"}</definedName>
    <definedName name="JKJKJKJK" localSheetId="16" hidden="1">{#N/A,#N/A,FALSE,"포장1";#N/A,#N/A,FALSE,"포장1"}</definedName>
    <definedName name="JKJKJKJK" hidden="1">{#N/A,#N/A,FALSE,"포장1";#N/A,#N/A,FALSE,"포장1"}</definedName>
    <definedName name="JMMFF" localSheetId="16" hidden="1">{#N/A,#N/A,FALSE,"포장1";#N/A,#N/A,FALSE,"포장1"}</definedName>
    <definedName name="JMMFF" hidden="1">{#N/A,#N/A,FALSE,"포장1";#N/A,#N/A,FALSE,"포장1"}</definedName>
    <definedName name="JSH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SH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JYDFF" localSheetId="16" hidden="1">{#N/A,#N/A,FALSE,"속도"}</definedName>
    <definedName name="JYDFF" hidden="1">{#N/A,#N/A,FALSE,"속도"}</definedName>
    <definedName name="JYJY"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JYJY"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 localSheetId="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kd"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d"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FH" localSheetId="16" hidden="1">{#N/A,#N/A,FALSE,"손익표지";#N/A,#N/A,FALSE,"손익계산";#N/A,#N/A,FALSE,"일반관리비";#N/A,#N/A,FALSE,"영업외수익";#N/A,#N/A,FALSE,"영업외비용";#N/A,#N/A,FALSE,"매출액";#N/A,#N/A,FALSE,"요약손익";#N/A,#N/A,FALSE,"요약대차";#N/A,#N/A,FALSE,"매출채권현황";#N/A,#N/A,FALSE,"매출채권명세"}</definedName>
    <definedName name="KFH" hidden="1">{#N/A,#N/A,FALSE,"손익표지";#N/A,#N/A,FALSE,"손익계산";#N/A,#N/A,FALSE,"일반관리비";#N/A,#N/A,FALSE,"영업외수익";#N/A,#N/A,FALSE,"영업외비용";#N/A,#N/A,FALSE,"매출액";#N/A,#N/A,FALSE,"요약손익";#N/A,#N/A,FALSE,"요약대차";#N/A,#N/A,FALSE,"매출채권현황";#N/A,#N/A,FALSE,"매출채권명세"}</definedName>
    <definedName name="khl" localSheetId="16" hidden="1">{#N/A,#N/A,FALSE,"2~8번"}</definedName>
    <definedName name="khl" hidden="1">{#N/A,#N/A,FALSE,"2~8번"}</definedName>
    <definedName name="kj" localSheetId="6" hidden="1">#REF!</definedName>
    <definedName name="kk"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k"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KA"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A"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AW"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DUE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ISJ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 localSheetId="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KKK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DJ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EEP"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k" localSheetId="16" hidden="1">{#N/A,#N/A,FALSE,"BS";#N/A,#N/A,FALSE,"PL";#N/A,#N/A,FALSE,"처분";#N/A,#N/A,FALSE,"현금";#N/A,#N/A,FALSE,"매출";#N/A,#N/A,FALSE,"원가";#N/A,#N/A,FALSE,"경영"}</definedName>
    <definedName name="kkkk" hidden="1">{#N/A,#N/A,FALSE,"BS";#N/A,#N/A,FALSE,"PL";#N/A,#N/A,FALSE,"처분";#N/A,#N/A,FALSE,"현금";#N/A,#N/A,FALSE,"매출";#N/A,#N/A,FALSE,"원가";#N/A,#N/A,FALSE,"경영"}</definedName>
    <definedName name="KKKSJ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J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KSSL"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IIE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JWUJ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KSJWEI"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KLLKLKLK" localSheetId="16" hidden="1">{#N/A,#N/A,FALSE,"포장2"}</definedName>
    <definedName name="KLLKLKLK" hidden="1">{#N/A,#N/A,FALSE,"포장2"}</definedName>
    <definedName name="ktf" localSheetId="4" hidden="1">#REF!</definedName>
    <definedName name="ktf" localSheetId="16" hidden="1">#REF!</definedName>
    <definedName name="ktf" hidden="1">#REF!</definedName>
    <definedName name="kty" localSheetId="4" hidden="1">#REF!</definedName>
    <definedName name="kty" localSheetId="16" hidden="1">#REF!</definedName>
    <definedName name="kty" hidden="1">#REF!</definedName>
    <definedName name="KUK"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UK"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KUYGGDF" localSheetId="16" hidden="1">{#N/A,#N/A,FALSE,"표지목차"}</definedName>
    <definedName name="KUYGGDF" hidden="1">{#N/A,#N/A,FALSE,"표지목차"}</definedName>
    <definedName name="l" localSheetId="6" hidden="1">{#N/A,#N/A,FALSE,"동부"}</definedName>
    <definedName name="LAK"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AK"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ee" localSheetId="6" hidden="1">{#N/A,#N/A,FALSE,"PART-1234-8-12-9(41)";#N/A,#N/A,FALSE,"PARTS-2(3)";#N/A,#N/A,FALSE,"VAN SYSTEM";#N/A,#N/A,FALSE,"PARTS-10(26)";#N/A,#N/A,FALSE,"PART-5-6-7-11(14)";#N/A,#N/A,FALSE,"PARTS-4(3)";#N/A,#N/A,FALSE,"PCLASS"}</definedName>
    <definedName name="lj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lj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ljh" localSheetId="16" hidden="1">{#N/A,#N/A,FALSE,"Sheet5"}</definedName>
    <definedName name="ljh" hidden="1">{#N/A,#N/A,FALSE,"Sheet5"}</definedName>
    <definedName name="LK" localSheetId="16" hidden="1">{#N/A,#N/A,FALSE,"CCTV"}</definedName>
    <definedName name="LK" hidden="1">{#N/A,#N/A,FALSE,"CCTV"}</definedName>
    <definedName name="ll" localSheetId="6" hidden="1">{"AJD",#N/A,TRUE,"Summary";"AJD",#N/A,TRUE,"CFCONC-outputs";"AJD",#N/A,TRUE,"P&amp;LCONC-outputs";"AJD",#N/A,TRUE,"BSCONC-outputs";"AJD",#N/A,TRUE,"FSCONC-outputs"}</definedName>
    <definedName name="LLDIEKK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DIEKK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L" localSheetId="16" hidden="1">{#N/A,#N/A,FALSE,"CCTV"}</definedName>
    <definedName name="LLLL" hidden="1">{#N/A,#N/A,FALSE,"CCTV"}</definedName>
    <definedName name="LLLS"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LS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IEKDKD"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LLSKEIE"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m" localSheetId="6" hidden="1">[29]INMD1198!$B$30</definedName>
    <definedName name="MAN" hidden="1">#N/A</definedName>
    <definedName name="MCCO" localSheetId="16" hidden="1">{#N/A,#N/A,FALSE,"CCTV"}</definedName>
    <definedName name="MCCO" hidden="1">{#N/A,#N/A,FALSE,"CCTV"}</definedName>
    <definedName name="MCCO10" localSheetId="16" hidden="1">{#N/A,#N/A,FALSE,"CCTV"}</definedName>
    <definedName name="MCCO10" hidden="1">{#N/A,#N/A,FALSE,"CCTV"}</definedName>
    <definedName name="MCCO11" localSheetId="16" hidden="1">{#N/A,#N/A,FALSE,"CCTV"}</definedName>
    <definedName name="MCCO11" hidden="1">{#N/A,#N/A,FALSE,"CCTV"}</definedName>
    <definedName name="MCCO12" localSheetId="16" hidden="1">{#N/A,#N/A,FALSE,"CCTV"}</definedName>
    <definedName name="MCCO12" hidden="1">{#N/A,#N/A,FALSE,"CCTV"}</definedName>
    <definedName name="MCCO13" localSheetId="16" hidden="1">{#N/A,#N/A,FALSE,"CCTV"}</definedName>
    <definedName name="MCCO13" hidden="1">{#N/A,#N/A,FALSE,"CCTV"}</definedName>
    <definedName name="MCCO3" localSheetId="16" hidden="1">{#N/A,#N/A,FALSE,"CCTV"}</definedName>
    <definedName name="MCCO3" hidden="1">{#N/A,#N/A,FALSE,"CCTV"}</definedName>
    <definedName name="MCCO4" localSheetId="16" hidden="1">{#N/A,#N/A,FALSE,"CCTV"}</definedName>
    <definedName name="MCCO4" hidden="1">{#N/A,#N/A,FALSE,"CCTV"}</definedName>
    <definedName name="MCCO5" localSheetId="16" hidden="1">{#N/A,#N/A,FALSE,"CCTV"}</definedName>
    <definedName name="MCCO5" hidden="1">{#N/A,#N/A,FALSE,"CCTV"}</definedName>
    <definedName name="MCCO6" localSheetId="16" hidden="1">{#N/A,#N/A,FALSE,"CCTV"}</definedName>
    <definedName name="MCCO6" hidden="1">{#N/A,#N/A,FALSE,"CCTV"}</definedName>
    <definedName name="MCCO7" localSheetId="16" hidden="1">{#N/A,#N/A,FALSE,"CCTV"}</definedName>
    <definedName name="MCCO7" hidden="1">{#N/A,#N/A,FALSE,"CCTV"}</definedName>
    <definedName name="MCCO8" localSheetId="16" hidden="1">{#N/A,#N/A,FALSE,"CCTV"}</definedName>
    <definedName name="MCCO8" hidden="1">{#N/A,#N/A,FALSE,"CCTV"}</definedName>
    <definedName name="MCCO9" localSheetId="16" hidden="1">{#N/A,#N/A,FALSE,"CCTV"}</definedName>
    <definedName name="MCCO9" hidden="1">{#N/A,#N/A,FALSE,"CCTV"}</definedName>
    <definedName name="MCCOÙ" localSheetId="16" hidden="1">{#N/A,#N/A,FALSE,"CCTV"}</definedName>
    <definedName name="MCCOÙ" hidden="1">{#N/A,#N/A,FALSE,"CCTV"}</definedName>
    <definedName name="MD1수량집계" localSheetId="4" hidden="1">#REF!</definedName>
    <definedName name="MD1수량집계" localSheetId="16" hidden="1">#REF!</definedName>
    <definedName name="MD1수량집계" hidden="1">#REF!</definedName>
    <definedName name="MD총괄수량집계" localSheetId="4" hidden="1">#REF!</definedName>
    <definedName name="MD총괄수량집계" localSheetId="16" hidden="1">#REF!</definedName>
    <definedName name="MD총괄수량집계" hidden="1">#REF!</definedName>
    <definedName name="mm" localSheetId="16" hidden="1">{#N/A,#N/A,FALSE,"이태원철근"}</definedName>
    <definedName name="mm" hidden="1">{#N/A,#N/A,FALSE,"이태원철근"}</definedName>
    <definedName name="mmm"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mm"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MN" localSheetId="6" hidden="1">{#N/A,#N/A,FALSE,"CCTV"}</definedName>
    <definedName name="MP" localSheetId="16" hidden="1">{#N/A,#N/A,FALSE,"BS";#N/A,#N/A,FALSE,"PL";#N/A,#N/A,FALSE,"처분";#N/A,#N/A,FALSE,"현금";#N/A,#N/A,FALSE,"매출";#N/A,#N/A,FALSE,"원가";#N/A,#N/A,FALSE,"경영"}</definedName>
    <definedName name="MP" hidden="1">{#N/A,#N/A,FALSE,"BS";#N/A,#N/A,FALSE,"PL";#N/A,#N/A,FALSE,"처분";#N/A,#N/A,FALSE,"현금";#N/A,#N/A,FALSE,"매출";#N/A,#N/A,FALSE,"원가";#N/A,#N/A,FALSE,"경영"}</definedName>
    <definedName name="N" localSheetId="6" hidden="1">{#N/A,#N/A,FALSE,"PART-1234-8-12-9(41)";#N/A,#N/A,FALSE,"PARTS-2(3)";#N/A,#N/A,FALSE,"VAN SYSTEM";#N/A,#N/A,FALSE,"PARTS-10(26)";#N/A,#N/A,FALSE,"PART-5-6-7-11(14)";#N/A,#N/A,FALSE,"PARTS-4(3)";#N/A,#N/A,FALSE,"PCLASS"}</definedName>
    <definedName name="NAME" localSheetId="16" hidden="1">{#N/A,#N/A,FALSE,"CCTV"}</definedName>
    <definedName name="NAME" hidden="1">{#N/A,#N/A,FALSE,"CCTV"}</definedName>
    <definedName name="NEWNAME" localSheetId="16" hidden="1">{#N/A,#N/A,FALSE,"CCTV"}</definedName>
    <definedName name="NEWNAME" hidden="1">{#N/A,#N/A,FALSE,"CCTV"}</definedName>
    <definedName name="NFG" localSheetId="16" hidden="1">{#N/A,#N/A,FALSE,"배수2"}</definedName>
    <definedName name="NFG" hidden="1">{#N/A,#N/A,FALSE,"배수2"}</definedName>
    <definedName name="NFYJD" localSheetId="16" hidden="1">{#N/A,#N/A,FALSE,"토공2"}</definedName>
    <definedName name="NFYJD" hidden="1">{#N/A,#N/A,FALSE,"토공2"}</definedName>
    <definedName name="NGE" localSheetId="16" hidden="1">{#N/A,#N/A,FALSE,"혼합골재"}</definedName>
    <definedName name="NGE" hidden="1">{#N/A,#N/A,FALSE,"혼합골재"}</definedName>
    <definedName name="ngf"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ngf"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NGFDFNS" localSheetId="16" hidden="1">{#N/A,#N/A,FALSE,"부대1"}</definedName>
    <definedName name="NGFDFNS" hidden="1">{#N/A,#N/A,FALSE,"부대1"}</definedName>
    <definedName name="NRNCG" localSheetId="16" hidden="1">{#N/A,#N/A,FALSE,"2~8번"}</definedName>
    <definedName name="NRNCG" hidden="1">{#N/A,#N/A,FALSE,"2~8번"}</definedName>
    <definedName name="NTRD" localSheetId="16" hidden="1">{#N/A,#N/A,FALSE,"배수1"}</definedName>
    <definedName name="NTRD" hidden="1">{#N/A,#N/A,FALSE,"배수1"}</definedName>
    <definedName name="NUF" localSheetId="16" hidden="1">{#N/A,#N/A,FALSE,"운반시간"}</definedName>
    <definedName name="NUF" hidden="1">{#N/A,#N/A,FALSE,"운반시간"}</definedName>
    <definedName name="NYDDFG" localSheetId="16" hidden="1">{#N/A,#N/A,FALSE,"조골재"}</definedName>
    <definedName name="NYDDFG" hidden="1">{#N/A,#N/A,FALSE,"조골재"}</definedName>
    <definedName name="NYDTDS" localSheetId="16" hidden="1">{#N/A,#N/A,FALSE,"구조2"}</definedName>
    <definedName name="NYDTDS" hidden="1">{#N/A,#N/A,FALSE,"구조2"}</definedName>
    <definedName name="NYFD" localSheetId="16" hidden="1">{#N/A,#N/A,FALSE,"골재소요량";#N/A,#N/A,FALSE,"골재소요량"}</definedName>
    <definedName name="NYFD" hidden="1">{#N/A,#N/A,FALSE,"골재소요량";#N/A,#N/A,FALSE,"골재소요량"}</definedName>
    <definedName name="NYTDY" localSheetId="16" hidden="1">{#N/A,#N/A,FALSE,"단가표지"}</definedName>
    <definedName name="NYTDY" hidden="1">{#N/A,#N/A,FALSE,"단가표지"}</definedName>
    <definedName name="NYTND" localSheetId="16" hidden="1">{#N/A,#N/A,FALSE,"구조1"}</definedName>
    <definedName name="NYTND" hidden="1">{#N/A,#N/A,FALSE,"구조1"}</definedName>
    <definedName name="O" localSheetId="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ocf" localSheetId="6" hidden="1">#REF!</definedName>
    <definedName name="ocf" localSheetId="3" hidden="1">#REF!</definedName>
    <definedName name="ocf" localSheetId="4" hidden="1">#REF!</definedName>
    <definedName name="ocf" localSheetId="5" hidden="1">#REF!</definedName>
    <definedName name="ocf" localSheetId="16" hidden="1">#REF!</definedName>
    <definedName name="ocf" localSheetId="0" hidden="1">#REF!</definedName>
    <definedName name="ocf" hidden="1">#REF!</definedName>
    <definedName name="ODH" localSheetId="4" hidden="1">#REF!</definedName>
    <definedName name="ODH" localSheetId="16" hidden="1">#REF!</definedName>
    <definedName name="ODH" hidden="1">#REF!</definedName>
    <definedName name="olp" localSheetId="16" hidden="1">{"AJD",#N/A,TRUE,"Summary";"AJD",#N/A,TRUE,"CFCONC-outputs";"AJD",#N/A,TRUE,"P&amp;LCONC-outputs";"AJD",#N/A,TRUE,"BSCONC-outputs";"AJD",#N/A,TRUE,"FSCONC-outputs"}</definedName>
    <definedName name="olp" hidden="1">{"AJD",#N/A,TRUE,"Summary";"AJD",#N/A,TRUE,"CFCONC-outputs";"AJD",#N/A,TRUE,"P&amp;LCONC-outputs";"AJD",#N/A,TRUE,"BSCONC-outputs";"AJD",#N/A,TRUE,"FSCONC-outputs"}</definedName>
    <definedName name="opo" localSheetId="16" hidden="1">{#N/A,#N/A,FALSE,"지침";#N/A,#N/A,FALSE,"환경분석";#N/A,#N/A,FALSE,"Sheet16"}</definedName>
    <definedName name="opo" hidden="1">{#N/A,#N/A,FALSE,"지침";#N/A,#N/A,FALSE,"환경분석";#N/A,#N/A,FALSE,"Sheet16"}</definedName>
    <definedName name="OSBL" localSheetId="16" hidden="1">{#N/A,#N/A,FALSE,"CCTV"}</definedName>
    <definedName name="OSBL" hidden="1">{#N/A,#N/A,FALSE,"CCTV"}</definedName>
    <definedName name="peroxide" localSheetId="16" hidden="1">{#N/A,#N/A,FALSE,"CCTV"}</definedName>
    <definedName name="peroxide" hidden="1">{#N/A,#N/A,FALSE,"CCTV"}</definedName>
    <definedName name="PRAYER" localSheetId="16" hidden="1">{#N/A,#N/A,FALSE,"CCTV"}</definedName>
    <definedName name="PRAYER" hidden="1">{#N/A,#N/A,FALSE,"CCTV"}</definedName>
    <definedName name="_xlnm.Print_Area" localSheetId="6">CF분석!$A$1:$BX$158</definedName>
    <definedName name="_xlnm.Print_Area" localSheetId="3">Equity!$A$1:$K$38</definedName>
    <definedName name="_xlnm.Print_Area" localSheetId="2">매입세율!$B$1:$H$25</definedName>
    <definedName name="_xlnm.Print_Area" localSheetId="1">분양개요!$A$1:$R$57</definedName>
    <definedName name="_xlnm.Print_Area" localSheetId="4">비용집행계획!$A$1:$BS$31</definedName>
    <definedName name="_xlnm.Print_Area" localSheetId="5">'사업수지표 '!$A$1:$AE$99</definedName>
    <definedName name="_xlnm.Print_Area" localSheetId="17">신탁사책준위험액계산!$A$1:$I$31</definedName>
    <definedName name="_xlnm.Print_Area" localSheetId="0">총괄장!$A$1:$W$39</definedName>
    <definedName name="q" localSheetId="6" hidden="1">#REF!</definedName>
    <definedName name="Q3WEE" localSheetId="16" hidden="1">{#N/A,#N/A,FALSE,"조골재"}</definedName>
    <definedName name="Q3WEE" hidden="1">{#N/A,#N/A,FALSE,"조골재"}</definedName>
    <definedName name="QQ" localSheetId="16" hidden="1">{#N/A,#N/A,FALSE,"2~8번"}</definedName>
    <definedName name="QQ" hidden="1">{#N/A,#N/A,FALSE,"2~8번"}</definedName>
    <definedName name="QQQ" localSheetId="4" hidden="1">'[30]BSD (2)'!#REF!</definedName>
    <definedName name="QQQ" localSheetId="16" hidden="1">'[30]BSD (2)'!#REF!</definedName>
    <definedName name="QQQ" hidden="1">'[30]BSD (2)'!#REF!</definedName>
    <definedName name="qqqq" localSheetId="16" hidden="1">{"'장비'!$A$3:$M$12"}</definedName>
    <definedName name="qqqq" hidden="1">{"'장비'!$A$3:$M$12"}</definedName>
    <definedName name="qqweqwe"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qqweqwe"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Qt" localSheetId="16" hidden="1">{"YTD/Forecast",#N/A,TRUE,"Fcst_TPLN";"Monthly Averages",#N/A,TRUE,"Fcst_TPLN"}</definedName>
    <definedName name="Qt" hidden="1">{"YTD/Forecast",#N/A,TRUE,"Fcst_TPLN";"Monthly Averages",#N/A,TRUE,"Fcst_TPLN"}</definedName>
    <definedName name="QW" localSheetId="16" hidden="1">{#N/A,#N/A,FALSE,"이태원철근"}</definedName>
    <definedName name="QW" hidden="1">{#N/A,#N/A,FALSE,"이태원철근"}</definedName>
    <definedName name="QWE" localSheetId="16" hidden="1">{#N/A,#N/A,FALSE,"이태원철근"}</definedName>
    <definedName name="QWE" hidden="1">{#N/A,#N/A,FALSE,"이태원철근"}</definedName>
    <definedName name="QWER" localSheetId="16" hidden="1">{#N/A,#N/A,FALSE,"이태원철근"}</definedName>
    <definedName name="QWER" hidden="1">{#N/A,#N/A,FALSE,"이태원철근"}</definedName>
    <definedName name="rdd" localSheetId="16" hidden="1">{#N/A,#N/A,FALSE,"지침";#N/A,#N/A,FALSE,"환경분석";#N/A,#N/A,FALSE,"Sheet16"}</definedName>
    <definedName name="rdd" hidden="1">{#N/A,#N/A,FALSE,"지침";#N/A,#N/A,FALSE,"환경분석";#N/A,#N/A,FALSE,"Sheet16"}</definedName>
    <definedName name="rewr" localSheetId="16" hidden="1">{#N/A,#N/A,FALSE,"이력서&amp;자기소개서"}</definedName>
    <definedName name="rewr" hidden="1">{#N/A,#N/A,FALSE,"이력서&amp;자기소개서"}</definedName>
    <definedName name="RF" localSheetId="16" hidden="1">{#N/A,#N/A,FALSE,"PART-1234-8-12-9(41)";#N/A,#N/A,FALSE,"PARTS-2(3)";#N/A,#N/A,FALSE,"VAN SYSTEM";#N/A,#N/A,FALSE,"PARTS-10(26)";#N/A,#N/A,FALSE,"PART-5-6-7-11(14)";#N/A,#N/A,FALSE,"PARTS-4(3)";#N/A,#N/A,FALSE,"PCLASS"}</definedName>
    <definedName name="RF" hidden="1">{#N/A,#N/A,FALSE,"PART-1234-8-12-9(41)";#N/A,#N/A,FALSE,"PARTS-2(3)";#N/A,#N/A,FALSE,"VAN SYSTEM";#N/A,#N/A,FALSE,"PARTS-10(26)";#N/A,#N/A,FALSE,"PART-5-6-7-11(14)";#N/A,#N/A,FALSE,"PARTS-4(3)";#N/A,#N/A,FALSE,"PCLASS"}</definedName>
    <definedName name="rfjjs" localSheetId="4" hidden="1">[31]경비!#REF!</definedName>
    <definedName name="rfjjs" localSheetId="16" hidden="1">[31]경비!#REF!</definedName>
    <definedName name="rfjjs" hidden="1">[31]경비!#REF!</definedName>
    <definedName name="RFV" localSheetId="16" hidden="1">{#N/A,#N/A,FALSE,"CCTV"}</definedName>
    <definedName name="RFV" hidden="1">{#N/A,#N/A,FALSE,"CCTV"}</definedName>
    <definedName name="R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R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RGR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RGR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rhdhd" localSheetId="4" hidden="1">#REF!</definedName>
    <definedName name="rhdhd" localSheetId="16" hidden="1">#REF!</definedName>
    <definedName name="rhdhd" hidden="1">#REF!</definedName>
    <definedName name="RHDK" localSheetId="16" hidden="1">{#N/A,#N/A,FALSE,"이태원철근"}</definedName>
    <definedName name="RHDK" hidden="1">{#N/A,#N/A,FALSE,"이태원철근"}</definedName>
    <definedName name="rkd" localSheetId="16" hidden="1">{#N/A,#N/A,FALSE,"CCTV"}</definedName>
    <definedName name="rkd" hidden="1">{#N/A,#N/A,FALSE,"CCTV"}</definedName>
    <definedName name="RLA" localSheetId="4" hidden="1">#REF!</definedName>
    <definedName name="RLA" localSheetId="16" hidden="1">#REF!</definedName>
    <definedName name="RLA" hidden="1">#REF!</definedName>
    <definedName name="rlawpdnr" localSheetId="16" hidden="1">{#N/A,#N/A,FALSE,"지침";#N/A,#N/A,FALSE,"환경분석";#N/A,#N/A,FALSE,"Sheet16"}</definedName>
    <definedName name="rlawpdnr" hidden="1">{#N/A,#N/A,FALSE,"지침";#N/A,#N/A,FALSE,"환경분석";#N/A,#N/A,FALSE,"Sheet16"}</definedName>
    <definedName name="rP"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rP"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RR" localSheetId="6" hidden="1">{#N/A,#N/A,FALSE,"CCTV"}</definedName>
    <definedName name="RRE"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RERW" localSheetId="16" hidden="1">{#N/A,#N/A,FALSE,"CCTV"}</definedName>
    <definedName name="RRERW" hidden="1">{#N/A,#N/A,FALSE,"CCTV"}</definedName>
    <definedName name="RRR" localSheetId="6" hidden="1">{#N/A,#N/A,FALSE,"포장2"}</definedName>
    <definedName name="rrrrrrrr" hidden="1">#N/A</definedName>
    <definedName name="RSDF"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SDF"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RT" localSheetId="16" hidden="1">{#N/A,#N/A,FALSE,"이태원철근"}</definedName>
    <definedName name="RT" hidden="1">{#N/A,#N/A,FALSE,"이태원철근"}</definedName>
    <definedName name="rthjryjfgd" localSheetId="4" hidden="1">[11]공통비총괄표!#REF!</definedName>
    <definedName name="rthjryjfgd" localSheetId="16" hidden="1">[11]공통비총괄표!#REF!</definedName>
    <definedName name="rthjryjfgd" hidden="1">[11]공통비총괄표!#REF!</definedName>
    <definedName name="s" localSheetId="6" hidden="1">{#N/A,#N/A,FALSE,"PART-1234-8-12-9(41)";#N/A,#N/A,FALSE,"PARTS-2(3)";#N/A,#N/A,FALSE,"VAN SYSTEM";#N/A,#N/A,FALSE,"PARTS-10(26)";#N/A,#N/A,FALSE,"PART-5-6-7-11(14)";#N/A,#N/A,FALSE,"PARTS-4(3)";#N/A,#N/A,FALSE,"PCLASS"}</definedName>
    <definedName name="SADAD"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DAD"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ample" localSheetId="4" hidden="1">#REF!</definedName>
    <definedName name="sample" localSheetId="16" hidden="1">#REF!</definedName>
    <definedName name="sample" hidden="1">#REF!</definedName>
    <definedName name="SAPBEXhrIndnt" hidden="1">"Wide"</definedName>
    <definedName name="SAPBEXrevision" hidden="1">8</definedName>
    <definedName name="SAPBEXsysID" hidden="1">"BDP"</definedName>
    <definedName name="SAPBEXwbID" hidden="1">"4ZRKURF2Z4LN5Y4JBNGQCTKUZ"</definedName>
    <definedName name="SAPsysID" hidden="1">"708C5W7SBKP804JT78WJ0JNKI"</definedName>
    <definedName name="SAPwbID" hidden="1">"ARS"</definedName>
    <definedName name="sasa" localSheetId="16" hidden="1">{#N/A,#N/A,FALSE,"CCTV"}</definedName>
    <definedName name="sasa" hidden="1">{#N/A,#N/A,FALSE,"CCTV"}</definedName>
    <definedName name="SD" localSheetId="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SDAFADF" localSheetId="16" hidden="1">{#N/A,#N/A,FALSE,"손익표지";#N/A,#N/A,FALSE,"손익계산";#N/A,#N/A,FALSE,"일반관리비";#N/A,#N/A,FALSE,"영업외수익";#N/A,#N/A,FALSE,"영업외비용";#N/A,#N/A,FALSE,"매출액";#N/A,#N/A,FALSE,"요약손익";#N/A,#N/A,FALSE,"요약대차";#N/A,#N/A,FALSE,"매출채권현황";#N/A,#N/A,FALSE,"매출채권명세"}</definedName>
    <definedName name="SDAFADF" hidden="1">{#N/A,#N/A,FALSE,"손익표지";#N/A,#N/A,FALSE,"손익계산";#N/A,#N/A,FALSE,"일반관리비";#N/A,#N/A,FALSE,"영업외수익";#N/A,#N/A,FALSE,"영업외비용";#N/A,#N/A,FALSE,"매출액";#N/A,#N/A,FALSE,"요약손익";#N/A,#N/A,FALSE,"요약대차";#N/A,#N/A,FALSE,"매출채권현황";#N/A,#N/A,FALSE,"매출채권명세"}</definedName>
    <definedName name="SDAS" localSheetId="16" hidden="1">{"'Firr(선)'!$AS$1:$AY$62","'Firr(사)'!$AS$1:$AY$62","'Firr(회)'!$AS$1:$AY$62","'Firr(선)'!$L$1:$V$62","'Firr(사)'!$L$1:$V$62","'Firr(회)'!$L$1:$V$62"}</definedName>
    <definedName name="SDAS" hidden="1">{"'Firr(선)'!$AS$1:$AY$62","'Firr(사)'!$AS$1:$AY$62","'Firr(회)'!$AS$1:$AY$62","'Firr(선)'!$L$1:$V$62","'Firr(사)'!$L$1:$V$62","'Firr(회)'!$L$1:$V$62"}</definedName>
    <definedName name="SDCFG\" localSheetId="16" hidden="1">{#N/A,#N/A,FALSE,"운반시간"}</definedName>
    <definedName name="SDCFG\" hidden="1">{#N/A,#N/A,FALSE,"운반시간"}</definedName>
    <definedName name="SDDFD" localSheetId="16" hidden="1">{#N/A,#N/A,FALSE,"배수1"}</definedName>
    <definedName name="SDDFD" hidden="1">{#N/A,#N/A,FALSE,"배수1"}</definedName>
    <definedName name="SDF" localSheetId="16" hidden="1">{#N/A,#N/A,FALSE,"혼합골재"}</definedName>
    <definedName name="SDF" hidden="1">{#N/A,#N/A,FALSE,"혼합골재"}</definedName>
    <definedName name="sdfasars" localSheetId="16" hidden="1">{#N/A,#N/A,FALSE,"지침";#N/A,#N/A,FALSE,"환경분석";#N/A,#N/A,FALSE,"Sheet16"}</definedName>
    <definedName name="sdfasars" hidden="1">{#N/A,#N/A,FALSE,"지침";#N/A,#N/A,FALSE,"환경분석";#N/A,#N/A,FALSE,"Sheet16"}</definedName>
    <definedName name="SDFDFD" localSheetId="16" hidden="1">{#N/A,#N/A,FALSE,"운반시간"}</definedName>
    <definedName name="SDFDFD" hidden="1">{#N/A,#N/A,FALSE,"운반시간"}</definedName>
    <definedName name="sdfdsgdf" localSheetId="4" hidden="1">'[26]#REF'!#REF!</definedName>
    <definedName name="sdfdsgdf" localSheetId="16" hidden="1">'[26]#REF'!#REF!</definedName>
    <definedName name="sdfdsgdf" hidden="1">'[26]#REF'!#REF!</definedName>
    <definedName name="sdg" localSheetId="4" hidden="1">#REF!</definedName>
    <definedName name="sdg" localSheetId="16" hidden="1">#REF!</definedName>
    <definedName name="sdg" hidden="1">#REF!</definedName>
    <definedName name="sdgdsfdsgdsfggfdsd" localSheetId="4" hidden="1">#REF!</definedName>
    <definedName name="sdgdsfdsgdsfggfdsd" localSheetId="16" hidden="1">#REF!</definedName>
    <definedName name="sdgdsfdsgdsfggfdsd" hidden="1">#REF!</definedName>
    <definedName name="SDS" localSheetId="6" hidden="1">{#N/A,#N/A,FALSE,"2~8번"}</definedName>
    <definedName name="sdsdddd" localSheetId="16" hidden="1">{#N/A,#N/A,FALSE,"토공2"}</definedName>
    <definedName name="sdsdddd" hidden="1">{#N/A,#N/A,FALSE,"토공2"}</definedName>
    <definedName name="sencount" hidden="1">1</definedName>
    <definedName name="SERVICE" localSheetId="16" hidden="1">{#N/A,#N/A,FALSE,"이태원철근"}</definedName>
    <definedName name="SERVICE" hidden="1">{#N/A,#N/A,FALSE,"이태원철근"}</definedName>
    <definedName name="sfggf" localSheetId="16" hidden="1">{#N/A,#N/A,FALSE,"배수1"}</definedName>
    <definedName name="sfggf" hidden="1">{#N/A,#N/A,FALSE,"배수1"}</definedName>
    <definedName name="SG"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SG"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sheet" localSheetId="16" hidden="1">{#N/A,#N/A,FALSE,"골재소요량";#N/A,#N/A,FALSE,"골재소요량"}</definedName>
    <definedName name="sheet" hidden="1">{#N/A,#N/A,FALSE,"골재소요량";#N/A,#N/A,FALSE,"골재소요량"}</definedName>
    <definedName name="solver_cvg" hidden="1">0.001</definedName>
    <definedName name="solver_drv" hidden="1">1</definedName>
    <definedName name="solver_est" hidden="1">1</definedName>
    <definedName name="solver_itr" hidden="1">100</definedName>
    <definedName name="solver_lhs1" localSheetId="6" hidden="1">#REF!</definedName>
    <definedName name="solver_lhs1" localSheetId="3" hidden="1">#REF!</definedName>
    <definedName name="solver_lhs1" localSheetId="4" hidden="1">#REF!</definedName>
    <definedName name="solver_lhs1" localSheetId="5" hidden="1">#REF!</definedName>
    <definedName name="solver_lhs1" localSheetId="16" hidden="1">#REF!</definedName>
    <definedName name="solver_lhs1" localSheetId="0" hidden="1">#REF!</definedName>
    <definedName name="solver_lhs1" hidden="1">#REF!</definedName>
    <definedName name="solver_lin" hidden="1">2</definedName>
    <definedName name="solver_neg" hidden="1">2</definedName>
    <definedName name="solver_num" hidden="1">0</definedName>
    <definedName name="solver_nwt" hidden="1">1</definedName>
    <definedName name="solver_pre" hidden="1">0.000001</definedName>
    <definedName name="solver_rel1" hidden="1">1</definedName>
    <definedName name="solver_rhs1" localSheetId="6" hidden="1">#REF!*1.5</definedName>
    <definedName name="solver_rhs1" localSheetId="3" hidden="1">#REF!*1.5</definedName>
    <definedName name="solver_rhs1" localSheetId="4" hidden="1">#REF!*1.5</definedName>
    <definedName name="solver_rhs1" localSheetId="5" hidden="1">#REF!*1.5</definedName>
    <definedName name="solver_rhs1" localSheetId="16" hidden="1">#REF!*1.5</definedName>
    <definedName name="solver_rhs1" localSheetId="0" hidden="1">#REF!*1.5</definedName>
    <definedName name="solver_rhs1" hidden="1">#REF!*1.5</definedName>
    <definedName name="solver_scl" hidden="1">2</definedName>
    <definedName name="solver_sho" hidden="1">2</definedName>
    <definedName name="solver_tim" hidden="1">100</definedName>
    <definedName name="solver_tol" hidden="1">0.05</definedName>
    <definedName name="solver_typ" hidden="1">1</definedName>
    <definedName name="solver_val" hidden="1">0</definedName>
    <definedName name="srhtrjhcd" localSheetId="4" hidden="1">'[26]#REF'!#REF!</definedName>
    <definedName name="srhtrjhcd" localSheetId="16" hidden="1">'[26]#REF'!#REF!</definedName>
    <definedName name="srhtrjhcd" hidden="1">'[26]#REF'!#REF!</definedName>
    <definedName name="sss" localSheetId="6" hidden="1">{#N/A,#N/A,FALSE,"동부"}</definedName>
    <definedName name="SSSS"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SSSS"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sssss" localSheetId="16" hidden="1">{#N/A,#N/A,FALSE,"운반시간"}</definedName>
    <definedName name="sssss" hidden="1">{#N/A,#N/A,FALSE,"운반시간"}</definedName>
    <definedName name="SSSSSSSSSSS" localSheetId="16" hidden="1">{#N/A,#N/A,FALSE,"이태원철근"}</definedName>
    <definedName name="SSSSSSSSSSS" hidden="1">{#N/A,#N/A,FALSE,"이태원철근"}</definedName>
    <definedName name="Startmonth">총괄장!$P$8</definedName>
    <definedName name="Sum_Inst"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um_Inst"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SVSV"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SVSV"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SX" localSheetId="16" hidden="1">{#N/A,#N/A,FALSE,"CCTV"}</definedName>
    <definedName name="SX" hidden="1">{#N/A,#N/A,FALSE,"CCTV"}</definedName>
    <definedName name="ta" localSheetId="16" hidden="1">{#N/A,#N/A,FALSE,"지침";#N/A,#N/A,FALSE,"환경분석";#N/A,#N/A,FALSE,"Sheet16"}</definedName>
    <definedName name="ta" hidden="1">{#N/A,#N/A,FALSE,"지침";#N/A,#N/A,FALSE,"환경분석";#N/A,#N/A,FALSE,"Sheet16"}</definedName>
    <definedName name="tank"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tank"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TEMP" localSheetId="4" hidden="1">'[32]EQT-ESTN'!#REF!</definedName>
    <definedName name="TEMP" localSheetId="16" hidden="1">'[32]EQT-ESTN'!#REF!</definedName>
    <definedName name="TEMP" hidden="1">'[32]EQT-ESTN'!#REF!</definedName>
    <definedName name="TEWRER"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WRER"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TextRefCopyRangeCount" hidden="1">6</definedName>
    <definedName name="TG" localSheetId="16" hidden="1">{#N/A,#N/A,FALSE,"CCTV"}</definedName>
    <definedName name="TG" hidden="1">{#N/A,#N/A,FALSE,"CCTV"}</definedName>
    <definedName name="TNNR" localSheetId="16" hidden="1">{#N/A,#N/A,FALSE,"이정표"}</definedName>
    <definedName name="TNNR" hidden="1">{#N/A,#N/A,FALSE,"이정표"}</definedName>
    <definedName name="todoroki" localSheetId="4" hidden="1">[33]Budget!#REF!</definedName>
    <definedName name="todoroki" localSheetId="16" hidden="1">[33]Budget!#REF!</definedName>
    <definedName name="todoroki" hidden="1">[33]Budget!#REF!</definedName>
    <definedName name="tr" localSheetId="4" hidden="1">#REF!</definedName>
    <definedName name="tr" localSheetId="16" hidden="1">#REF!</definedName>
    <definedName name="tr" hidden="1">#REF!</definedName>
    <definedName name="trjgfcjgfj" localSheetId="4" hidden="1">[11]공통비총괄표!#REF!</definedName>
    <definedName name="trjgfcjgfj" localSheetId="16" hidden="1">[11]공통비총괄표!#REF!</definedName>
    <definedName name="trjgfcjgfj" hidden="1">[11]공통비총괄표!#REF!</definedName>
    <definedName name="TRRR" localSheetId="16" hidden="1">{#N/A,#N/A,FALSE,"속도"}</definedName>
    <definedName name="TRRR" hidden="1">{#N/A,#N/A,FALSE,"속도"}</definedName>
    <definedName name="TSUPPOT" localSheetId="16" hidden="1">{#N/A,#N/A,FALSE,"CCTV"}</definedName>
    <definedName name="TSUPPOT" hidden="1">{#N/A,#N/A,FALSE,"CCTV"}</definedName>
    <definedName name="TTTTRFS" localSheetId="16" hidden="1">{#N/A,#N/A,FALSE,"운반시간"}</definedName>
    <definedName name="TTTTRFS" hidden="1">{#N/A,#N/A,FALSE,"운반시간"}</definedName>
    <definedName name="ttttt" localSheetId="16" hidden="1">{#N/A,#N/A,FALSE,"지침";#N/A,#N/A,FALSE,"환경분석";#N/A,#N/A,FALSE,"Sheet16"}</definedName>
    <definedName name="ttttt" hidden="1">{#N/A,#N/A,FALSE,"지침";#N/A,#N/A,FALSE,"환경분석";#N/A,#N/A,FALSE,"Sheet16"}</definedName>
    <definedName name="TUBE" localSheetId="16" hidden="1">{#N/A,#N/A,FALSE,"CCTV"}</definedName>
    <definedName name="TUBE" hidden="1">{#N/A,#N/A,FALSE,"CCTV"}</definedName>
    <definedName name="TV" localSheetId="16" hidden="1">{#N/A,#N/A,FALSE,"CCTV"}</definedName>
    <definedName name="TV" hidden="1">{#N/A,#N/A,FALSE,"CCTV"}</definedName>
    <definedName name="TYHFDGFD" localSheetId="16" hidden="1">{#N/A,#N/A,FALSE,"배수2"}</definedName>
    <definedName name="TYHFDGFD" hidden="1">{#N/A,#N/A,FALSE,"배수2"}</definedName>
    <definedName name="u" localSheetId="16" hidden="1">{#N/A,#N/A,FALSE,"PART-1234-8-12-9(41)";#N/A,#N/A,FALSE,"PARTS-2(3)";#N/A,#N/A,FALSE,"VAN SYSTEM";#N/A,#N/A,FALSE,"PARTS-10(26)";#N/A,#N/A,FALSE,"PART-5-6-7-11(14)";#N/A,#N/A,FALSE,"PARTS-4(3)";#N/A,#N/A,FALSE,"PCLASS"}</definedName>
    <definedName name="u" hidden="1">{#N/A,#N/A,FALSE,"PART-1234-8-12-9(41)";#N/A,#N/A,FALSE,"PARTS-2(3)";#N/A,#N/A,FALSE,"VAN SYSTEM";#N/A,#N/A,FALSE,"PARTS-10(26)";#N/A,#N/A,FALSE,"PART-5-6-7-11(14)";#N/A,#N/A,FALSE,"PARTS-4(3)";#N/A,#N/A,FALSE,"PCLASS"}</definedName>
    <definedName name="UB" localSheetId="16" hidden="1">{#N/A,#N/A,FALSE,"CCTV"}</definedName>
    <definedName name="UB" hidden="1">{#N/A,#N/A,FALSE,"CCTV"}</definedName>
    <definedName name="UIU"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I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KY"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KUYK"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UNI_FILT_OFFSPEC" hidden="1">2</definedName>
    <definedName name="UNI_FILT_ONSPEC" hidden="1">1</definedName>
    <definedName name="UNI_NOTHING" hidden="1">0</definedName>
    <definedName name="UNI_PRES_FILTER" hidden="1">1</definedName>
    <definedName name="UNI_PRES_HEADINGS" hidden="1">16</definedName>
    <definedName name="UNI_PRES_INVERT" hidden="1">2</definedName>
    <definedName name="UNI_PRES_MATRIX" hidden="1">4</definedName>
    <definedName name="UNI_PRES_MERGED" hidden="1">8</definedName>
    <definedName name="UNI_PRES_OUTLIERS" hidden="1">32</definedName>
    <definedName name="UNI_RET_ATTRIB" hidden="1">64</definedName>
    <definedName name="UNI_RET_CONF" hidden="1">32</definedName>
    <definedName name="UNI_RET_DESC" hidden="1">4</definedName>
    <definedName name="UNI_RET_EQUIP" hidden="1">1</definedName>
    <definedName name="UNI_RET_OFFSPEC" hidden="1">512</definedName>
    <definedName name="UNI_RET_ONSPEC" hidden="1">256</definedName>
    <definedName name="UNI_RET_PROP" hidden="1">32</definedName>
    <definedName name="UNI_RET_PROPDESC" hidden="1">64</definedName>
    <definedName name="UNI_RET_SMPLPNT" hidden="1">4</definedName>
    <definedName name="UNI_RET_SPECMAX" hidden="1">2048</definedName>
    <definedName name="UNI_RET_SPECMIN" hidden="1">1024</definedName>
    <definedName name="UNI_RET_TAG" hidden="1">1</definedName>
    <definedName name="UNI_RET_TESTTIME" hidden="1">128</definedName>
    <definedName name="UNI_RET_TIME" hidden="1">8</definedName>
    <definedName name="UNI_RET_UNIT" hidden="1">2</definedName>
    <definedName name="UNI_RET_VALUE" hidden="1">16</definedName>
    <definedName name="up" localSheetId="16" hidden="1">{#N/A,#N/A,FALSE,"지침";#N/A,#N/A,FALSE,"환경분석";#N/A,#N/A,FALSE,"Sheet16"}</definedName>
    <definedName name="up" hidden="1">{#N/A,#N/A,FALSE,"지침";#N/A,#N/A,FALSE,"환경분석";#N/A,#N/A,FALSE,"Sheet16"}</definedName>
    <definedName name="VB" localSheetId="16" hidden="1">{#N/A,#N/A,FALSE,"이태원철근"}</definedName>
    <definedName name="VB" hidden="1">{#N/A,#N/A,FALSE,"이태원철근"}</definedName>
    <definedName name="VBN" localSheetId="16" hidden="1">{#N/A,#N/A,FALSE,"이태원철근"}</definedName>
    <definedName name="VBN" hidden="1">{#N/A,#N/A,FALSE,"이태원철근"}</definedName>
    <definedName name="vsa" localSheetId="16" hidden="1">{#N/A,#N/A,FALSE,"이태원철근"}</definedName>
    <definedName name="vsa" hidden="1">{#N/A,#N/A,FALSE,"이태원철근"}</definedName>
    <definedName name="VSVS"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VSVS"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VXCVXVXCV"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VXCVXVXCV"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 localSheetId="6" hidden="1">{#N/A,#N/A,FALSE,"BS";#N/A,#N/A,FALSE,"PL";#N/A,#N/A,FALSE,"처분";#N/A,#N/A,FALSE,"현금";#N/A,#N/A,FALSE,"매출";#N/A,#N/A,FALSE,"원가";#N/A,#N/A,FALSE,"경영"}</definedName>
    <definedName name="wbs" localSheetId="16" hidden="1">{#N/A,#N/A,FALSE,"Aging Summary";#N/A,#N/A,FALSE,"Ratio Analysis";#N/A,#N/A,FALSE,"Test 120 Day Accts";#N/A,#N/A,FALSE,"Tickmarks"}</definedName>
    <definedName name="wbs" hidden="1">{#N/A,#N/A,FALSE,"Aging Summary";#N/A,#N/A,FALSE,"Ratio Analysis";#N/A,#N/A,FALSE,"Test 120 Day Accts";#N/A,#N/A,FALSE,"Tickmarks"}</definedName>
    <definedName name="WEEE"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E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ight" localSheetId="16" hidden="1">{#N/A,#N/A,FALSE,"CCTV"}</definedName>
    <definedName name="weight" hidden="1">{#N/A,#N/A,FALSE,"CCTV"}</definedName>
    <definedName name="WEQWE"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QWE"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er"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er"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ert"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ert"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es"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es"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ew" hidden="1">[34]현금흐름표!$F$45</definedName>
    <definedName name="who_are" localSheetId="4" hidden="1">#REF!</definedName>
    <definedName name="who_are" localSheetId="16" hidden="1">#REF!</definedName>
    <definedName name="who_are" hidden="1">#REF!</definedName>
    <definedName name="who_are2" localSheetId="4" hidden="1">#REF!</definedName>
    <definedName name="who_are2" localSheetId="16" hidden="1">#REF!</definedName>
    <definedName name="who_are2" hidden="1">#REF!</definedName>
    <definedName name="whoo1" localSheetId="4" hidden="1">#REF!</definedName>
    <definedName name="whoo1" localSheetId="16" hidden="1">#REF!</definedName>
    <definedName name="whoo1" hidden="1">#REF!</definedName>
    <definedName name="whoo2" localSheetId="4" hidden="1">#REF!</definedName>
    <definedName name="whoo2" localSheetId="16" hidden="1">#REF!</definedName>
    <definedName name="whoo2" hidden="1">#REF!</definedName>
    <definedName name="whoo3" localSheetId="4" hidden="1">#REF!</definedName>
    <definedName name="whoo3" localSheetId="16" hidden="1">#REF!</definedName>
    <definedName name="whoo3" hidden="1">#REF!</definedName>
    <definedName name="whooo1" localSheetId="4" hidden="1">#REF!</definedName>
    <definedName name="whooo1" localSheetId="16" hidden="1">#REF!</definedName>
    <definedName name="whooo1" hidden="1">#REF!</definedName>
    <definedName name="whooo2" localSheetId="4" hidden="1">#REF!</definedName>
    <definedName name="whooo2" localSheetId="16" hidden="1">#REF!</definedName>
    <definedName name="whooo2" hidden="1">#REF!</definedName>
    <definedName name="whooo3" localSheetId="4" hidden="1">#REF!</definedName>
    <definedName name="whooo3" localSheetId="16" hidden="1">#REF!</definedName>
    <definedName name="whooo3" hidden="1">#REF!</definedName>
    <definedName name="wjd"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wjd"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wjs" localSheetId="16" hidden="1">{#N/A,#N/A,FALSE,"CCTV"}</definedName>
    <definedName name="wjs" hidden="1">{#N/A,#N/A,FALSE,"CCTV"}</definedName>
    <definedName name="wkgk" localSheetId="16" hidden="1">{#N/A,#N/A,FALSE,"BS";#N/A,#N/A,FALSE,"PL";#N/A,#N/A,FALSE,"처분";#N/A,#N/A,FALSE,"현금";#N/A,#N/A,FALSE,"매출";#N/A,#N/A,FALSE,"원가";#N/A,#N/A,FALSE,"경영"}</definedName>
    <definedName name="wkgk" hidden="1">{#N/A,#N/A,FALSE,"BS";#N/A,#N/A,FALSE,"PL";#N/A,#N/A,FALSE,"처분";#N/A,#N/A,FALSE,"현금";#N/A,#N/A,FALSE,"매출";#N/A,#N/A,FALSE,"원가";#N/A,#N/A,FALSE,"경영"}</definedName>
    <definedName name="wm.조골재1" localSheetId="16" hidden="1">{#N/A,#N/A,FALSE,"조골재"}</definedName>
    <definedName name="wm.조골재1" hidden="1">{#N/A,#N/A,FALSE,"조골재"}</definedName>
    <definedName name="WNDY" localSheetId="16" hidden="1">{#N/A,#N/A,FALSE,"PART-1234-8-12-9(41)";#N/A,#N/A,FALSE,"PARTS-2(3)";#N/A,#N/A,FALSE,"VAN SYSTEM";#N/A,#N/A,FALSE,"PARTS-10(26)";#N/A,#N/A,FALSE,"PART-5-6-7-11(14)";#N/A,#N/A,FALSE,"PARTS-4(3)";#N/A,#N/A,FALSE,"PCLASS"}</definedName>
    <definedName name="WNDY" hidden="1">{#N/A,#N/A,FALSE,"PART-1234-8-12-9(41)";#N/A,#N/A,FALSE,"PARTS-2(3)";#N/A,#N/A,FALSE,"VAN SYSTEM";#N/A,#N/A,FALSE,"PARTS-10(26)";#N/A,#N/A,FALSE,"PART-5-6-7-11(14)";#N/A,#N/A,FALSE,"PARTS-4(3)";#N/A,#N/A,FALSE,"PCLASS"}</definedName>
    <definedName name="workshop" localSheetId="16" hidden="1">{#N/A,#N/A,FALSE,"CCTV"}</definedName>
    <definedName name="workshop" hidden="1">{#N/A,#N/A,FALSE,"CCTV"}</definedName>
    <definedName name="WPL" localSheetId="16" hidden="1">{#N/A,#N/A,FALSE,"BS";#N/A,#N/A,FALSE,"PL";#N/A,#N/A,FALSE,"처분";#N/A,#N/A,FALSE,"현금";#N/A,#N/A,FALSE,"매출";#N/A,#N/A,FALSE,"원가";#N/A,#N/A,FALSE,"경영"}</definedName>
    <definedName name="WPL" hidden="1">{#N/A,#N/A,FALSE,"BS";#N/A,#N/A,FALSE,"PL";#N/A,#N/A,FALSE,"처분";#N/A,#N/A,FALSE,"현금";#N/A,#N/A,FALSE,"매출";#N/A,#N/A,FALSE,"원가";#N/A,#N/A,FALSE,"경영"}</definedName>
    <definedName name="WQW"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QW"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R" localSheetId="16" hidden="1">{#N/A,#N/A,FALSE,"CCTV"}</definedName>
    <definedName name="WR" hidden="1">{#N/A,#N/A,FALSE,"CCTV"}</definedName>
    <definedName name="WRITE" localSheetId="16" hidden="1">{#N/A,#N/A,FALSE,"CCTV"}</definedName>
    <definedName name="WRITE" hidden="1">{#N/A,#N/A,FALSE,"CCTV"}</definedName>
    <definedName name="WRN" localSheetId="16" hidden="1">{#N/A,#N/A,FALSE,"CCTV"}</definedName>
    <definedName name="WRN" hidden="1">{#N/A,#N/A,FALSE,"CCTV"}</definedName>
    <definedName name="wrn.2번." localSheetId="16" hidden="1">{#N/A,#N/A,FALSE,"2~8번"}</definedName>
    <definedName name="wrn.2번." hidden="1">{#N/A,#N/A,FALSE,"2~8번"}</definedName>
    <definedName name="wrn.97." localSheetId="16" hidden="1">{#N/A,#N/A,FALSE,"지침";#N/A,#N/A,FALSE,"환경분석";#N/A,#N/A,FALSE,"Sheet16"}</definedName>
    <definedName name="wrn.97." hidden="1">{#N/A,#N/A,FALSE,"지침";#N/A,#N/A,FALSE,"환경분석";#N/A,#N/A,FALSE,"Sheet16"}</definedName>
    <definedName name="wrn.97년._.9월._.임차현황." localSheetId="16" hidden="1">{#N/A,#N/A,FALSE,"동부"}</definedName>
    <definedName name="wrn.97년._.9월._.임차현황." hidden="1">{#N/A,#N/A,FALSE,"동부"}</definedName>
    <definedName name="wrn.ACHESON94TAXRETURN." localSheetId="16"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CHESON94TAXRETURN." hidden="1">{#N/A,#N/A,FALSE,"일반적사항";#N/A,#N/A,FALSE,"주요재무자료";#N/A,#N/A,FALSE,"표지";#N/A,#N/A,FALSE,"총괄표";#N/A,#N/A,FALSE,"1호 과표세액";#N/A,#N/A,FALSE,"1-2호 농어촌과표";#N/A,#N/A,FALSE,"2호 서식";#N/A,#N/A,FALSE,"3(1)호 공제감면";#N/A,#N/A,FALSE,"임시특별감면";#N/A,#N/A,FALSE,"3(1)부7 기업합리";#N/A,#N/A,FALSE,"3(3)호(갑) 원천납부";#N/A,#N/A,FALSE,"5호 농어촌";#N/A,#N/A,FALSE,"6호 소득금액";#N/A,#N/A,FALSE,"6호 첨부(익)";#N/A,#N/A,FALSE,"6호 첨부(손)";#N/A,#N/A,FALSE,"6-1호 수입금액";#N/A,#N/A,FALSE,"6-3호 퇴충";#N/A,#N/A,FALSE,"6-3(4)호 대손";#N/A,#N/A,FALSE,"6-4호 접대(갑)";#N/A,#N/A,FALSE,"6-4호 접대(을)";#N/A,#N/A,FALSE,"6-6호(부표) 자본적지출";#N/A,#N/A,FALSE,"6-10호 재고자산";#N/A,#N/A,FALSE,"6-11호 세금과공과";#N/A,#N/A,FALSE,"6-12호 선급비용";#N/A,#N/A,FALSE,"6-14호 부동산보유";#N/A,#N/A,FALSE,"9호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wrn.Aging._.and._.Trend._.Analysis." localSheetId="16" hidden="1">{#N/A,#N/A,FALSE,"Aging Summary";#N/A,#N/A,FALSE,"Ratio Analysis";#N/A,#N/A,FALSE,"Test 120 Day Accts";#N/A,#N/A,FALSE,"Tickmarks"}</definedName>
    <definedName name="wrn.Aging._.and._.Trend._.Analysis." hidden="1">{#N/A,#N/A,FALSE,"Aging Summary";#N/A,#N/A,FALSE,"Ratio Analysis";#N/A,#N/A,FALSE,"Test 120 Day Accts";#N/A,#N/A,FALSE,"Tickmarks"}</definedName>
    <definedName name="wrn.AJDSuite." localSheetId="16" hidden="1">{"AJD",#N/A,TRUE,"Summary";"AJD",#N/A,TRUE,"CFCONC-outputs";"AJD",#N/A,TRUE,"P&amp;LCONC-outputs";"AJD",#N/A,TRUE,"BSCONC-outputs";"AJD",#N/A,TRUE,"FSCONC-outputs"}</definedName>
    <definedName name="wrn.AJDSuite." hidden="1">{"AJD",#N/A,TRUE,"Summary";"AJD",#N/A,TRUE,"CFCONC-outputs";"AJD",#N/A,TRUE,"P&amp;LCONC-outputs";"AJD",#N/A,TRUE,"BSCONC-outputs";"AJD",#N/A,TRUE,"FSCONC-outputs"}</definedName>
    <definedName name="wrn.BL94TAXRETURN." localSheetId="16"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L94TAXRETURN." hidden="1">{#N/A,#N/A,FALSE,"일반적사항";#N/A,#N/A,FALSE,"주요재무자료";#N/A,#N/A,FALSE,"10(2)호 소득공제";#N/A,#N/A,FALSE,"표지";#N/A,#N/A,FALSE,"총괄표";#N/A,#N/A,FALSE,"1호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PL";#N/A,#N/A,FALSE,"요약원가";#N/A,#N/A,FALSE,"요약RE";#N/A,#N/A,FALSE,"60호 을 적정유보";#N/A,#N/A,FALSE,"60호 갑 적정유보";#N/A,#N/A,FALSE,"표지";#N/A,#N/A,FALSE,"총괄표";#N/A,#N/A,FALSE,"1호 과표세액";#N/A,#N/A,FALSE,"1호 과표세액";#N/A,#N/A,FALSE,"1호 과표세액";#N/A,#N/A,FALSE,"1-2호 농어촌과표";#N/A,#N/A,FALSE,"2호 서식";#N/A,#N/A,FALSE,"2호부표 최저한세";#N/A,#N/A,FALSE,"3(1)호 공제감면";#N/A,#N/A,FALSE,"3(1) 부1 공제감면";#N/A,#N/A,FALSE,"3(1) 부2 공제감면";#N/A,#N/A,FALSE,"3(1) 부3 세액조정";#N/A,#N/A,FALSE,"3(1) 부4 공제감면";#N/A,#N/A,FALSE,"3호 임시투자공제";#N/A,#N/A,FALSE,"3(1)부7 기업합리";#N/A,#N/A,FALSE,"3(3)호(갑) 원천납부";#N/A,#N/A,FALSE,"5호 농어촌";#N/A,#N/A,FALSE,"6호 소득금액";#N/A,#N/A,FALSE,"6호 첨부(익)";#N/A,#N/A,FALSE,"6-1호 수입금액";#N/A,#N/A,FALSE,"6-1호 수입금액";#N/A,#N/A,FALSE,"6-3호 퇴충";#N/A,#N/A,FALSE,"6-3(3)호 단퇴";#N/A,#N/A,FALSE,"6-3(4)호 대손";#N/A,#N/A,FALSE,"6-4호 접대(갑)";#N/A,#N/A,FALSE,"6-4호 접대(을)";#N/A,#N/A,FALSE,"6-5호 외화(갑)";#N/A,#N/A,FALSE,"6-5호 외화(을)";#N/A,#N/A,FALSE,"6-6호(부표) 자본적지출";#N/A,#N/A,FALSE,"6-10호 재고자산";#N/A,#N/A,FALSE,"6-11호 세금과공과";#N/A,#N/A,FALSE,"6-12호 선급비용";#N/A,#N/A,FALSE,"9호 자본금(갑)";#N/A,#N/A,FALSE,"9호 자본금(을)";#N/A,#N/A,FALSE,"10(2)호 소득공제";#N/A,#N/A,FALSE,"10(3)호 부표";#N/A,#N/A,FALSE,"10(3)호 주요계정";#N/A,#N/A,FALSE,"10(4)호 조정수입";#N/A,#N/A,FALSE,"14(1)호 갑 주식";#N/A,#N/A,FALSE,"59호 해외특수";#N/A,#N/A,FALSE,"60호 갑 적정유보";#N/A,#N/A,FALSE,"60호 을 적정유보";#N/A,#N/A,FALSE,"요약 BS";#N/A,#N/A,FALSE,"요약 PL";#N/A,#N/A,FALSE,"요약원가";#N/A,#N/A,FALSE,"요약RE";#N/A,#N/A,FALSE,"요약RE"}</definedName>
    <definedName name="wrn.BM." localSheetId="16" hidden="1">{#N/A,#N/A,FALSE,"CCTV"}</definedName>
    <definedName name="wrn.BM." hidden="1">{#N/A,#N/A,FALSE,"CCTV"}</definedName>
    <definedName name="wrn.CASH." localSheetId="16" hidden="1">{#N/A,#N/A,FALSE,"Sheet5"}</definedName>
    <definedName name="wrn.CASH." hidden="1">{#N/A,#N/A,FALSE,"Sheet5"}</definedName>
    <definedName name="wrn.CBA."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wrn.CBA_RO." localSheetId="16"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RO." hidden="1">{#N/A,#N/A,FALSE,"C-001";#N/A,#N/A,FALSE,"C-002";#N/A,#N/A,FALSE,"C-003";#N/A,#N/A,FALSE,"C-004";#N/A,#N/A,FALSE,"C-005";#N/A,#N/A,FALSE,"C-006";#N/A,#N/A,FALSE,"C-007";#N/A,#N/A,FALSE,"C-008";#N/A,#N/A,FALSE,"CF-001";#N/A,#N/A,FALSE,"H-001";#N/A,#N/A,FALSE,"P-001";#N/A,#N/A,FALSE,"P-002";#N/A,#N/A,FALSE,"P-003";#N/A,#N/A,FALSE,"P-004";#N/A,#N/A,FALSE,"P-005";#N/A,#N/A,FALSE,"P-006";#N/A,#N/A,FALSE,"P-001,2,3,4,5";#N/A,#N/A,FALSE,"P-007";#N/A,#N/A,FALSE,"X-001";#N/A,#N/A,FALSE,"X-004"}</definedName>
    <definedName name="wrn.CBA_ST." localSheetId="16"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BA_ST." hidden="1">{#N/A,#N/A,FALSE,"BE-001";#N/A,#N/A,FALSE,"CA-001";#N/A,#N/A,FALSE,"CY-001";#N/A,#N/A,FALSE,"CU-001";#N/A,#N/A,FALSE,"D-001";#N/A,#N/A,FALSE,"D-002";#N/A,#N/A,FALSE,"DH-001";#N/A,#N/A,FALSE,"DU-001";#N/A,#N/A,FALSE,"E-001";#N/A,#N/A,FALSE,"E-002";#N/A,#N/A,FALSE,"E-003";#N/A,#N/A,FALSE,"E-004";#N/A,#N/A,FALSE,"E-005";#N/A,#N/A,FALSE,"E-006";#N/A,#N/A,FALSE,"E-007";#N/A,#N/A,FALSE,"EH-001";#N/A,#N/A,FALSE,"EL-001";#N/A,#N/A,FALSE,"F-001";#N/A,#N/A,FALSE,"F-002";#N/A,#N/A,FALSE,"FI-001";#N/A,#N/A,FALSE,"J-001";#N/A,#N/A,FALSE,"J-002";#N/A,#N/A,FALSE,"N2-001";#N/A,#N/A,FALSE,"PT-001";#N/A,#N/A,FALSE,"R-001";#N/A,#N/A,FALSE,"SI-001";#N/A,#N/A,FALSE,"SM-001";#N/A,#N/A,FALSE,"T-001";#N/A,#N/A,FALSE,"T-002";#N/A,#N/A,FALSE,"T-003";#N/A,#N/A,FALSE,"TO-001";#N/A,#N/A,FALSE,"X-002";#N/A,#N/A,FALSE,"X-003";#N/A,#N/A,FALSE,"S_STR"}</definedName>
    <definedName name="wrn.CIC94TAX." localSheetId="16"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IC94TAX." hidden="1">{#N/A,#N/A,FALSE,"일반적사항";#N/A,#N/A,FALSE,"주요재무자료";#N/A,#N/A,FALSE,"표지";#N/A,#N/A,FALSE,"총괄표";#N/A,#N/A,FALSE,"1호 과표세액";#N/A,#N/A,FALSE,"2호 서식";#N/A,#N/A,FALSE,"3(3)호(갑) 원천납부";#N/A,#N/A,FALSE,"6호 소득금액";#N/A,#N/A,FALSE,"6호 첨부(익)";#N/A,#N/A,FALSE,"6호 첨부(익)";#N/A,#N/A,FALSE,"6호 첨부(손)";#N/A,#N/A,FALSE,"6-1호 수입금액";#N/A,#N/A,FALSE,"6-3호 퇴충";#N/A,#N/A,FALSE,"6-4호 접대(갑)";#N/A,#N/A,FALSE,"6-4호 접대(을)";#N/A,#N/A,FALSE,"감가총괄";#N/A,#N/A,FALSE,"6-6(3)호 감가(정액)";#N/A,#N/A,FALSE,"전기부인액추인";#N/A,#N/A,FALSE,"6-6호(부표) 자본적지출";#N/A,#N/A,FALSE,"6-10호 재고자산";#N/A,#N/A,FALSE,"6-11호 세금과공과";#N/A,#N/A,FALSE,"6-12호 선급비용";#N/A,#N/A,FALSE,"9호 자본금(갑)";#N/A,#N/A,FALSE,"9호 자본금(을)";#N/A,#N/A,FALSE,"10(4)호 조정수입";#N/A,#N/A,FALSE,"59호 해외특수"}</definedName>
    <definedName name="wrn.Construction._.Costs." localSheetId="16" hidden="1">{"Const Costs Dev",#N/A,FALSE,"Construction Cost Inputs";"Const Costs orig ccy",#N/A,FALSE,"Construction Cost Inputs";"Const Costs USD",#N/A,FALSE,"Construction Cost Inputs"}</definedName>
    <definedName name="wrn.Construction._.Costs." hidden="1">{"Const Costs Dev",#N/A,FALSE,"Construction Cost Inputs";"Const Costs orig ccy",#N/A,FALSE,"Construction Cost Inputs";"Const Costs USD",#N/A,FALSE,"Construction Cost Inputs"}</definedName>
    <definedName name="wrn.COSA._.FS._.국문." localSheetId="16" hidden="1">{#N/A,#N/A,FALSE,"BS";#N/A,#N/A,FALSE,"PL";#N/A,#N/A,FALSE,"처분";#N/A,#N/A,FALSE,"현금";#N/A,#N/A,FALSE,"매출";#N/A,#N/A,FALSE,"원가";#N/A,#N/A,FALSE,"경영"}</definedName>
    <definedName name="wrn.COSA._.FS._.국문." hidden="1">{#N/A,#N/A,FALSE,"BS";#N/A,#N/A,FALSE,"PL";#N/A,#N/A,FALSE,"처분";#N/A,#N/A,FALSE,"현금";#N/A,#N/A,FALSE,"매출";#N/A,#N/A,FALSE,"원가";#N/A,#N/A,FALSE,"경영"}</definedName>
    <definedName name="wrn.COSA94TAXRETURN." localSheetId="16"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COSA94TAXRETURN." hidden="1">{#N/A,#N/A,FALSE,"일반적사항";#N/A,#N/A,FALSE,"주요재무자료";#N/A,#N/A,FALSE,"표지";#N/A,#N/A,FALSE,"총괄표";#N/A,#N/A,FALSE,"1호 과표세액";#N/A,#N/A,FALSE,"1-2호 농어촌과표";#N/A,#N/A,FALSE,"2호 서식";#N/A,#N/A,FALSE,"2호부표 최저한세";#N/A,#N/A,FALSE,"3(1)부7 기업합리";#N/A,#N/A,FALSE,"3(3)호(갑) 원천납부";#N/A,#N/A,FALSE,"5호 농어촌";#N/A,#N/A,FALSE,"5호2 농감면(갑)";#N/A,#N/A,FALSE,"6호 소득금액";#N/A,#N/A,FALSE,"6호 첨부(익)";#N/A,#N/A,FALSE,"6호 첨부(손)";#N/A,#N/A,FALSE,"6-1호 수입금액";#N/A,#N/A,FALSE,"6-3호 퇴충";#N/A,#N/A,FALSE,"6-3(3)호 단퇴";#N/A,#N/A,FALSE,"6-3(4)호 대손";#N/A,#N/A,FALSE,"6-4호 접대(갑)";#N/A,#N/A,FALSE,"6-4호 접대(을)";#N/A,#N/A,FALSE,"6-5호 외화(갑)";#N/A,#N/A,FALSE,"6-5호 외화(을)";#N/A,#N/A,FALSE,"감가총괄";#N/A,#N/A,FALSE,"6-6(3)호 감가(정액)";#N/A,#N/A,FALSE,"6-6호(부표)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자본금(을)";#N/A,#N/A,FALSE,"10(2)호 소득공제";#N/A,#N/A,FALSE,"10(3)호 주요계정";#N/A,#N/A,FALSE,"10(3)호 부표";#N/A,#N/A,FALSE,"10(4)호 조정수입";#N/A,#N/A,FALSE,"14(1)호 갑 주식";#N/A,#N/A,FALSE,"59호 해외특수";#N/A,#N/A,FALSE,"요약 BS";#N/A,#N/A,FALSE,"요약 PL";#N/A,#N/A,FALSE,"요약RE"}</definedName>
    <definedName name="wrn.Financing._.Inputs." localSheetId="16" hidden="1">{"BuildIn 2 Funding Assump",#N/A,FALSE,"Building Inputs";"BuildIn Capex plus Extras",#N/A,FALSE,"Building Inputs"}</definedName>
    <definedName name="wrn.Financing._.Inputs." hidden="1">{"BuildIn 2 Funding Assump",#N/A,FALSE,"Building Inputs";"BuildIn Capex plus Extras",#N/A,FALSE,"Building Inputs"}</definedName>
    <definedName name="wrn.gamme." localSheetId="16" hidden="1">{#N/A,#N/A,FALSE,"original";#N/A,#N/A,FALSE,"boiler";#N/A,#N/A,FALSE,"burner";#N/A,#N/A,FALSE,"absorbtion unit"}</definedName>
    <definedName name="wrn.gamme." hidden="1">{#N/A,#N/A,FALSE,"original";#N/A,#N/A,FALSE,"boiler";#N/A,#N/A,FALSE,"burner";#N/A,#N/A,FALSE,"absorbtion unit"}</definedName>
    <definedName name="wrn.IFF94TAX." localSheetId="16"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IFF94TAX." hidden="1">{#N/A,#N/A,FALSE,"일반적사항";#N/A,#N/A,FALSE,"주요재무자료";#N/A,#N/A,FALSE,"표지";#N/A,#N/A,FALSE,"총괄표";#N/A,#N/A,FALSE,"1호 과표세액";#N/A,#N/A,FALSE,"2호 서식";#N/A,#N/A,FALSE,"3(3)호(갑) 원천납부";#N/A,#N/A,FALSE,"6호 소득금액";#N/A,#N/A,FALSE,"6호 첨부(익)";#N/A,#N/A,FALSE,"6호 첨부(손)";#N/A,#N/A,FALSE,"6-1호 수입금액";#N/A,#N/A,FALSE,"6-3호 퇴충";#N/A,#N/A,FALSE,"6-4호 접대(갑)";#N/A,#N/A,FALSE,"6-4호 접대(을)";#N/A,#N/A,FALSE,"6-5 갑 외화";#N/A,#N/A,FALSE,"6-5을 외화";#N/A,#N/A,FALSE,"감가총괄";#N/A,#N/A,FALSE,"전기부인액추인";#N/A,#N/A,FALSE,"6-6호(부표) 자본적지출";#N/A,#N/A,FALSE,"6-11호 세금과공과";#N/A,#N/A,FALSE,"6-12호 선급비용";#N/A,#N/A,FALSE,"9호 자본금(갑)";#N/A,#N/A,FALSE,"9호 자본금(을)";#N/A,#N/A,FALSE,"10(3)호 주요계정";#N/A,#N/A,FALSE,"10(4)호 조정수입";#N/A,#N/A,FALSE,"12호 중소검토";#N/A,#N/A,FALSE,"14(1) 주주이동(갑)";#N/A,#N/A,FALSE,"59호 해외특수";#N/A,#N/A,FALSE,"해외명세";#N/A,#N/A,FALSE,"요약 BS";#N/A,#N/A,FALSE,"요약RE";#N/A,#N/A,FALSE,"요약 PL"}</definedName>
    <definedName name="wrn.jck94TAXRETURN."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jck94TAXRETURN."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wrn.Lead._.Schedule." localSheetId="16" hidden="1">{#N/A,#N/A,FALSE,"BS";#N/A,#N/A,FALSE,"PL";#N/A,#N/A,FALSE,"A";#N/A,#N/A,FALSE,"B";#N/A,#N/A,FALSE,"B1";#N/A,#N/A,FALSE,"C";#N/A,#N/A,FALSE,"C1";#N/A,#N/A,FALSE,"C2";#N/A,#N/A,FALSE,"D";#N/A,#N/A,FALSE,"E";#N/A,#N/A,FALSE,"F";#N/A,#N/A,FALSE,"AA";#N/A,#N/A,FALSE,"BB";#N/A,#N/A,FALSE,"CC";#N/A,#N/A,FALSE,"DD";#N/A,#N/A,FALSE,"EE";#N/A,#N/A,FALSE,"FF";#N/A,#N/A,FALSE,"PL10";#N/A,#N/A,FALSE,"PL20";#N/A,#N/A,FALSE,"PL30"}</definedName>
    <definedName name="wrn.Lead._.Schedule." hidden="1">{#N/A,#N/A,FALSE,"BS";#N/A,#N/A,FALSE,"PL";#N/A,#N/A,FALSE,"A";#N/A,#N/A,FALSE,"B";#N/A,#N/A,FALSE,"B1";#N/A,#N/A,FALSE,"C";#N/A,#N/A,FALSE,"C1";#N/A,#N/A,FALSE,"C2";#N/A,#N/A,FALSE,"D";#N/A,#N/A,FALSE,"E";#N/A,#N/A,FALSE,"F";#N/A,#N/A,FALSE,"AA";#N/A,#N/A,FALSE,"BB";#N/A,#N/A,FALSE,"CC";#N/A,#N/A,FALSE,"DD";#N/A,#N/A,FALSE,"EE";#N/A,#N/A,FALSE,"FF";#N/A,#N/A,FALSE,"PL10";#N/A,#N/A,FALSE,"PL20";#N/A,#N/A,FALSE,"PL30"}</definedName>
    <definedName name="wrn.manager." localSheetId="16" hidden="1">{#N/A,#N/A,FALSE,"PART-1234-8-12-9(41)";#N/A,#N/A,FALSE,"PARTS-2(3)";#N/A,#N/A,FALSE,"VAN SYSTEM";#N/A,#N/A,FALSE,"PARTS-10(26)";#N/A,#N/A,FALSE,"PART-5-6-7-11(14)";#N/A,#N/A,FALSE,"PARTS-4(3)";#N/A,#N/A,FALSE,"PCLASS"}</definedName>
    <definedName name="wrn.manager." hidden="1">{#N/A,#N/A,FALSE,"PART-1234-8-12-9(41)";#N/A,#N/A,FALSE,"PARTS-2(3)";#N/A,#N/A,FALSE,"VAN SYSTEM";#N/A,#N/A,FALSE,"PARTS-10(26)";#N/A,#N/A,FALSE,"PART-5-6-7-11(14)";#N/A,#N/A,FALSE,"PARTS-4(3)";#N/A,#N/A,FALSE,"PCLASS"}</definedName>
    <definedName name="wrn.OpCostIn." localSheetId="16" hidden="1">{"OpCostIn Technical",#N/A,FALSE,"Operations Cost Inputs";"OpCostIn V plus F",#N/A,FALSE,"Operations Cost Inputs";"OpCostIn Maint",#N/A,FALSE,"Operations Cost Inputs";"OpCostIn LDs Add Cost",#N/A,FALSE,"Operations Cost Inputs"}</definedName>
    <definedName name="wrn.OpCostIn." hidden="1">{"OpCostIn Technical",#N/A,FALSE,"Operations Cost Inputs";"OpCostIn V plus F",#N/A,FALSE,"Operations Cost Inputs";"OpCostIn Maint",#N/A,FALSE,"Operations Cost Inputs";"OpCostIn LDs Add Cost",#N/A,FALSE,"Operations Cost Inputs"}</definedName>
    <definedName name="wrn.PAIM._.TAX._.PRO." localSheetId="16"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AIM._.TAX._.PRO." hidden="1">{#N/A,#N/A,FALSE,"표지";#N/A,#N/A,FALSE,"총괄표";#N/A,#N/A,FALSE,"1호 과표세액";#N/A,#N/A,FALSE,"2호 서식";#N/A,#N/A,FALSE,"3(3)호(갑) 원천납부";#N/A,#N/A,FALSE,"6호 소득금액";#N/A,#N/A,FALSE,"6호 첨부(익)";#N/A,#N/A,FALSE,"6호 첨부(손)";#N/A,#N/A,FALSE,"6-1호 수입금액";#N/A,#N/A,FALSE,"6-3호 퇴충";#N/A,#N/A,FALSE,"6-3(3)호 단퇴";#N/A,#N/A,FALSE,"6-3(4)호 대손";#N/A,#N/A,FALSE,"6-4호 접대(갑)";#N/A,#N/A,FALSE,"6-4호 접대(을)";#N/A,#N/A,FALSE,"6-5호 외화(갑)";#N/A,#N/A,FALSE,"6-5호 외화(을)";#N/A,#N/A,FALSE,"6-6호(부표) 자본적지출";#N/A,#N/A,FALSE,"6-11호 세금과공과";#N/A,#N/A,FALSE,"6-12호 선급비용";#N/A,#N/A,FALSE,"9호 자본금(갑)";#N/A,#N/A,FALSE,"9호 자본금(을)";#N/A,#N/A,FALSE,"10(3)호 주요계정";#N/A,#N/A,FALSE,"10(3)호 부표";#N/A,#N/A,FALSE,"10(4)호 조정수입";#N/A,#N/A,FALSE,"요약 BS";#N/A,#N/A,FALSE,"요약 PL";#N/A,#N/A,FALSE,"요약RE"}</definedName>
    <definedName name="wrn.Print." localSheetId="16" hidden="1">{"YTD/Forecast",#N/A,TRUE,"Fcst_TPLN";"Monthly Averages",#N/A,TRUE,"Fcst_TPLN"}</definedName>
    <definedName name="wrn.Print." hidden="1">{"YTD/Forecast",#N/A,TRUE,"Fcst_TPLN";"Monthly Averages",#N/A,TRUE,"Fcst_TPLN"}</definedName>
    <definedName name="wrn.SAA94TAX." localSheetId="1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94TAX."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wrn.saasimple." localSheetId="16"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saasimple." hidden="1">{#N/A,#N/A,FALSE,"1호 과표세액";#N/A,#N/A,FALSE,"2호 서식";#N/A,#N/A,FALSE,"3(1)부7 기업합리";#N/A,#N/A,FALSE,"6호 소득금액";#N/A,#N/A,FALSE,"6호 첨부(익)";#N/A,#N/A,FALSE,"6호 첨부(손)";#N/A,#N/A,FALSE,"6-1호 수입금액";#N/A,#N/A,FALSE,"6-3(4)호 대손";#N/A,#N/A,FALSE,"6-3호 퇴충";#N/A,#N/A,FALSE,"6-3(3)호 단퇴";#N/A,#N/A,FALSE,"6-3(4)호 대손";#N/A,#N/A,FALSE,"6-4호 접대(갑)";#N/A,#N/A,FALSE,"6-4호 접대(을)";#N/A,#N/A,FALSE,"6-5호 외화(갑)";#N/A,#N/A,FALSE,"6-5호 외화(을)";#N/A,#N/A,FALSE,"6-11호 세금과공과";#N/A,#N/A,FALSE,"6-13호 기부금";#N/A,#N/A,FALSE,"8호 기부금조정";#N/A,#N/A,FALSE,"9호 자본금(갑)";#N/A,#N/A,FALSE,"9호 자본금(을)";#N/A,#N/A,FALSE,"10(3)호 주요계정";#N/A,#N/A,FALSE,"10(3)호 부표";#N/A,#N/A,FALSE,"요약 PL";#N/A,#N/A,FALSE,"10(4)호 조정수입";#N/A,#N/A,FALSE,"14(1)호 갑 주식"}</definedName>
    <definedName name="wrn.UNIONGAS94TAXRETURN." localSheetId="16"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UNIONGAS94TAXRETURN." hidden="1">{#N/A,#N/A,FALSE,"일반적사항";#N/A,#N/A,FALSE,"주요재무자료";#N/A,#N/A,FALSE,"표지";#N/A,#N/A,FALSE,"총괄표";#N/A,#N/A,FALSE,"1호 과표세액";#N/A,#N/A,FALSE,"1-2호 농어촌과표";#N/A,#N/A,FALSE,"2호 서식";#N/A,#N/A,FALSE,"2호부표 최저한세";#N/A,#N/A,FALSE,"3(1)호 공제감면";#N/A,#N/A,FALSE,"3(1) 부3 세액조정";#N/A,#N/A,FALSE,"3호 임시투자공제";#N/A,#N/A,FALSE,"조8호 기술인력";#N/A,#N/A,FALSE,"3(1)부7 기업합리";#N/A,#N/A,FALSE,"3(3)호(갑) 원천납부";#N/A,#N/A,FALSE,"5호 농어촌";#N/A,#N/A,FALSE,"5호2 농감면(갑)";#N/A,#N/A,FALSE,"6호 소득금액";#N/A,#N/A,FALSE,"6호 첨부(익)";#N/A,#N/A,FALSE,"6호 첨부(손)";#N/A,#N/A,FALSE,"6-1호 수입금액";#N/A,#N/A,FALSE,"6-3호 퇴충";#N/A,#N/A,FALSE,"6-3(4)호 대손";#N/A,#N/A,FALSE,"6-4호 접대(갑)";#N/A,#N/A,FALSE,"6-4호 접대(을)";#N/A,#N/A,FALSE,"6-5호 외화(갑)";#N/A,#N/A,FALSE,"6-6호(부표) 자본적지출";#N/A,#N/A,FALSE,"6-7호 가지급금(갑)";#N/A,#N/A,FALSE,"6-7호 가지급(을)";#N/A,#N/A,FALSE,"6-10호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조정수입";#N/A,#N/A,FALSE,"14(1)호 갑 주식";#N/A,#N/A,FALSE,"59호 해외특수";#N/A,#N/A,FALSE,"60호 갑 적정유보";#N/A,#N/A,FALSE,"60호 을 적정유보";#N/A,#N/A,FALSE,"요약 BS";#N/A,#N/A,FALSE,"요약 PL";#N/A,#N/A,FALSE,"요약원가";#N/A,#N/A,FALSE,"요약RE"}</definedName>
    <definedName name="wrn.간단한세무조정계산서."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간단한세무조정계산서."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wrn.건설기계사업소._.상반기보고." localSheetId="16" hidden="1">{#N/A,#N/A,FALSE,"사업총괄";#N/A,#N/A,FALSE,"장비사업";#N/A,#N/A,FALSE,"철구사업";#N/A,#N/A,FALSE,"준설사업"}</definedName>
    <definedName name="wrn.건설기계사업소._.상반기보고." hidden="1">{#N/A,#N/A,FALSE,"사업총괄";#N/A,#N/A,FALSE,"장비사업";#N/A,#N/A,FALSE,"철구사업";#N/A,#N/A,FALSE,"준설사업"}</definedName>
    <definedName name="wrn.골재소요량." localSheetId="16" hidden="1">{#N/A,#N/A,FALSE,"골재소요량";#N/A,#N/A,FALSE,"골재소요량"}</definedName>
    <definedName name="wrn.골재소요량." hidden="1">{#N/A,#N/A,FALSE,"골재소요량";#N/A,#N/A,FALSE,"골재소요량"}</definedName>
    <definedName name="wrn.교대구조계산."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rn.교대구조계산."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wrn.교육청." localSheetId="16" hidden="1">{#N/A,#N/A,FALSE,"전력간선"}</definedName>
    <definedName name="wrn.교육청." hidden="1">{#N/A,#N/A,FALSE,"전력간선"}</definedName>
    <definedName name="wrn.구조2." localSheetId="16" hidden="1">{#N/A,#N/A,FALSE,"구조2"}</definedName>
    <definedName name="wrn.구조2." hidden="1">{#N/A,#N/A,FALSE,"구조2"}</definedName>
    <definedName name="wrn.단가표지." localSheetId="16" hidden="1">{#N/A,#N/A,FALSE,"단가표지"}</definedName>
    <definedName name="wrn.단가표지." hidden="1">{#N/A,#N/A,FALSE,"단가표지"}</definedName>
    <definedName name="wrn.대차._.대조표." localSheetId="16" hidden="1">{#N/A,#N/A,TRUE,"대 차 대 조 표"}</definedName>
    <definedName name="wrn.대차._.대조표." hidden="1">{#N/A,#N/A,TRUE,"대 차 대 조 표"}</definedName>
    <definedName name="wrn.배수1." localSheetId="16" hidden="1">{#N/A,#N/A,FALSE,"배수1"}</definedName>
    <definedName name="wrn.배수1." hidden="1">{#N/A,#N/A,FALSE,"배수1"}</definedName>
    <definedName name="wrn.배수2." localSheetId="16" hidden="1">{#N/A,#N/A,FALSE,"배수2"}</definedName>
    <definedName name="wrn.배수2." hidden="1">{#N/A,#N/A,FALSE,"배수2"}</definedName>
    <definedName name="wrn.변경예산." localSheetId="16" hidden="1">{#N/A,#N/A,FALSE,"변경관리예산";#N/A,#N/A,FALSE,"변경장비예산";#N/A,#N/A,FALSE,"변경준설예산";#N/A,#N/A,FALSE,"변경철구예산"}</definedName>
    <definedName name="wrn.변경예산." hidden="1">{#N/A,#N/A,FALSE,"변경관리예산";#N/A,#N/A,FALSE,"변경장비예산";#N/A,#N/A,FALSE,"변경준설예산";#N/A,#N/A,FALSE,"변경철구예산"}</definedName>
    <definedName name="wrn.보고서." localSheetId="16" hidden="1">{#N/A,#N/A,FALSE,"Sheet1";#N/A,#N/A,FALSE,"기평9607"}</definedName>
    <definedName name="wrn.보고서." hidden="1">{#N/A,#N/A,FALSE,"Sheet1";#N/A,#N/A,FALSE,"기평9607"}</definedName>
    <definedName name="wrn.부대1." localSheetId="16" hidden="1">{#N/A,#N/A,FALSE,"부대1"}</definedName>
    <definedName name="wrn.부대1." hidden="1">{#N/A,#N/A,FALSE,"부대1"}</definedName>
    <definedName name="wrn.부대2." localSheetId="16" hidden="1">{#N/A,#N/A,FALSE,"부대2"}</definedName>
    <definedName name="wrn.부대2." hidden="1">{#N/A,#N/A,FALSE,"부대2"}</definedName>
    <definedName name="wrn.부문손익." localSheetId="16" hidden="1">{#N/A,#N/A,FALSE,"매출이익"}</definedName>
    <definedName name="wrn.부문손익." hidden="1">{#N/A,#N/A,FALSE,"매출이익"}</definedName>
    <definedName name="wrn.부산주경기장."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wrn.사업현황." localSheetId="16" hidden="1">{#N/A,#N/A,FALSE,"표지";#N/A,#N/A,FALSE,"조직표";#N/A,#N/A,FALSE,"정직원인원";#N/A,#N/A,FALSE,"사업계획";#N/A,#N/A,FALSE,"부동산";#N/A,#N/A,FALSE,"장비현황";#N/A,#N/A,FALSE,"장비가동";#N/A,#N/A,FALSE,"매각장비";#N/A,#N/A,FALSE,"철구제작";#N/A,#N/A,FALSE,"철구수주";#N/A,#N/A,FALSE,"철구시설";#N/A,#N/A,FALSE,"준설장비";#N/A,#N/A,FALSE,"준설수량";#N/A,#N/A,FALSE,"골재인원";#N/A,#N/A,FALSE,"골재손익";#N/A,#N/A,FALSE,"노조현황"}</definedName>
    <definedName name="wrn.사업현황." hidden="1">{#N/A,#N/A,FALSE,"표지";#N/A,#N/A,FALSE,"조직표";#N/A,#N/A,FALSE,"정직원인원";#N/A,#N/A,FALSE,"사업계획";#N/A,#N/A,FALSE,"부동산";#N/A,#N/A,FALSE,"장비현황";#N/A,#N/A,FALSE,"장비가동";#N/A,#N/A,FALSE,"매각장비";#N/A,#N/A,FALSE,"철구제작";#N/A,#N/A,FALSE,"철구수주";#N/A,#N/A,FALSE,"철구시설";#N/A,#N/A,FALSE,"준설장비";#N/A,#N/A,FALSE,"준설수량";#N/A,#N/A,FALSE,"골재인원";#N/A,#N/A,FALSE,"골재손익";#N/A,#N/A,FALSE,"노조현황"}</definedName>
    <definedName name="wrn.설계내역서." localSheetId="16" hidden="1">{#N/A,#N/A,FALSE,"설계내억서"}</definedName>
    <definedName name="wrn.설계내역서." hidden="1">{#N/A,#N/A,FALSE,"설계내억서"}</definedName>
    <definedName name="wrn.세무조정계산서." localSheetId="1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계산서."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wrn.세무조정모든양식."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세무조정모든양식."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wrn.속도." localSheetId="16" hidden="1">{#N/A,#N/A,FALSE,"속도"}</definedName>
    <definedName name="wrn.속도." hidden="1">{#N/A,#N/A,FALSE,"속도"}</definedName>
    <definedName name="wrn.손익보고." localSheetId="16" hidden="1">{#N/A,#N/A,FALSE,"손익표지";#N/A,#N/A,FALSE,"손익계산";#N/A,#N/A,FALSE,"일반관리비";#N/A,#N/A,FALSE,"영업외수익";#N/A,#N/A,FALSE,"영업외비용";#N/A,#N/A,FALSE,"매출액";#N/A,#N/A,FALSE,"요약손익";#N/A,#N/A,FALSE,"요약대차";#N/A,#N/A,FALSE,"매출채권현황";#N/A,#N/A,FALSE,"매출채권명세"}</definedName>
    <definedName name="wrn.손익보고." hidden="1">{#N/A,#N/A,FALSE,"손익표지";#N/A,#N/A,FALSE,"손익계산";#N/A,#N/A,FALSE,"일반관리비";#N/A,#N/A,FALSE,"영업외수익";#N/A,#N/A,FALSE,"영업외비용";#N/A,#N/A,FALSE,"매출액";#N/A,#N/A,FALSE,"요약손익";#N/A,#N/A,FALSE,"요약대차";#N/A,#N/A,FALSE,"매출채권현황";#N/A,#N/A,FALSE,"매출채권명세"}</definedName>
    <definedName name="wrn.신용찬." localSheetId="16" hidden="1">{#N/A,#N/A,TRUE,"토적및재료집계";#N/A,#N/A,TRUE,"토적및재료집계";#N/A,#N/A,TRUE,"단위량"}</definedName>
    <definedName name="wrn.신용찬." hidden="1">{#N/A,#N/A,TRUE,"토적및재료집계";#N/A,#N/A,TRUE,"토적및재료집계";#N/A,#N/A,TRUE,"단위량"}</definedName>
    <definedName name="wrn.양북터널전압강하." localSheetId="16" hidden="1">{#N/A,#N/A,TRUE,"전압강하-경주방향";#N/A,#N/A,TRUE,"전압강하-감포방향"}</definedName>
    <definedName name="wrn.양북터널전압강하." hidden="1">{#N/A,#N/A,TRUE,"전압강하-경주방향";#N/A,#N/A,TRUE,"전압강하-감포방향"}</definedName>
    <definedName name="wrn.업체별._.견적공사명." localSheetId="16" hidden="1">{"SJ - 기본 보기",#N/A,FALSE,"공사별 외주견적"}</definedName>
    <definedName name="wrn.업체별._.견적공사명." hidden="1">{"SJ - 기본 보기",#N/A,FALSE,"공사별 외주견적"}</definedName>
    <definedName name="wrn.예상손익." localSheetId="16" hidden="1">{#N/A,#N/A,FALSE,"예상손익";#N/A,#N/A,FALSE,"관리분석";#N/A,#N/A,FALSE,"장비분석";#N/A,#N/A,FALSE,"준설분석";#N/A,#N/A,FALSE,"철구분석"}</definedName>
    <definedName name="wrn.예상손익." hidden="1">{#N/A,#N/A,FALSE,"예상손익";#N/A,#N/A,FALSE,"관리분석";#N/A,#N/A,FALSE,"장비분석";#N/A,#N/A,FALSE,"준설분석";#N/A,#N/A,FALSE,"철구분석"}</definedName>
    <definedName name="wrn.운반시간." localSheetId="16" hidden="1">{#N/A,#N/A,FALSE,"운반시간"}</definedName>
    <definedName name="wrn.운반시간." hidden="1">{#N/A,#N/A,FALSE,"운반시간"}</definedName>
    <definedName name="wrn.이력서._.자기소개서." localSheetId="16" hidden="1">{#N/A,#N/A,FALSE,"이력서&amp;자기소개서"}</definedName>
    <definedName name="wrn.이력서._.자기소개서." hidden="1">{#N/A,#N/A,FALSE,"이력서&amp;자기소개서"}</definedName>
    <definedName name="wrn.이정표." localSheetId="16" hidden="1">{#N/A,#N/A,FALSE,"이정표"}</definedName>
    <definedName name="wrn.이정표." hidden="1">{#N/A,#N/A,FALSE,"이정표"}</definedName>
    <definedName name="wrn.이태원._.철근." localSheetId="16" hidden="1">{#N/A,#N/A,FALSE,"이태원철근"}</definedName>
    <definedName name="wrn.이태원._.철근." hidden="1">{#N/A,#N/A,FALSE,"이태원철근"}</definedName>
    <definedName name="wrn.재무제표." localSheetId="16" hidden="1">{#N/A,#N/A,FALSE,"BS";#N/A,#N/A,FALSE,"IS";#N/A,#N/A,FALSE,"결손금처리";#N/A,#N/A,FALSE,"cashflow"}</definedName>
    <definedName name="wrn.재무제표." hidden="1">{#N/A,#N/A,FALSE,"BS";#N/A,#N/A,FALSE,"IS";#N/A,#N/A,FALSE,"결손금처리";#N/A,#N/A,FALSE,"cashflow"}</definedName>
    <definedName name="wrn.전라남도._.나주시._.신일아파트._.수지분석." localSheetId="16" hidden="1">{#N/A,#N/A,FALSE,"수지분석";#N/A,#N/A,FALSE,"수지분석"}</definedName>
    <definedName name="wrn.전라남도._.나주시._.신일아파트._.수지분석." hidden="1">{#N/A,#N/A,FALSE,"수지분석";#N/A,#N/A,FALSE,"수지분석"}</definedName>
    <definedName name="wrn.조골재." localSheetId="16" hidden="1">{#N/A,#N/A,FALSE,"조골재"}</definedName>
    <definedName name="wrn.조골재." hidden="1">{#N/A,#N/A,FALSE,"조골재"}</definedName>
    <definedName name="wrn.조흥94세무." localSheetId="16"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94세무."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wrn.조흥축약94." localSheetId="16"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조흥축약94."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wrn.중장기._.사업계획."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wrn.중장기._.사업계획."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wrn.집기비품보고서._.품목별._.및._.현장별._.집계표." localSheetId="16" hidden="1">{#N/A,#N/A,FALSE,"Sheet6"}</definedName>
    <definedName name="wrn.집기비품보고서._.품목별._.및._.현장별._.집계표." hidden="1">{#N/A,#N/A,FALSE,"Sheet6"}</definedName>
    <definedName name="wrn.토공1." localSheetId="16" hidden="1">{#N/A,#N/A,FALSE,"구조1"}</definedName>
    <definedName name="wrn.토공1." hidden="1">{#N/A,#N/A,FALSE,"구조1"}</definedName>
    <definedName name="wrn.토공2." localSheetId="16" hidden="1">{#N/A,#N/A,FALSE,"토공2"}</definedName>
    <definedName name="wrn.토공2." hidden="1">{#N/A,#N/A,FALSE,"토공2"}</definedName>
    <definedName name="wrn.통신지." localSheetId="16" hidden="1">{#N/A,#N/A,FALSE,"기안지";#N/A,#N/A,FALSE,"통신지"}</definedName>
    <definedName name="wrn.통신지." hidden="1">{#N/A,#N/A,FALSE,"기안지";#N/A,#N/A,FALSE,"통신지"}</definedName>
    <definedName name="wrn.포장1." localSheetId="16" hidden="1">{#N/A,#N/A,FALSE,"포장1";#N/A,#N/A,FALSE,"포장1"}</definedName>
    <definedName name="wrn.포장1." hidden="1">{#N/A,#N/A,FALSE,"포장1";#N/A,#N/A,FALSE,"포장1"}</definedName>
    <definedName name="wrn.포장2." localSheetId="16" hidden="1">{#N/A,#N/A,FALSE,"포장2"}</definedName>
    <definedName name="wrn.포장2." hidden="1">{#N/A,#N/A,FALSE,"포장2"}</definedName>
    <definedName name="wrn.표지목차." localSheetId="16" hidden="1">{#N/A,#N/A,FALSE,"표지목차"}</definedName>
    <definedName name="wrn.표지목차." hidden="1">{#N/A,#N/A,FALSE,"표지목차"}</definedName>
    <definedName name="wrn.혼합골재." localSheetId="16" hidden="1">{#N/A,#N/A,FALSE,"혼합골재"}</definedName>
    <definedName name="wrn.혼합골재." hidden="1">{#N/A,#N/A,FALSE,"혼합골재"}</definedName>
    <definedName name="WZ" localSheetId="16" hidden="1">{#N/A,#N/A,FALSE,"CCTV"}</definedName>
    <definedName name="WZ" hidden="1">{#N/A,#N/A,FALSE,"CCTV"}</definedName>
    <definedName name="XC" localSheetId="16" hidden="1">{#N/A,#N/A,FALSE,"CCTV"}</definedName>
    <definedName name="XC" hidden="1">{#N/A,#N/A,FALSE,"CCTV"}</definedName>
    <definedName name="XCZCZ"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CZCZ"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XREF_COLUMN_1" localSheetId="4" hidden="1">#REF!</definedName>
    <definedName name="XREF_COLUMN_1" localSheetId="16" hidden="1">#REF!</definedName>
    <definedName name="XREF_COLUMN_1" hidden="1">#REF!</definedName>
    <definedName name="XREF_COLUMN_10" localSheetId="4" hidden="1">'[35].3 법인세부담액계산'!#REF!</definedName>
    <definedName name="XREF_COLUMN_10" localSheetId="16" hidden="1">'[35].3 법인세부담액계산'!#REF!</definedName>
    <definedName name="XREF_COLUMN_10" hidden="1">'[35].3 법인세부담액계산'!#REF!</definedName>
    <definedName name="XREF_COLUMN_11" localSheetId="4" hidden="1">#REF!</definedName>
    <definedName name="XREF_COLUMN_11" localSheetId="16" hidden="1">#REF!</definedName>
    <definedName name="XREF_COLUMN_11" hidden="1">#REF!</definedName>
    <definedName name="XREF_COLUMN_12" localSheetId="4" hidden="1">#REF!</definedName>
    <definedName name="XREF_COLUMN_12" localSheetId="16" hidden="1">#REF!</definedName>
    <definedName name="XREF_COLUMN_12" hidden="1">#REF!</definedName>
    <definedName name="XREF_COLUMN_13" localSheetId="4" hidden="1">#REF!</definedName>
    <definedName name="XREF_COLUMN_13" localSheetId="16" hidden="1">#REF!</definedName>
    <definedName name="XREF_COLUMN_13" hidden="1">#REF!</definedName>
    <definedName name="XREF_COLUMN_14" localSheetId="4" hidden="1">#REF!</definedName>
    <definedName name="XREF_COLUMN_14" localSheetId="16" hidden="1">#REF!</definedName>
    <definedName name="XREF_COLUMN_14" hidden="1">#REF!</definedName>
    <definedName name="XREF_COLUMN_15" localSheetId="4" hidden="1">#REF!</definedName>
    <definedName name="XREF_COLUMN_15" localSheetId="16" hidden="1">#REF!</definedName>
    <definedName name="XREF_COLUMN_15" hidden="1">#REF!</definedName>
    <definedName name="XREF_COLUMN_16" localSheetId="4" hidden="1">#REF!</definedName>
    <definedName name="XREF_COLUMN_16" localSheetId="16" hidden="1">#REF!</definedName>
    <definedName name="XREF_COLUMN_16" hidden="1">#REF!</definedName>
    <definedName name="XREF_COLUMN_17" localSheetId="4" hidden="1">#REF!</definedName>
    <definedName name="XREF_COLUMN_17" localSheetId="16" hidden="1">#REF!</definedName>
    <definedName name="XREF_COLUMN_17" hidden="1">#REF!</definedName>
    <definedName name="XREF_COLUMN_18" localSheetId="4" hidden="1">'[35].4 이연법인세계산'!#REF!</definedName>
    <definedName name="XREF_COLUMN_18" localSheetId="16" hidden="1">'[35].4 이연법인세계산'!#REF!</definedName>
    <definedName name="XREF_COLUMN_18" hidden="1">'[35].4 이연법인세계산'!#REF!</definedName>
    <definedName name="XREF_COLUMN_19" localSheetId="4" hidden="1">'[35].3 법인세부담액계산'!#REF!</definedName>
    <definedName name="XREF_COLUMN_19" localSheetId="16" hidden="1">'[35].3 법인세부담액계산'!#REF!</definedName>
    <definedName name="XREF_COLUMN_19" hidden="1">'[35].3 법인세부담액계산'!#REF!</definedName>
    <definedName name="XREF_COLUMN_2" localSheetId="4" hidden="1">#REF!</definedName>
    <definedName name="XREF_COLUMN_2" localSheetId="16" hidden="1">#REF!</definedName>
    <definedName name="XREF_COLUMN_2" hidden="1">#REF!</definedName>
    <definedName name="XREF_COLUMN_20" localSheetId="4" hidden="1">'[35].3 법인세부담액계산'!#REF!</definedName>
    <definedName name="XREF_COLUMN_20" localSheetId="16" hidden="1">'[35].3 법인세부담액계산'!#REF!</definedName>
    <definedName name="XREF_COLUMN_20" hidden="1">'[35].3 법인세부담액계산'!#REF!</definedName>
    <definedName name="XREF_COLUMN_21" localSheetId="4" hidden="1">'[35].4 이연법인세계산'!#REF!</definedName>
    <definedName name="XREF_COLUMN_21" localSheetId="16" hidden="1">'[35].4 이연법인세계산'!#REF!</definedName>
    <definedName name="XREF_COLUMN_21" hidden="1">'[35].4 이연법인세계산'!#REF!</definedName>
    <definedName name="XREF_COLUMN_22" localSheetId="4" hidden="1">[35]LS!#REF!</definedName>
    <definedName name="XREF_COLUMN_22" localSheetId="16" hidden="1">[35]LS!#REF!</definedName>
    <definedName name="XREF_COLUMN_22" hidden="1">[35]LS!#REF!</definedName>
    <definedName name="XREF_COLUMN_23" localSheetId="4" hidden="1">[35]LS!#REF!</definedName>
    <definedName name="XREF_COLUMN_23" localSheetId="16" hidden="1">[35]LS!#REF!</definedName>
    <definedName name="XREF_COLUMN_23" hidden="1">[35]LS!#REF!</definedName>
    <definedName name="XREF_COLUMN_24" localSheetId="4" hidden="1">[35]LS!#REF!</definedName>
    <definedName name="XREF_COLUMN_24" localSheetId="16" hidden="1">[35]LS!#REF!</definedName>
    <definedName name="XREF_COLUMN_24" hidden="1">[35]LS!#REF!</definedName>
    <definedName name="XREF_COLUMN_25" localSheetId="4" hidden="1">[35]LS!#REF!</definedName>
    <definedName name="XREF_COLUMN_25" localSheetId="16" hidden="1">[35]LS!#REF!</definedName>
    <definedName name="XREF_COLUMN_25" hidden="1">[35]LS!#REF!</definedName>
    <definedName name="XREF_COLUMN_26" localSheetId="4" hidden="1">#REF!</definedName>
    <definedName name="XREF_COLUMN_26" localSheetId="16" hidden="1">#REF!</definedName>
    <definedName name="XREF_COLUMN_26" hidden="1">#REF!</definedName>
    <definedName name="XREF_COLUMN_27" localSheetId="4" hidden="1">[35]LS!#REF!</definedName>
    <definedName name="XREF_COLUMN_27" localSheetId="16" hidden="1">[35]LS!#REF!</definedName>
    <definedName name="XREF_COLUMN_27" hidden="1">[35]LS!#REF!</definedName>
    <definedName name="XREF_COLUMN_28" localSheetId="4" hidden="1">[36]감가상각비재계산_08!#REF!</definedName>
    <definedName name="XREF_COLUMN_28" localSheetId="16" hidden="1">[36]감가상각비재계산_08!#REF!</definedName>
    <definedName name="XREF_COLUMN_28" hidden="1">[36]감가상각비재계산_08!#REF!</definedName>
    <definedName name="XREF_COLUMN_29" localSheetId="4" hidden="1">[35]LS!#REF!</definedName>
    <definedName name="XREF_COLUMN_29" localSheetId="16" hidden="1">[35]LS!#REF!</definedName>
    <definedName name="XREF_COLUMN_29" hidden="1">[35]LS!#REF!</definedName>
    <definedName name="XREF_COLUMN_3" localSheetId="4" hidden="1">[37]가맹점매출!#REF!</definedName>
    <definedName name="XREF_COLUMN_3" localSheetId="16" hidden="1">[37]가맹점매출!#REF!</definedName>
    <definedName name="XREF_COLUMN_3" hidden="1">[37]가맹점매출!#REF!</definedName>
    <definedName name="XREF_COLUMN_30" localSheetId="4" hidden="1">'[35].4 이연법인세계산'!#REF!</definedName>
    <definedName name="XREF_COLUMN_30" localSheetId="16" hidden="1">'[35].4 이연법인세계산'!#REF!</definedName>
    <definedName name="XREF_COLUMN_30" hidden="1">'[35].4 이연법인세계산'!#REF!</definedName>
    <definedName name="XREF_COLUMN_31" localSheetId="4" hidden="1">'[35].4 이연법인세계산'!#REF!</definedName>
    <definedName name="XREF_COLUMN_31" localSheetId="16" hidden="1">'[35].4 이연법인세계산'!#REF!</definedName>
    <definedName name="XREF_COLUMN_31" hidden="1">'[35].4 이연법인세계산'!#REF!</definedName>
    <definedName name="XREF_COLUMN_33" localSheetId="4" hidden="1">[35]LS!#REF!</definedName>
    <definedName name="XREF_COLUMN_33" localSheetId="16" hidden="1">[35]LS!#REF!</definedName>
    <definedName name="XREF_COLUMN_33" hidden="1">[35]LS!#REF!</definedName>
    <definedName name="XREF_COLUMN_36" localSheetId="4" hidden="1">'[35].4 이연법인세계산'!#REF!</definedName>
    <definedName name="XREF_COLUMN_36" localSheetId="16" hidden="1">'[35].4 이연법인세계산'!#REF!</definedName>
    <definedName name="XREF_COLUMN_36" hidden="1">'[35].4 이연법인세계산'!#REF!</definedName>
    <definedName name="XREF_COLUMN_39" localSheetId="4" hidden="1">[38]Lead!#REF!</definedName>
    <definedName name="XREF_COLUMN_39" localSheetId="16" hidden="1">[38]Lead!#REF!</definedName>
    <definedName name="XREF_COLUMN_39" hidden="1">[38]Lead!#REF!</definedName>
    <definedName name="XREF_COLUMN_4" localSheetId="4" hidden="1">[39]SS10!#REF!</definedName>
    <definedName name="XREF_COLUMN_4" localSheetId="16" hidden="1">[39]SS10!#REF!</definedName>
    <definedName name="XREF_COLUMN_4" hidden="1">[39]SS10!#REF!</definedName>
    <definedName name="XREF_COLUMN_5" localSheetId="4" hidden="1">'[35].3 법인세부담액계산'!#REF!</definedName>
    <definedName name="XREF_COLUMN_5" localSheetId="16" hidden="1">'[35].3 법인세부담액계산'!#REF!</definedName>
    <definedName name="XREF_COLUMN_5" hidden="1">'[35].3 법인세부담액계산'!#REF!</definedName>
    <definedName name="XREF_COLUMN_6" localSheetId="4" hidden="1">#REF!</definedName>
    <definedName name="XREF_COLUMN_6" localSheetId="16" hidden="1">#REF!</definedName>
    <definedName name="XREF_COLUMN_6" hidden="1">#REF!</definedName>
    <definedName name="XREF_COLUMN_7" localSheetId="4" hidden="1">#REF!</definedName>
    <definedName name="XREF_COLUMN_7" localSheetId="16" hidden="1">#REF!</definedName>
    <definedName name="XREF_COLUMN_7" hidden="1">#REF!</definedName>
    <definedName name="XREF_COLUMN_8" localSheetId="4" hidden="1">#REF!</definedName>
    <definedName name="XREF_COLUMN_8" localSheetId="16" hidden="1">#REF!</definedName>
    <definedName name="XREF_COLUMN_8" hidden="1">#REF!</definedName>
    <definedName name="XREF_COLUMN_9" localSheetId="4" hidden="1">#REF!</definedName>
    <definedName name="XREF_COLUMN_9" localSheetId="16" hidden="1">#REF!</definedName>
    <definedName name="XREF_COLUMN_9" hidden="1">#REF!</definedName>
    <definedName name="XRefActiveRow" localSheetId="4" hidden="1">#REF!</definedName>
    <definedName name="XRefActiveRow" localSheetId="16" hidden="1">#REF!</definedName>
    <definedName name="XRefActiveRow" hidden="1">#REF!</definedName>
    <definedName name="XRefColumnsCount" hidden="1">2</definedName>
    <definedName name="XRefCopy1" localSheetId="4" hidden="1">#REF!</definedName>
    <definedName name="XRefCopy1" localSheetId="16" hidden="1">#REF!</definedName>
    <definedName name="XRefCopy1" hidden="1">#REF!</definedName>
    <definedName name="XRefCopy10" localSheetId="4" hidden="1">#REF!</definedName>
    <definedName name="XRefCopy10" localSheetId="16" hidden="1">#REF!</definedName>
    <definedName name="XRefCopy10" hidden="1">#REF!</definedName>
    <definedName name="XRefCopy100Row" localSheetId="4" hidden="1">#REF!</definedName>
    <definedName name="XRefCopy100Row" localSheetId="16" hidden="1">#REF!</definedName>
    <definedName name="XRefCopy100Row" hidden="1">#REF!</definedName>
    <definedName name="XRefCopy101" localSheetId="4" hidden="1">[35]LS!#REF!</definedName>
    <definedName name="XRefCopy101" localSheetId="16" hidden="1">[35]LS!#REF!</definedName>
    <definedName name="XRefCopy101" hidden="1">[35]LS!#REF!</definedName>
    <definedName name="XRefCopy101Row" localSheetId="4" hidden="1">[35]XREF!#REF!</definedName>
    <definedName name="XRefCopy101Row" localSheetId="16" hidden="1">[35]XREF!#REF!</definedName>
    <definedName name="XRefCopy101Row" hidden="1">[35]XREF!#REF!</definedName>
    <definedName name="XRefCopy102" localSheetId="4" hidden="1">[35]LS!#REF!</definedName>
    <definedName name="XRefCopy102" localSheetId="16" hidden="1">[35]LS!#REF!</definedName>
    <definedName name="XRefCopy102" hidden="1">[35]LS!#REF!</definedName>
    <definedName name="XRefCopy103" localSheetId="4" hidden="1">[35]LS!#REF!</definedName>
    <definedName name="XRefCopy103" localSheetId="16" hidden="1">[35]LS!#REF!</definedName>
    <definedName name="XRefCopy103" hidden="1">[35]LS!#REF!</definedName>
    <definedName name="XRefCopy104" localSheetId="4" hidden="1">[35]LS!#REF!</definedName>
    <definedName name="XRefCopy104" localSheetId="16" hidden="1">[35]LS!#REF!</definedName>
    <definedName name="XRefCopy104" hidden="1">[35]LS!#REF!</definedName>
    <definedName name="XRefCopy105" localSheetId="4" hidden="1">[35]LS!#REF!</definedName>
    <definedName name="XRefCopy105" localSheetId="16" hidden="1">[35]LS!#REF!</definedName>
    <definedName name="XRefCopy105" hidden="1">[35]LS!#REF!</definedName>
    <definedName name="XRefCopy105Row" localSheetId="4" hidden="1">[35]XREF!#REF!</definedName>
    <definedName name="XRefCopy105Row" localSheetId="16" hidden="1">[35]XREF!#REF!</definedName>
    <definedName name="XRefCopy105Row" hidden="1">[35]XREF!#REF!</definedName>
    <definedName name="XRefCopy10Row" localSheetId="4" hidden="1">#REF!</definedName>
    <definedName name="XRefCopy10Row" localSheetId="16" hidden="1">#REF!</definedName>
    <definedName name="XRefCopy10Row" hidden="1">#REF!</definedName>
    <definedName name="XRefCopy11" localSheetId="4" hidden="1">#REF!</definedName>
    <definedName name="XRefCopy11" localSheetId="16" hidden="1">#REF!</definedName>
    <definedName name="XRefCopy11" hidden="1">#REF!</definedName>
    <definedName name="XRefCopy112" localSheetId="4" hidden="1">[35]LS!#REF!</definedName>
    <definedName name="XRefCopy112" localSheetId="16" hidden="1">[35]LS!#REF!</definedName>
    <definedName name="XRefCopy112" hidden="1">[35]LS!#REF!</definedName>
    <definedName name="XRefCopy113" localSheetId="4" hidden="1">#REF!</definedName>
    <definedName name="XRefCopy113" localSheetId="16" hidden="1">#REF!</definedName>
    <definedName name="XRefCopy113" hidden="1">#REF!</definedName>
    <definedName name="XRefCopy114Row" localSheetId="4" hidden="1">[35]XREF!#REF!</definedName>
    <definedName name="XRefCopy114Row" localSheetId="16" hidden="1">[35]XREF!#REF!</definedName>
    <definedName name="XRefCopy114Row" hidden="1">[35]XREF!#REF!</definedName>
    <definedName name="XRefCopy115" localSheetId="4" hidden="1">#REF!</definedName>
    <definedName name="XRefCopy115" localSheetId="16" hidden="1">#REF!</definedName>
    <definedName name="XRefCopy115" hidden="1">#REF!</definedName>
    <definedName name="XRefCopy115Row" localSheetId="4" hidden="1">[35]XREF!#REF!</definedName>
    <definedName name="XRefCopy115Row" localSheetId="16" hidden="1">[35]XREF!#REF!</definedName>
    <definedName name="XRefCopy115Row" hidden="1">[35]XREF!#REF!</definedName>
    <definedName name="XRefCopy116Row" localSheetId="4" hidden="1">[35]XREF!#REF!</definedName>
    <definedName name="XRefCopy116Row" localSheetId="16" hidden="1">[35]XREF!#REF!</definedName>
    <definedName name="XRefCopy116Row" hidden="1">[35]XREF!#REF!</definedName>
    <definedName name="XRefCopy117Row" localSheetId="4" hidden="1">[35]XREF!#REF!</definedName>
    <definedName name="XRefCopy117Row" localSheetId="16" hidden="1">[35]XREF!#REF!</definedName>
    <definedName name="XRefCopy117Row" hidden="1">[35]XREF!#REF!</definedName>
    <definedName name="XRefCopy118Row" localSheetId="4" hidden="1">[35]XREF!#REF!</definedName>
    <definedName name="XRefCopy118Row" localSheetId="16" hidden="1">[35]XREF!#REF!</definedName>
    <definedName name="XRefCopy118Row" hidden="1">[35]XREF!#REF!</definedName>
    <definedName name="XRefCopy119Row" localSheetId="4" hidden="1">[35]XREF!#REF!</definedName>
    <definedName name="XRefCopy119Row" localSheetId="16" hidden="1">[35]XREF!#REF!</definedName>
    <definedName name="XRefCopy119Row" hidden="1">[35]XREF!#REF!</definedName>
    <definedName name="XRefCopy11Row" localSheetId="4" hidden="1">#REF!</definedName>
    <definedName name="XRefCopy11Row" localSheetId="16" hidden="1">#REF!</definedName>
    <definedName name="XRefCopy11Row" hidden="1">#REF!</definedName>
    <definedName name="XRefCopy12" localSheetId="4" hidden="1">#REF!</definedName>
    <definedName name="XRefCopy12" localSheetId="16" hidden="1">#REF!</definedName>
    <definedName name="XRefCopy12" hidden="1">#REF!</definedName>
    <definedName name="XRefCopy120Row" localSheetId="4" hidden="1">[35]XREF!#REF!</definedName>
    <definedName name="XRefCopy120Row" localSheetId="16" hidden="1">[35]XREF!#REF!</definedName>
    <definedName name="XRefCopy120Row" hidden="1">[35]XREF!#REF!</definedName>
    <definedName name="XRefCopy121Row" localSheetId="4" hidden="1">[35]XREF!#REF!</definedName>
    <definedName name="XRefCopy121Row" localSheetId="16" hidden="1">[35]XREF!#REF!</definedName>
    <definedName name="XRefCopy121Row" hidden="1">[35]XREF!#REF!</definedName>
    <definedName name="XRefCopy122Row" localSheetId="4" hidden="1">[35]XREF!#REF!</definedName>
    <definedName name="XRefCopy122Row" localSheetId="16" hidden="1">[35]XREF!#REF!</definedName>
    <definedName name="XRefCopy122Row" hidden="1">[35]XREF!#REF!</definedName>
    <definedName name="XRefCopy123" localSheetId="4" hidden="1">[35]LS!#REF!</definedName>
    <definedName name="XRefCopy123" localSheetId="16" hidden="1">[35]LS!#REF!</definedName>
    <definedName name="XRefCopy123" hidden="1">[35]LS!#REF!</definedName>
    <definedName name="XRefCopy123Row" localSheetId="4" hidden="1">[35]XREF!#REF!</definedName>
    <definedName name="XRefCopy123Row" localSheetId="16" hidden="1">[35]XREF!#REF!</definedName>
    <definedName name="XRefCopy123Row" hidden="1">[35]XREF!#REF!</definedName>
    <definedName name="XRefCopy124Row" localSheetId="4" hidden="1">[35]XREF!#REF!</definedName>
    <definedName name="XRefCopy124Row" localSheetId="16" hidden="1">[35]XREF!#REF!</definedName>
    <definedName name="XRefCopy124Row" hidden="1">[35]XREF!#REF!</definedName>
    <definedName name="XRefCopy125Row" localSheetId="4" hidden="1">[35]XREF!#REF!</definedName>
    <definedName name="XRefCopy125Row" localSheetId="16" hidden="1">[35]XREF!#REF!</definedName>
    <definedName name="XRefCopy125Row" hidden="1">[35]XREF!#REF!</definedName>
    <definedName name="XRefCopy126Row" localSheetId="4" hidden="1">[35]XREF!#REF!</definedName>
    <definedName name="XRefCopy126Row" localSheetId="16" hidden="1">[35]XREF!#REF!</definedName>
    <definedName name="XRefCopy126Row" hidden="1">[35]XREF!#REF!</definedName>
    <definedName name="XRefCopy127Row" localSheetId="4" hidden="1">[35]XREF!#REF!</definedName>
    <definedName name="XRefCopy127Row" localSheetId="16" hidden="1">[35]XREF!#REF!</definedName>
    <definedName name="XRefCopy127Row" hidden="1">[35]XREF!#REF!</definedName>
    <definedName name="XRefCopy128Row" localSheetId="4" hidden="1">[35]XREF!#REF!</definedName>
    <definedName name="XRefCopy128Row" localSheetId="16" hidden="1">[35]XREF!#REF!</definedName>
    <definedName name="XRefCopy128Row" hidden="1">[35]XREF!#REF!</definedName>
    <definedName name="XRefCopy129Row" localSheetId="4" hidden="1">[35]XREF!#REF!</definedName>
    <definedName name="XRefCopy129Row" localSheetId="16" hidden="1">[35]XREF!#REF!</definedName>
    <definedName name="XRefCopy129Row" hidden="1">[35]XREF!#REF!</definedName>
    <definedName name="XRefCopy12Row" localSheetId="4" hidden="1">#REF!</definedName>
    <definedName name="XRefCopy12Row" localSheetId="16" hidden="1">#REF!</definedName>
    <definedName name="XRefCopy12Row" hidden="1">#REF!</definedName>
    <definedName name="XRefCopy13" localSheetId="4" hidden="1">#REF!</definedName>
    <definedName name="XRefCopy13" localSheetId="16" hidden="1">#REF!</definedName>
    <definedName name="XRefCopy13" hidden="1">#REF!</definedName>
    <definedName name="XRefCopy130Row" localSheetId="4" hidden="1">[35]XREF!#REF!</definedName>
    <definedName name="XRefCopy130Row" localSheetId="16" hidden="1">[35]XREF!#REF!</definedName>
    <definedName name="XRefCopy130Row" hidden="1">[35]XREF!#REF!</definedName>
    <definedName name="XRefCopy131Row" localSheetId="4" hidden="1">[35]XREF!#REF!</definedName>
    <definedName name="XRefCopy131Row" localSheetId="16" hidden="1">[35]XREF!#REF!</definedName>
    <definedName name="XRefCopy131Row" hidden="1">[35]XREF!#REF!</definedName>
    <definedName name="XRefCopy132Row" localSheetId="4" hidden="1">[35]XREF!#REF!</definedName>
    <definedName name="XRefCopy132Row" localSheetId="16" hidden="1">[35]XREF!#REF!</definedName>
    <definedName name="XRefCopy132Row" hidden="1">[35]XREF!#REF!</definedName>
    <definedName name="XRefCopy133Row" localSheetId="4" hidden="1">[35]XREF!#REF!</definedName>
    <definedName name="XRefCopy133Row" localSheetId="16" hidden="1">[35]XREF!#REF!</definedName>
    <definedName name="XRefCopy133Row" hidden="1">[35]XREF!#REF!</definedName>
    <definedName name="XRefCopy135Row" localSheetId="4" hidden="1">[35]XREF!#REF!</definedName>
    <definedName name="XRefCopy135Row" localSheetId="16" hidden="1">[35]XREF!#REF!</definedName>
    <definedName name="XRefCopy135Row" hidden="1">[35]XREF!#REF!</definedName>
    <definedName name="XRefCopy136Row" localSheetId="4" hidden="1">[35]XREF!#REF!</definedName>
    <definedName name="XRefCopy136Row" localSheetId="16" hidden="1">[35]XREF!#REF!</definedName>
    <definedName name="XRefCopy136Row" hidden="1">[35]XREF!#REF!</definedName>
    <definedName name="XRefCopy137Row" localSheetId="4" hidden="1">[35]XREF!#REF!</definedName>
    <definedName name="XRefCopy137Row" localSheetId="16" hidden="1">[35]XREF!#REF!</definedName>
    <definedName name="XRefCopy137Row" hidden="1">[35]XREF!#REF!</definedName>
    <definedName name="XRefCopy138Row" localSheetId="4" hidden="1">[35]XREF!#REF!</definedName>
    <definedName name="XRefCopy138Row" localSheetId="16" hidden="1">[35]XREF!#REF!</definedName>
    <definedName name="XRefCopy138Row" hidden="1">[35]XREF!#REF!</definedName>
    <definedName name="XRefCopy13Row" localSheetId="4" hidden="1">#REF!</definedName>
    <definedName name="XRefCopy13Row" localSheetId="16" hidden="1">#REF!</definedName>
    <definedName name="XRefCopy13Row" hidden="1">#REF!</definedName>
    <definedName name="XRefCopy14" localSheetId="4" hidden="1">#REF!</definedName>
    <definedName name="XRefCopy14" localSheetId="16" hidden="1">#REF!</definedName>
    <definedName name="XRefCopy14" hidden="1">#REF!</definedName>
    <definedName name="XRefCopy140Row" localSheetId="4" hidden="1">[35]XREF!#REF!</definedName>
    <definedName name="XRefCopy140Row" localSheetId="16" hidden="1">[35]XREF!#REF!</definedName>
    <definedName name="XRefCopy140Row" hidden="1">[35]XREF!#REF!</definedName>
    <definedName name="XRefCopy141Row" localSheetId="4" hidden="1">[35]XREF!#REF!</definedName>
    <definedName name="XRefCopy141Row" localSheetId="16" hidden="1">[35]XREF!#REF!</definedName>
    <definedName name="XRefCopy141Row" hidden="1">[35]XREF!#REF!</definedName>
    <definedName name="XRefCopy142Row" localSheetId="4" hidden="1">[35]XREF!#REF!</definedName>
    <definedName name="XRefCopy142Row" localSheetId="16" hidden="1">[35]XREF!#REF!</definedName>
    <definedName name="XRefCopy142Row" hidden="1">[35]XREF!#REF!</definedName>
    <definedName name="XRefCopy143Row" localSheetId="4" hidden="1">[35]XREF!#REF!</definedName>
    <definedName name="XRefCopy143Row" localSheetId="16" hidden="1">[35]XREF!#REF!</definedName>
    <definedName name="XRefCopy143Row" hidden="1">[35]XREF!#REF!</definedName>
    <definedName name="XRefCopy144Row" localSheetId="4" hidden="1">[35]XREF!#REF!</definedName>
    <definedName name="XRefCopy144Row" localSheetId="16" hidden="1">[35]XREF!#REF!</definedName>
    <definedName name="XRefCopy144Row" hidden="1">[35]XREF!#REF!</definedName>
    <definedName name="XRefCopy146Row" localSheetId="4" hidden="1">[35]XREF!#REF!</definedName>
    <definedName name="XRefCopy146Row" localSheetId="16" hidden="1">[35]XREF!#REF!</definedName>
    <definedName name="XRefCopy146Row" hidden="1">[35]XREF!#REF!</definedName>
    <definedName name="XRefCopy148Row" localSheetId="4" hidden="1">[35]XREF!#REF!</definedName>
    <definedName name="XRefCopy148Row" localSheetId="16" hidden="1">[35]XREF!#REF!</definedName>
    <definedName name="XRefCopy148Row" hidden="1">[35]XREF!#REF!</definedName>
    <definedName name="XRefCopy149Row" localSheetId="4" hidden="1">[35]XREF!#REF!</definedName>
    <definedName name="XRefCopy149Row" localSheetId="16" hidden="1">[35]XREF!#REF!</definedName>
    <definedName name="XRefCopy149Row" hidden="1">[35]XREF!#REF!</definedName>
    <definedName name="XRefCopy14Row" localSheetId="4" hidden="1">#REF!</definedName>
    <definedName name="XRefCopy14Row" localSheetId="16" hidden="1">#REF!</definedName>
    <definedName name="XRefCopy14Row" hidden="1">#REF!</definedName>
    <definedName name="XRefCopy15" localSheetId="4" hidden="1">#REF!</definedName>
    <definedName name="XRefCopy15" localSheetId="16" hidden="1">#REF!</definedName>
    <definedName name="XRefCopy15" hidden="1">#REF!</definedName>
    <definedName name="XRefCopy150Row" localSheetId="4" hidden="1">[35]XREF!#REF!</definedName>
    <definedName name="XRefCopy150Row" localSheetId="16" hidden="1">[35]XREF!#REF!</definedName>
    <definedName name="XRefCopy150Row" hidden="1">[35]XREF!#REF!</definedName>
    <definedName name="XRefCopy151Row" localSheetId="4" hidden="1">[35]XREF!#REF!</definedName>
    <definedName name="XRefCopy151Row" localSheetId="16" hidden="1">[35]XREF!#REF!</definedName>
    <definedName name="XRefCopy151Row" hidden="1">[35]XREF!#REF!</definedName>
    <definedName name="XRefCopy152Row" localSheetId="4" hidden="1">[35]XREF!#REF!</definedName>
    <definedName name="XRefCopy152Row" localSheetId="16" hidden="1">[35]XREF!#REF!</definedName>
    <definedName name="XRefCopy152Row" hidden="1">[35]XREF!#REF!</definedName>
    <definedName name="XRefCopy153Row" localSheetId="4" hidden="1">[35]XREF!#REF!</definedName>
    <definedName name="XRefCopy153Row" localSheetId="16" hidden="1">[35]XREF!#REF!</definedName>
    <definedName name="XRefCopy153Row" hidden="1">[35]XREF!#REF!</definedName>
    <definedName name="XRefCopy154Row" localSheetId="4" hidden="1">[35]XREF!#REF!</definedName>
    <definedName name="XRefCopy154Row" localSheetId="16" hidden="1">[35]XREF!#REF!</definedName>
    <definedName name="XRefCopy154Row" hidden="1">[35]XREF!#REF!</definedName>
    <definedName name="XRefCopy155Row" localSheetId="4" hidden="1">[35]XREF!#REF!</definedName>
    <definedName name="XRefCopy155Row" localSheetId="16" hidden="1">[35]XREF!#REF!</definedName>
    <definedName name="XRefCopy155Row" hidden="1">[35]XREF!#REF!</definedName>
    <definedName name="XRefCopy156Row" localSheetId="4" hidden="1">[35]XREF!#REF!</definedName>
    <definedName name="XRefCopy156Row" localSheetId="16" hidden="1">[35]XREF!#REF!</definedName>
    <definedName name="XRefCopy156Row" hidden="1">[35]XREF!#REF!</definedName>
    <definedName name="XRefCopy157Row" localSheetId="4" hidden="1">[35]XREF!#REF!</definedName>
    <definedName name="XRefCopy157Row" localSheetId="16" hidden="1">[35]XREF!#REF!</definedName>
    <definedName name="XRefCopy157Row" hidden="1">[35]XREF!#REF!</definedName>
    <definedName name="XRefCopy158Row" localSheetId="4" hidden="1">[35]XREF!#REF!</definedName>
    <definedName name="XRefCopy158Row" localSheetId="16" hidden="1">[35]XREF!#REF!</definedName>
    <definedName name="XRefCopy158Row" hidden="1">[35]XREF!#REF!</definedName>
    <definedName name="XRefCopy15Row" localSheetId="4" hidden="1">#REF!</definedName>
    <definedName name="XRefCopy15Row" localSheetId="16" hidden="1">#REF!</definedName>
    <definedName name="XRefCopy15Row" hidden="1">#REF!</definedName>
    <definedName name="XRefCopy16" localSheetId="4" hidden="1">#REF!</definedName>
    <definedName name="XRefCopy16" localSheetId="16" hidden="1">#REF!</definedName>
    <definedName name="XRefCopy16" hidden="1">#REF!</definedName>
    <definedName name="XRefCopy16Row" localSheetId="4" hidden="1">#REF!</definedName>
    <definedName name="XRefCopy16Row" localSheetId="16" hidden="1">#REF!</definedName>
    <definedName name="XRefCopy16Row" hidden="1">#REF!</definedName>
    <definedName name="XRefCopy17" localSheetId="4" hidden="1">#REF!</definedName>
    <definedName name="XRefCopy17" localSheetId="16" hidden="1">#REF!</definedName>
    <definedName name="XRefCopy17" hidden="1">#REF!</definedName>
    <definedName name="XRefCopy17Row" localSheetId="4" hidden="1">#REF!</definedName>
    <definedName name="XRefCopy17Row" localSheetId="16" hidden="1">#REF!</definedName>
    <definedName name="XRefCopy17Row" hidden="1">#REF!</definedName>
    <definedName name="XRefCopy18" localSheetId="4" hidden="1">#REF!</definedName>
    <definedName name="XRefCopy18" localSheetId="16" hidden="1">#REF!</definedName>
    <definedName name="XRefCopy18" hidden="1">#REF!</definedName>
    <definedName name="XRefCopy18Row" localSheetId="4" hidden="1">#REF!</definedName>
    <definedName name="XRefCopy18Row" localSheetId="16" hidden="1">#REF!</definedName>
    <definedName name="XRefCopy18Row" hidden="1">#REF!</definedName>
    <definedName name="XRefCopy19" localSheetId="4" hidden="1">#REF!</definedName>
    <definedName name="XRefCopy19" localSheetId="16" hidden="1">#REF!</definedName>
    <definedName name="XRefCopy19" hidden="1">#REF!</definedName>
    <definedName name="XRefCopy19Row" localSheetId="4" hidden="1">#REF!</definedName>
    <definedName name="XRefCopy19Row" localSheetId="16" hidden="1">#REF!</definedName>
    <definedName name="XRefCopy19Row" hidden="1">#REF!</definedName>
    <definedName name="XRefCopy1Row" localSheetId="4" hidden="1">#REF!</definedName>
    <definedName name="XRefCopy1Row" localSheetId="16" hidden="1">#REF!</definedName>
    <definedName name="XRefCopy1Row" hidden="1">#REF!</definedName>
    <definedName name="XRefCopy2" localSheetId="4" hidden="1">#REF!</definedName>
    <definedName name="XRefCopy2" localSheetId="16" hidden="1">#REF!</definedName>
    <definedName name="XRefCopy2" hidden="1">#REF!</definedName>
    <definedName name="XRefCopy20" localSheetId="4" hidden="1">#REF!</definedName>
    <definedName name="XRefCopy20" localSheetId="16" hidden="1">#REF!</definedName>
    <definedName name="XRefCopy20" hidden="1">#REF!</definedName>
    <definedName name="XRefCopy20Row" localSheetId="4" hidden="1">#REF!</definedName>
    <definedName name="XRefCopy20Row" localSheetId="16" hidden="1">#REF!</definedName>
    <definedName name="XRefCopy20Row" hidden="1">#REF!</definedName>
    <definedName name="XRefCopy21" localSheetId="4" hidden="1">#REF!</definedName>
    <definedName name="XRefCopy21" localSheetId="16" hidden="1">#REF!</definedName>
    <definedName name="XRefCopy21" hidden="1">#REF!</definedName>
    <definedName name="XRefCopy21Row" localSheetId="4" hidden="1">#REF!</definedName>
    <definedName name="XRefCopy21Row" localSheetId="16" hidden="1">#REF!</definedName>
    <definedName name="XRefCopy21Row" hidden="1">#REF!</definedName>
    <definedName name="XRefCopy22" localSheetId="4" hidden="1">#REF!</definedName>
    <definedName name="XRefCopy22" localSheetId="16" hidden="1">#REF!</definedName>
    <definedName name="XRefCopy22" hidden="1">#REF!</definedName>
    <definedName name="XRefCopy22Row" localSheetId="4" hidden="1">#REF!</definedName>
    <definedName name="XRefCopy22Row" localSheetId="16" hidden="1">#REF!</definedName>
    <definedName name="XRefCopy22Row" hidden="1">#REF!</definedName>
    <definedName name="XRefCopy23" localSheetId="4" hidden="1">#REF!</definedName>
    <definedName name="XRefCopy23" localSheetId="16" hidden="1">#REF!</definedName>
    <definedName name="XRefCopy23" hidden="1">#REF!</definedName>
    <definedName name="XRefCopy23Row" localSheetId="4" hidden="1">#REF!</definedName>
    <definedName name="XRefCopy23Row" localSheetId="16" hidden="1">#REF!</definedName>
    <definedName name="XRefCopy23Row" hidden="1">#REF!</definedName>
    <definedName name="XRefCopy24" localSheetId="4" hidden="1">#REF!</definedName>
    <definedName name="XRefCopy24" localSheetId="16" hidden="1">#REF!</definedName>
    <definedName name="XRefCopy24" hidden="1">#REF!</definedName>
    <definedName name="XRefCopy24Row" localSheetId="4" hidden="1">#REF!</definedName>
    <definedName name="XRefCopy24Row" localSheetId="16" hidden="1">#REF!</definedName>
    <definedName name="XRefCopy24Row" hidden="1">#REF!</definedName>
    <definedName name="XRefCopy25" localSheetId="4" hidden="1">#REF!</definedName>
    <definedName name="XRefCopy25" localSheetId="16" hidden="1">#REF!</definedName>
    <definedName name="XRefCopy25" hidden="1">#REF!</definedName>
    <definedName name="XRefCopy25Row" localSheetId="4" hidden="1">#REF!</definedName>
    <definedName name="XRefCopy25Row" localSheetId="16" hidden="1">#REF!</definedName>
    <definedName name="XRefCopy25Row" hidden="1">#REF!</definedName>
    <definedName name="XRefCopy26" localSheetId="4" hidden="1">#REF!</definedName>
    <definedName name="XRefCopy26" localSheetId="16" hidden="1">#REF!</definedName>
    <definedName name="XRefCopy26" hidden="1">#REF!</definedName>
    <definedName name="XRefCopy26Row" localSheetId="4" hidden="1">#REF!</definedName>
    <definedName name="XRefCopy26Row" localSheetId="16" hidden="1">#REF!</definedName>
    <definedName name="XRefCopy26Row" hidden="1">#REF!</definedName>
    <definedName name="XRefCopy27" localSheetId="4" hidden="1">#REF!</definedName>
    <definedName name="XRefCopy27" localSheetId="16" hidden="1">#REF!</definedName>
    <definedName name="XRefCopy27" hidden="1">#REF!</definedName>
    <definedName name="XRefCopy27Row" localSheetId="4" hidden="1">#REF!</definedName>
    <definedName name="XRefCopy27Row" localSheetId="16" hidden="1">#REF!</definedName>
    <definedName name="XRefCopy27Row" hidden="1">#REF!</definedName>
    <definedName name="XRefCopy28" localSheetId="4" hidden="1">#REF!</definedName>
    <definedName name="XRefCopy28" localSheetId="16" hidden="1">#REF!</definedName>
    <definedName name="XRefCopy28" hidden="1">#REF!</definedName>
    <definedName name="XRefCopy28Row" localSheetId="4" hidden="1">#REF!</definedName>
    <definedName name="XRefCopy28Row" localSheetId="16" hidden="1">#REF!</definedName>
    <definedName name="XRefCopy28Row" hidden="1">#REF!</definedName>
    <definedName name="XRefCopy29" localSheetId="4" hidden="1">#REF!</definedName>
    <definedName name="XRefCopy29" localSheetId="16" hidden="1">#REF!</definedName>
    <definedName name="XRefCopy29" hidden="1">#REF!</definedName>
    <definedName name="XRefCopy29Row" localSheetId="4" hidden="1">#REF!</definedName>
    <definedName name="XRefCopy29Row" localSheetId="16" hidden="1">#REF!</definedName>
    <definedName name="XRefCopy29Row" hidden="1">#REF!</definedName>
    <definedName name="XRefCopy2Row" localSheetId="4" hidden="1">#REF!</definedName>
    <definedName name="XRefCopy2Row" localSheetId="16" hidden="1">#REF!</definedName>
    <definedName name="XRefCopy2Row" hidden="1">#REF!</definedName>
    <definedName name="XRefCopy3" localSheetId="4" hidden="1">#REF!</definedName>
    <definedName name="XRefCopy3" localSheetId="16" hidden="1">#REF!</definedName>
    <definedName name="XRefCopy3" hidden="1">#REF!</definedName>
    <definedName name="XRefCopy30" localSheetId="4" hidden="1">#REF!</definedName>
    <definedName name="XRefCopy30" localSheetId="16" hidden="1">#REF!</definedName>
    <definedName name="XRefCopy30" hidden="1">#REF!</definedName>
    <definedName name="XRefCopy30Row" localSheetId="4" hidden="1">#REF!</definedName>
    <definedName name="XRefCopy30Row" localSheetId="16" hidden="1">#REF!</definedName>
    <definedName name="XRefCopy30Row" hidden="1">#REF!</definedName>
    <definedName name="XRefCopy31" localSheetId="4" hidden="1">#REF!</definedName>
    <definedName name="XRefCopy31" localSheetId="16" hidden="1">#REF!</definedName>
    <definedName name="XRefCopy31" hidden="1">#REF!</definedName>
    <definedName name="XRefCopy31Row" localSheetId="4" hidden="1">#REF!</definedName>
    <definedName name="XRefCopy31Row" localSheetId="16" hidden="1">#REF!</definedName>
    <definedName name="XRefCopy31Row" hidden="1">#REF!</definedName>
    <definedName name="XRefCopy32" localSheetId="4" hidden="1">#REF!</definedName>
    <definedName name="XRefCopy32" localSheetId="16" hidden="1">#REF!</definedName>
    <definedName name="XRefCopy32" hidden="1">#REF!</definedName>
    <definedName name="XRefCopy32Row" localSheetId="4" hidden="1">#REF!</definedName>
    <definedName name="XRefCopy32Row" localSheetId="16" hidden="1">#REF!</definedName>
    <definedName name="XRefCopy32Row" hidden="1">#REF!</definedName>
    <definedName name="XRefCopy33" localSheetId="4" hidden="1">#REF!</definedName>
    <definedName name="XRefCopy33" localSheetId="16" hidden="1">#REF!</definedName>
    <definedName name="XRefCopy33" hidden="1">#REF!</definedName>
    <definedName name="XRefCopy33Row" localSheetId="4" hidden="1">#REF!</definedName>
    <definedName name="XRefCopy33Row" localSheetId="16" hidden="1">#REF!</definedName>
    <definedName name="XRefCopy33Row" hidden="1">#REF!</definedName>
    <definedName name="XRefCopy34" localSheetId="4" hidden="1">#REF!</definedName>
    <definedName name="XRefCopy34" localSheetId="16" hidden="1">#REF!</definedName>
    <definedName name="XRefCopy34" hidden="1">#REF!</definedName>
    <definedName name="XRefCopy34Row" localSheetId="4" hidden="1">#REF!</definedName>
    <definedName name="XRefCopy34Row" localSheetId="16" hidden="1">#REF!</definedName>
    <definedName name="XRefCopy34Row" hidden="1">#REF!</definedName>
    <definedName name="XRefCopy35" localSheetId="4" hidden="1">#REF!</definedName>
    <definedName name="XRefCopy35" localSheetId="16" hidden="1">#REF!</definedName>
    <definedName name="XRefCopy35" hidden="1">#REF!</definedName>
    <definedName name="XRefCopy35Row" localSheetId="4" hidden="1">#REF!</definedName>
    <definedName name="XRefCopy35Row" localSheetId="16" hidden="1">#REF!</definedName>
    <definedName name="XRefCopy35Row" hidden="1">#REF!</definedName>
    <definedName name="XRefCopy36" localSheetId="4" hidden="1">#REF!</definedName>
    <definedName name="XRefCopy36" localSheetId="16" hidden="1">#REF!</definedName>
    <definedName name="XRefCopy36" hidden="1">#REF!</definedName>
    <definedName name="XRefCopy36Row" localSheetId="4" hidden="1">#REF!</definedName>
    <definedName name="XRefCopy36Row" localSheetId="16" hidden="1">#REF!</definedName>
    <definedName name="XRefCopy36Row" hidden="1">#REF!</definedName>
    <definedName name="XRefCopy37" localSheetId="4" hidden="1">#REF!</definedName>
    <definedName name="XRefCopy37" localSheetId="16" hidden="1">#REF!</definedName>
    <definedName name="XRefCopy37" hidden="1">#REF!</definedName>
    <definedName name="XRefCopy37Row" localSheetId="4" hidden="1">#REF!</definedName>
    <definedName name="XRefCopy37Row" localSheetId="16" hidden="1">#REF!</definedName>
    <definedName name="XRefCopy37Row" hidden="1">#REF!</definedName>
    <definedName name="XRefCopy38" localSheetId="4" hidden="1">#REF!</definedName>
    <definedName name="XRefCopy38" localSheetId="16" hidden="1">#REF!</definedName>
    <definedName name="XRefCopy38" hidden="1">#REF!</definedName>
    <definedName name="XRefCopy38Row" localSheetId="4" hidden="1">#REF!</definedName>
    <definedName name="XRefCopy38Row" localSheetId="16" hidden="1">#REF!</definedName>
    <definedName name="XRefCopy38Row" hidden="1">#REF!</definedName>
    <definedName name="XRefCopy39" localSheetId="4" hidden="1">#REF!</definedName>
    <definedName name="XRefCopy39" localSheetId="16" hidden="1">#REF!</definedName>
    <definedName name="XRefCopy39" hidden="1">#REF!</definedName>
    <definedName name="XRefCopy39Row" localSheetId="4" hidden="1">#REF!</definedName>
    <definedName name="XRefCopy39Row" localSheetId="16" hidden="1">#REF!</definedName>
    <definedName name="XRefCopy39Row" hidden="1">#REF!</definedName>
    <definedName name="XRefCopy3Row" localSheetId="4" hidden="1">#REF!</definedName>
    <definedName name="XRefCopy3Row" localSheetId="16" hidden="1">#REF!</definedName>
    <definedName name="XRefCopy3Row" hidden="1">#REF!</definedName>
    <definedName name="XRefCopy4" localSheetId="4" hidden="1">#REF!</definedName>
    <definedName name="XRefCopy4" localSheetId="16" hidden="1">#REF!</definedName>
    <definedName name="XRefCopy4" hidden="1">#REF!</definedName>
    <definedName name="XRefCopy40" localSheetId="4" hidden="1">#REF!</definedName>
    <definedName name="XRefCopy40" localSheetId="16" hidden="1">#REF!</definedName>
    <definedName name="XRefCopy40" hidden="1">#REF!</definedName>
    <definedName name="XRefCopy40Row" localSheetId="4" hidden="1">#REF!</definedName>
    <definedName name="XRefCopy40Row" localSheetId="16" hidden="1">#REF!</definedName>
    <definedName name="XRefCopy40Row" hidden="1">#REF!</definedName>
    <definedName name="XRefCopy41" localSheetId="4" hidden="1">#REF!</definedName>
    <definedName name="XRefCopy41" localSheetId="16" hidden="1">#REF!</definedName>
    <definedName name="XRefCopy41" hidden="1">#REF!</definedName>
    <definedName name="XRefCopy41Row" localSheetId="4" hidden="1">#REF!</definedName>
    <definedName name="XRefCopy41Row" localSheetId="16" hidden="1">#REF!</definedName>
    <definedName name="XRefCopy41Row" hidden="1">#REF!</definedName>
    <definedName name="XRefCopy42" localSheetId="4" hidden="1">#REF!</definedName>
    <definedName name="XRefCopy42" localSheetId="16" hidden="1">#REF!</definedName>
    <definedName name="XRefCopy42" hidden="1">#REF!</definedName>
    <definedName name="XRefCopy42Row" localSheetId="4" hidden="1">#REF!</definedName>
    <definedName name="XRefCopy42Row" localSheetId="16" hidden="1">#REF!</definedName>
    <definedName name="XRefCopy42Row" hidden="1">#REF!</definedName>
    <definedName name="XRefCopy43" localSheetId="4" hidden="1">#REF!</definedName>
    <definedName name="XRefCopy43" localSheetId="16" hidden="1">#REF!</definedName>
    <definedName name="XRefCopy43" hidden="1">#REF!</definedName>
    <definedName name="XRefCopy43Row" localSheetId="4" hidden="1">#REF!</definedName>
    <definedName name="XRefCopy43Row" localSheetId="16" hidden="1">#REF!</definedName>
    <definedName name="XRefCopy43Row" hidden="1">#REF!</definedName>
    <definedName name="XRefCopy44" localSheetId="4" hidden="1">#REF!</definedName>
    <definedName name="XRefCopy44" localSheetId="16" hidden="1">#REF!</definedName>
    <definedName name="XRefCopy44" hidden="1">#REF!</definedName>
    <definedName name="XRefCopy44Row" localSheetId="4" hidden="1">#REF!</definedName>
    <definedName name="XRefCopy44Row" localSheetId="16" hidden="1">#REF!</definedName>
    <definedName name="XRefCopy44Row" hidden="1">#REF!</definedName>
    <definedName name="XRefCopy45" localSheetId="4" hidden="1">#REF!</definedName>
    <definedName name="XRefCopy45" localSheetId="16" hidden="1">#REF!</definedName>
    <definedName name="XRefCopy45" hidden="1">#REF!</definedName>
    <definedName name="XRefCopy45Row" localSheetId="4" hidden="1">#REF!</definedName>
    <definedName name="XRefCopy45Row" localSheetId="16" hidden="1">#REF!</definedName>
    <definedName name="XRefCopy45Row" hidden="1">#REF!</definedName>
    <definedName name="XRefCopy46" localSheetId="4" hidden="1">#REF!</definedName>
    <definedName name="XRefCopy46" localSheetId="16" hidden="1">#REF!</definedName>
    <definedName name="XRefCopy46" hidden="1">#REF!</definedName>
    <definedName name="XRefCopy46Row" localSheetId="4" hidden="1">#REF!</definedName>
    <definedName name="XRefCopy46Row" localSheetId="16" hidden="1">#REF!</definedName>
    <definedName name="XRefCopy46Row" hidden="1">#REF!</definedName>
    <definedName name="XRefCopy47" localSheetId="4" hidden="1">#REF!</definedName>
    <definedName name="XRefCopy47" localSheetId="16" hidden="1">#REF!</definedName>
    <definedName name="XRefCopy47" hidden="1">#REF!</definedName>
    <definedName name="XRefCopy47Row" localSheetId="4" hidden="1">#REF!</definedName>
    <definedName name="XRefCopy47Row" localSheetId="16" hidden="1">#REF!</definedName>
    <definedName name="XRefCopy47Row" hidden="1">#REF!</definedName>
    <definedName name="XRefCopy48" localSheetId="4" hidden="1">#REF!</definedName>
    <definedName name="XRefCopy48" localSheetId="16" hidden="1">#REF!</definedName>
    <definedName name="XRefCopy48" hidden="1">#REF!</definedName>
    <definedName name="XRefCopy48Row" localSheetId="4" hidden="1">#REF!</definedName>
    <definedName name="XRefCopy48Row" localSheetId="16" hidden="1">#REF!</definedName>
    <definedName name="XRefCopy48Row" hidden="1">#REF!</definedName>
    <definedName name="XRefCopy49" localSheetId="4" hidden="1">#REF!</definedName>
    <definedName name="XRefCopy49" localSheetId="16" hidden="1">#REF!</definedName>
    <definedName name="XRefCopy49" hidden="1">#REF!</definedName>
    <definedName name="XRefCopy49Row" localSheetId="4" hidden="1">#REF!</definedName>
    <definedName name="XRefCopy49Row" localSheetId="16" hidden="1">#REF!</definedName>
    <definedName name="XRefCopy49Row" hidden="1">#REF!</definedName>
    <definedName name="XRefCopy4Row" localSheetId="4" hidden="1">#REF!</definedName>
    <definedName name="XRefCopy4Row" localSheetId="16" hidden="1">#REF!</definedName>
    <definedName name="XRefCopy4Row" hidden="1">#REF!</definedName>
    <definedName name="XRefCopy5" localSheetId="4" hidden="1">#REF!</definedName>
    <definedName name="XRefCopy5" localSheetId="16" hidden="1">#REF!</definedName>
    <definedName name="XRefCopy5" hidden="1">#REF!</definedName>
    <definedName name="XRefCopy50" localSheetId="4" hidden="1">#REF!</definedName>
    <definedName name="XRefCopy50" localSheetId="16" hidden="1">#REF!</definedName>
    <definedName name="XRefCopy50" hidden="1">#REF!</definedName>
    <definedName name="XRefCopy50Row" localSheetId="4" hidden="1">#REF!</definedName>
    <definedName name="XRefCopy50Row" localSheetId="16" hidden="1">#REF!</definedName>
    <definedName name="XRefCopy50Row" hidden="1">#REF!</definedName>
    <definedName name="XRefCopy51" localSheetId="4" hidden="1">#REF!</definedName>
    <definedName name="XRefCopy51" localSheetId="16" hidden="1">#REF!</definedName>
    <definedName name="XRefCopy51" hidden="1">#REF!</definedName>
    <definedName name="XRefCopy51Row" localSheetId="4" hidden="1">#REF!</definedName>
    <definedName name="XRefCopy51Row" localSheetId="16" hidden="1">#REF!</definedName>
    <definedName name="XRefCopy51Row" hidden="1">#REF!</definedName>
    <definedName name="XRefCopy52" localSheetId="4" hidden="1">#REF!</definedName>
    <definedName name="XRefCopy52" localSheetId="16" hidden="1">#REF!</definedName>
    <definedName name="XRefCopy52" hidden="1">#REF!</definedName>
    <definedName name="XRefCopy52Row" localSheetId="4" hidden="1">#REF!</definedName>
    <definedName name="XRefCopy52Row" localSheetId="16" hidden="1">#REF!</definedName>
    <definedName name="XRefCopy52Row" hidden="1">#REF!</definedName>
    <definedName name="XRefCopy53" localSheetId="4" hidden="1">#REF!</definedName>
    <definedName name="XRefCopy53" localSheetId="16" hidden="1">#REF!</definedName>
    <definedName name="XRefCopy53" hidden="1">#REF!</definedName>
    <definedName name="XRefCopy53Row" localSheetId="4" hidden="1">#REF!</definedName>
    <definedName name="XRefCopy53Row" localSheetId="16" hidden="1">#REF!</definedName>
    <definedName name="XRefCopy53Row" hidden="1">#REF!</definedName>
    <definedName name="XRefCopy54" localSheetId="4" hidden="1">[35]LS!#REF!</definedName>
    <definedName name="XRefCopy54" localSheetId="16" hidden="1">[35]LS!#REF!</definedName>
    <definedName name="XRefCopy54" hidden="1">[35]LS!#REF!</definedName>
    <definedName name="XRefCopy54Row" localSheetId="4" hidden="1">#REF!</definedName>
    <definedName name="XRefCopy54Row" localSheetId="16" hidden="1">#REF!</definedName>
    <definedName name="XRefCopy54Row" hidden="1">#REF!</definedName>
    <definedName name="XRefCopy55" localSheetId="4" hidden="1">#REF!</definedName>
    <definedName name="XRefCopy55" localSheetId="16" hidden="1">#REF!</definedName>
    <definedName name="XRefCopy55" hidden="1">#REF!</definedName>
    <definedName name="XRefCopy55Row" localSheetId="4" hidden="1">#REF!</definedName>
    <definedName name="XRefCopy55Row" localSheetId="16" hidden="1">#REF!</definedName>
    <definedName name="XRefCopy55Row" hidden="1">#REF!</definedName>
    <definedName name="XRefCopy56" localSheetId="4" hidden="1">[35]LS!#REF!</definedName>
    <definedName name="XRefCopy56" localSheetId="16" hidden="1">[35]LS!#REF!</definedName>
    <definedName name="XRefCopy56" hidden="1">[35]LS!#REF!</definedName>
    <definedName name="XRefCopy56Row" localSheetId="4" hidden="1">#REF!</definedName>
    <definedName name="XRefCopy56Row" localSheetId="16" hidden="1">#REF!</definedName>
    <definedName name="XRefCopy56Row" hidden="1">#REF!</definedName>
    <definedName name="XRefCopy57" localSheetId="4" hidden="1">#REF!</definedName>
    <definedName name="XRefCopy57" localSheetId="16" hidden="1">#REF!</definedName>
    <definedName name="XRefCopy57" hidden="1">#REF!</definedName>
    <definedName name="XRefCopy57Row" localSheetId="4" hidden="1">#REF!</definedName>
    <definedName name="XRefCopy57Row" localSheetId="16" hidden="1">#REF!</definedName>
    <definedName name="XRefCopy57Row" hidden="1">#REF!</definedName>
    <definedName name="XRefCopy58Row" localSheetId="4" hidden="1">#REF!</definedName>
    <definedName name="XRefCopy58Row" localSheetId="16" hidden="1">#REF!</definedName>
    <definedName name="XRefCopy58Row" hidden="1">#REF!</definedName>
    <definedName name="XRefCopy59Row" localSheetId="4" hidden="1">#REF!</definedName>
    <definedName name="XRefCopy59Row" localSheetId="16" hidden="1">#REF!</definedName>
    <definedName name="XRefCopy59Row" hidden="1">#REF!</definedName>
    <definedName name="XRefCopy5Row" localSheetId="4" hidden="1">#REF!</definedName>
    <definedName name="XRefCopy5Row" localSheetId="16" hidden="1">#REF!</definedName>
    <definedName name="XRefCopy5Row" hidden="1">#REF!</definedName>
    <definedName name="XRefCopy6" localSheetId="4" hidden="1">#REF!</definedName>
    <definedName name="XRefCopy6" localSheetId="16" hidden="1">#REF!</definedName>
    <definedName name="XRefCopy6" hidden="1">#REF!</definedName>
    <definedName name="XRefCopy60Row" localSheetId="4" hidden="1">#REF!</definedName>
    <definedName name="XRefCopy60Row" localSheetId="16" hidden="1">#REF!</definedName>
    <definedName name="XRefCopy60Row" hidden="1">#REF!</definedName>
    <definedName name="XRefCopy64" localSheetId="4" hidden="1">#REF!</definedName>
    <definedName name="XRefCopy64" localSheetId="16" hidden="1">#REF!</definedName>
    <definedName name="XRefCopy64" hidden="1">#REF!</definedName>
    <definedName name="XRefCopy65" localSheetId="4" hidden="1">#REF!</definedName>
    <definedName name="XRefCopy65" localSheetId="16" hidden="1">#REF!</definedName>
    <definedName name="XRefCopy65" hidden="1">#REF!</definedName>
    <definedName name="XRefCopy69" localSheetId="4" hidden="1">#REF!</definedName>
    <definedName name="XRefCopy69" localSheetId="16" hidden="1">#REF!</definedName>
    <definedName name="XRefCopy69" hidden="1">#REF!</definedName>
    <definedName name="XRefCopy6Row" localSheetId="4" hidden="1">#REF!</definedName>
    <definedName name="XRefCopy6Row" localSheetId="16" hidden="1">#REF!</definedName>
    <definedName name="XRefCopy6Row" hidden="1">#REF!</definedName>
    <definedName name="XRefCopy7" localSheetId="4" hidden="1">#REF!</definedName>
    <definedName name="XRefCopy7" localSheetId="16" hidden="1">#REF!</definedName>
    <definedName name="XRefCopy7" hidden="1">#REF!</definedName>
    <definedName name="XRefCopy74Row" localSheetId="4" hidden="1">#REF!</definedName>
    <definedName name="XRefCopy74Row" localSheetId="16" hidden="1">#REF!</definedName>
    <definedName name="XRefCopy74Row" hidden="1">#REF!</definedName>
    <definedName name="XRefCopy75" localSheetId="4" hidden="1">'[35].4 이연법인세계산'!#REF!</definedName>
    <definedName name="XRefCopy75" localSheetId="16" hidden="1">'[35].4 이연법인세계산'!#REF!</definedName>
    <definedName name="XRefCopy75" hidden="1">'[35].4 이연법인세계산'!#REF!</definedName>
    <definedName name="XRefCopy75Row" localSheetId="4" hidden="1">#REF!</definedName>
    <definedName name="XRefCopy75Row" localSheetId="16" hidden="1">#REF!</definedName>
    <definedName name="XRefCopy75Row" hidden="1">#REF!</definedName>
    <definedName name="XRefCopy76" localSheetId="4" hidden="1">'[35].4 이연법인세계산'!#REF!</definedName>
    <definedName name="XRefCopy76" localSheetId="16" hidden="1">'[35].4 이연법인세계산'!#REF!</definedName>
    <definedName name="XRefCopy76" hidden="1">'[35].4 이연법인세계산'!#REF!</definedName>
    <definedName name="XRefCopy76Row" localSheetId="4" hidden="1">#REF!</definedName>
    <definedName name="XRefCopy76Row" localSheetId="16" hidden="1">#REF!</definedName>
    <definedName name="XRefCopy76Row" hidden="1">#REF!</definedName>
    <definedName name="XRefCopy77Row" localSheetId="4" hidden="1">#REF!</definedName>
    <definedName name="XRefCopy77Row" localSheetId="16" hidden="1">#REF!</definedName>
    <definedName name="XRefCopy77Row" hidden="1">#REF!</definedName>
    <definedName name="XRefCopy78" localSheetId="4" hidden="1">'[35].4 이연법인세계산'!#REF!</definedName>
    <definedName name="XRefCopy78" localSheetId="16" hidden="1">'[35].4 이연법인세계산'!#REF!</definedName>
    <definedName name="XRefCopy78" hidden="1">'[35].4 이연법인세계산'!#REF!</definedName>
    <definedName name="XRefCopy78Row" localSheetId="4" hidden="1">#REF!</definedName>
    <definedName name="XRefCopy78Row" localSheetId="16" hidden="1">#REF!</definedName>
    <definedName name="XRefCopy78Row" hidden="1">#REF!</definedName>
    <definedName name="XRefCopy79" localSheetId="4" hidden="1">'[35].4 이연법인세계산'!#REF!</definedName>
    <definedName name="XRefCopy79" localSheetId="16" hidden="1">'[35].4 이연법인세계산'!#REF!</definedName>
    <definedName name="XRefCopy79" hidden="1">'[35].4 이연법인세계산'!#REF!</definedName>
    <definedName name="XRefCopy79Row" localSheetId="4" hidden="1">#REF!</definedName>
    <definedName name="XRefCopy79Row" localSheetId="16" hidden="1">#REF!</definedName>
    <definedName name="XRefCopy79Row" hidden="1">#REF!</definedName>
    <definedName name="XRefCopy7Row" localSheetId="4" hidden="1">#REF!</definedName>
    <definedName name="XRefCopy7Row" localSheetId="16" hidden="1">#REF!</definedName>
    <definedName name="XRefCopy7Row" hidden="1">#REF!</definedName>
    <definedName name="XRefCopy8" localSheetId="4" hidden="1">#REF!</definedName>
    <definedName name="XRefCopy8" localSheetId="16" hidden="1">#REF!</definedName>
    <definedName name="XRefCopy8" hidden="1">#REF!</definedName>
    <definedName name="XRefCopy80Row" localSheetId="4" hidden="1">#REF!</definedName>
    <definedName name="XRefCopy80Row" localSheetId="16" hidden="1">#REF!</definedName>
    <definedName name="XRefCopy80Row" hidden="1">#REF!</definedName>
    <definedName name="XRefCopy81" localSheetId="4" hidden="1">'[35].4 이연법인세계산'!#REF!</definedName>
    <definedName name="XRefCopy81" localSheetId="16" hidden="1">'[35].4 이연법인세계산'!#REF!</definedName>
    <definedName name="XRefCopy81" hidden="1">'[35].4 이연법인세계산'!#REF!</definedName>
    <definedName name="XRefCopy81Row" localSheetId="4" hidden="1">#REF!</definedName>
    <definedName name="XRefCopy81Row" localSheetId="16" hidden="1">#REF!</definedName>
    <definedName name="XRefCopy81Row" hidden="1">#REF!</definedName>
    <definedName name="XRefCopy82Row" localSheetId="4" hidden="1">#REF!</definedName>
    <definedName name="XRefCopy82Row" localSheetId="16" hidden="1">#REF!</definedName>
    <definedName name="XRefCopy82Row" hidden="1">#REF!</definedName>
    <definedName name="XRefCopy83Row" localSheetId="4" hidden="1">#REF!</definedName>
    <definedName name="XRefCopy83Row" localSheetId="16" hidden="1">#REF!</definedName>
    <definedName name="XRefCopy83Row" hidden="1">#REF!</definedName>
    <definedName name="XRefCopy84Row" localSheetId="4" hidden="1">#REF!</definedName>
    <definedName name="XRefCopy84Row" localSheetId="16" hidden="1">#REF!</definedName>
    <definedName name="XRefCopy84Row" hidden="1">#REF!</definedName>
    <definedName name="XRefCopy85" localSheetId="4" hidden="1">'[35].4 이연법인세계산'!#REF!</definedName>
    <definedName name="XRefCopy85" localSheetId="16" hidden="1">'[35].4 이연법인세계산'!#REF!</definedName>
    <definedName name="XRefCopy85" hidden="1">'[35].4 이연법인세계산'!#REF!</definedName>
    <definedName name="XRefCopy85Row" localSheetId="4" hidden="1">#REF!</definedName>
    <definedName name="XRefCopy85Row" localSheetId="16" hidden="1">#REF!</definedName>
    <definedName name="XRefCopy85Row" hidden="1">#REF!</definedName>
    <definedName name="XRefCopy86Row" localSheetId="4" hidden="1">#REF!</definedName>
    <definedName name="XRefCopy86Row" localSheetId="16" hidden="1">#REF!</definedName>
    <definedName name="XRefCopy86Row" hidden="1">#REF!</definedName>
    <definedName name="XRefCopy87Row" localSheetId="4" hidden="1">#REF!</definedName>
    <definedName name="XRefCopy87Row" localSheetId="16" hidden="1">#REF!</definedName>
    <definedName name="XRefCopy87Row" hidden="1">#REF!</definedName>
    <definedName name="XRefCopy88" localSheetId="4" hidden="1">'[35].4 이연법인세계산'!#REF!</definedName>
    <definedName name="XRefCopy88" localSheetId="16" hidden="1">'[35].4 이연법인세계산'!#REF!</definedName>
    <definedName name="XRefCopy88" hidden="1">'[35].4 이연법인세계산'!#REF!</definedName>
    <definedName name="XRefCopy88Row" localSheetId="4" hidden="1">#REF!</definedName>
    <definedName name="XRefCopy88Row" localSheetId="16" hidden="1">#REF!</definedName>
    <definedName name="XRefCopy88Row" hidden="1">#REF!</definedName>
    <definedName name="XRefCopy89Row" localSheetId="4" hidden="1">#REF!</definedName>
    <definedName name="XRefCopy89Row" localSheetId="16" hidden="1">#REF!</definedName>
    <definedName name="XRefCopy89Row" hidden="1">#REF!</definedName>
    <definedName name="XRefCopy8Row" localSheetId="4" hidden="1">#REF!</definedName>
    <definedName name="XRefCopy8Row" localSheetId="16" hidden="1">#REF!</definedName>
    <definedName name="XRefCopy8Row" hidden="1">#REF!</definedName>
    <definedName name="XRefCopy9" localSheetId="4" hidden="1">#REF!</definedName>
    <definedName name="XRefCopy9" localSheetId="16" hidden="1">#REF!</definedName>
    <definedName name="XRefCopy9" hidden="1">#REF!</definedName>
    <definedName name="XRefCopy90" localSheetId="4" hidden="1">'[35].4 이연법인세계산'!#REF!</definedName>
    <definedName name="XRefCopy90" localSheetId="16" hidden="1">'[35].4 이연법인세계산'!#REF!</definedName>
    <definedName name="XRefCopy90" hidden="1">'[35].4 이연법인세계산'!#REF!</definedName>
    <definedName name="XRefCopy90Row" localSheetId="4" hidden="1">#REF!</definedName>
    <definedName name="XRefCopy90Row" localSheetId="16" hidden="1">#REF!</definedName>
    <definedName name="XRefCopy90Row" hidden="1">#REF!</definedName>
    <definedName name="XRefCopy91" localSheetId="4" hidden="1">'[35].4 이연법인세계산'!#REF!</definedName>
    <definedName name="XRefCopy91" localSheetId="16" hidden="1">'[35].4 이연법인세계산'!#REF!</definedName>
    <definedName name="XRefCopy91" hidden="1">'[35].4 이연법인세계산'!#REF!</definedName>
    <definedName name="XRefCopy91Row" localSheetId="4" hidden="1">#REF!</definedName>
    <definedName name="XRefCopy91Row" localSheetId="16" hidden="1">#REF!</definedName>
    <definedName name="XRefCopy91Row" hidden="1">#REF!</definedName>
    <definedName name="XRefCopy92" localSheetId="4" hidden="1">'[35].4 이연법인세계산'!#REF!</definedName>
    <definedName name="XRefCopy92" localSheetId="16" hidden="1">'[35].4 이연법인세계산'!#REF!</definedName>
    <definedName name="XRefCopy92" hidden="1">'[35].4 이연법인세계산'!#REF!</definedName>
    <definedName name="XRefCopy92Row" localSheetId="4" hidden="1">#REF!</definedName>
    <definedName name="XRefCopy92Row" localSheetId="16" hidden="1">#REF!</definedName>
    <definedName name="XRefCopy92Row" hidden="1">#REF!</definedName>
    <definedName name="XRefCopy93Row" localSheetId="4" hidden="1">#REF!</definedName>
    <definedName name="XRefCopy93Row" localSheetId="16" hidden="1">#REF!</definedName>
    <definedName name="XRefCopy93Row" hidden="1">#REF!</definedName>
    <definedName name="XRefCopy94Row" localSheetId="4" hidden="1">#REF!</definedName>
    <definedName name="XRefCopy94Row" localSheetId="16" hidden="1">#REF!</definedName>
    <definedName name="XRefCopy94Row" hidden="1">#REF!</definedName>
    <definedName name="XRefCopy95Row" localSheetId="4" hidden="1">#REF!</definedName>
    <definedName name="XRefCopy95Row" localSheetId="16" hidden="1">#REF!</definedName>
    <definedName name="XRefCopy95Row" hidden="1">#REF!</definedName>
    <definedName name="XRefCopy96" localSheetId="4" hidden="1">#REF!</definedName>
    <definedName name="XRefCopy96" localSheetId="16" hidden="1">#REF!</definedName>
    <definedName name="XRefCopy96" hidden="1">#REF!</definedName>
    <definedName name="XRefCopy97" localSheetId="4" hidden="1">#REF!</definedName>
    <definedName name="XRefCopy97" localSheetId="16" hidden="1">#REF!</definedName>
    <definedName name="XRefCopy97" hidden="1">#REF!</definedName>
    <definedName name="XRefCopy98Row" localSheetId="4" hidden="1">#REF!</definedName>
    <definedName name="XRefCopy98Row" localSheetId="16" hidden="1">#REF!</definedName>
    <definedName name="XRefCopy98Row" hidden="1">#REF!</definedName>
    <definedName name="XRefCopy99Row" localSheetId="4" hidden="1">#REF!</definedName>
    <definedName name="XRefCopy99Row" localSheetId="16" hidden="1">#REF!</definedName>
    <definedName name="XRefCopy99Row" hidden="1">#REF!</definedName>
    <definedName name="XRefCopy9Row" localSheetId="4" hidden="1">#REF!</definedName>
    <definedName name="XRefCopy9Row" localSheetId="16" hidden="1">#REF!</definedName>
    <definedName name="XRefCopy9Row" hidden="1">#REF!</definedName>
    <definedName name="XRefCopyRangeCount" hidden="1">5</definedName>
    <definedName name="XRefPaste1" localSheetId="4" hidden="1">#REF!</definedName>
    <definedName name="XRefPaste1" localSheetId="16" hidden="1">#REF!</definedName>
    <definedName name="XRefPaste1" hidden="1">#REF!</definedName>
    <definedName name="XRefPaste10" localSheetId="4" hidden="1">#REF!</definedName>
    <definedName name="XRefPaste10" localSheetId="16" hidden="1">#REF!</definedName>
    <definedName name="XRefPaste10" hidden="1">#REF!</definedName>
    <definedName name="XRefPaste100" localSheetId="4" hidden="1">[35]LS!#REF!</definedName>
    <definedName name="XRefPaste100" localSheetId="16" hidden="1">[35]LS!#REF!</definedName>
    <definedName name="XRefPaste100" hidden="1">[35]LS!#REF!</definedName>
    <definedName name="XRefPaste100Row" localSheetId="4" hidden="1">[35]XREF!#REF!</definedName>
    <definedName name="XRefPaste100Row" localSheetId="16" hidden="1">[35]XREF!#REF!</definedName>
    <definedName name="XRefPaste100Row" hidden="1">[35]XREF!#REF!</definedName>
    <definedName name="XRefPaste101" localSheetId="4" hidden="1">'[40]TB(PL)'!#REF!</definedName>
    <definedName name="XRefPaste101" localSheetId="16" hidden="1">'[40]TB(PL)'!#REF!</definedName>
    <definedName name="XRefPaste101" hidden="1">'[40]TB(PL)'!#REF!</definedName>
    <definedName name="XRefPaste101Row" localSheetId="4" hidden="1">[35]XREF!#REF!</definedName>
    <definedName name="XRefPaste101Row" localSheetId="16" hidden="1">[35]XREF!#REF!</definedName>
    <definedName name="XRefPaste101Row" hidden="1">[35]XREF!#REF!</definedName>
    <definedName name="XRefPaste102" localSheetId="4" hidden="1">'[40]TB(PL)'!#REF!</definedName>
    <definedName name="XRefPaste102" localSheetId="16" hidden="1">'[40]TB(PL)'!#REF!</definedName>
    <definedName name="XRefPaste102" hidden="1">'[40]TB(PL)'!#REF!</definedName>
    <definedName name="XRefPaste102Row" localSheetId="4" hidden="1">[35]XREF!#REF!</definedName>
    <definedName name="XRefPaste102Row" localSheetId="16" hidden="1">[35]XREF!#REF!</definedName>
    <definedName name="XRefPaste102Row" hidden="1">[35]XREF!#REF!</definedName>
    <definedName name="XRefPaste103Row" localSheetId="4" hidden="1">[35]XREF!#REF!</definedName>
    <definedName name="XRefPaste103Row" localSheetId="16" hidden="1">[35]XREF!#REF!</definedName>
    <definedName name="XRefPaste103Row" hidden="1">[35]XREF!#REF!</definedName>
    <definedName name="XRefPaste104" localSheetId="4" hidden="1">#REF!</definedName>
    <definedName name="XRefPaste104" localSheetId="16" hidden="1">#REF!</definedName>
    <definedName name="XRefPaste104" hidden="1">#REF!</definedName>
    <definedName name="XRefPaste104Row" localSheetId="4" hidden="1">#REF!</definedName>
    <definedName name="XRefPaste104Row" localSheetId="16" hidden="1">#REF!</definedName>
    <definedName name="XRefPaste104Row" hidden="1">#REF!</definedName>
    <definedName name="XRefPaste105" localSheetId="4" hidden="1">#REF!</definedName>
    <definedName name="XRefPaste105" localSheetId="16" hidden="1">#REF!</definedName>
    <definedName name="XRefPaste105" hidden="1">#REF!</definedName>
    <definedName name="XRefPaste105Row" localSheetId="4" hidden="1">#REF!</definedName>
    <definedName name="XRefPaste105Row" localSheetId="16" hidden="1">#REF!</definedName>
    <definedName name="XRefPaste105Row" hidden="1">#REF!</definedName>
    <definedName name="XRefPaste106" localSheetId="4" hidden="1">#REF!</definedName>
    <definedName name="XRefPaste106" localSheetId="16" hidden="1">#REF!</definedName>
    <definedName name="XRefPaste106" hidden="1">#REF!</definedName>
    <definedName name="XRefPaste106Row" localSheetId="4" hidden="1">#REF!</definedName>
    <definedName name="XRefPaste106Row" localSheetId="16" hidden="1">#REF!</definedName>
    <definedName name="XRefPaste106Row" hidden="1">#REF!</definedName>
    <definedName name="XRefPaste107" localSheetId="4" hidden="1">#REF!</definedName>
    <definedName name="XRefPaste107" localSheetId="16" hidden="1">#REF!</definedName>
    <definedName name="XRefPaste107" hidden="1">#REF!</definedName>
    <definedName name="XRefPaste107Row" localSheetId="4" hidden="1">#REF!</definedName>
    <definedName name="XRefPaste107Row" localSheetId="16" hidden="1">#REF!</definedName>
    <definedName name="XRefPaste107Row" hidden="1">#REF!</definedName>
    <definedName name="XRefPaste108" localSheetId="4" hidden="1">#REF!</definedName>
    <definedName name="XRefPaste108" localSheetId="16" hidden="1">#REF!</definedName>
    <definedName name="XRefPaste108" hidden="1">#REF!</definedName>
    <definedName name="XRefPaste108Row" localSheetId="4" hidden="1">#REF!</definedName>
    <definedName name="XRefPaste108Row" localSheetId="16" hidden="1">#REF!</definedName>
    <definedName name="XRefPaste108Row" hidden="1">#REF!</definedName>
    <definedName name="XRefPaste109" localSheetId="4" hidden="1">#REF!</definedName>
    <definedName name="XRefPaste109" localSheetId="16" hidden="1">#REF!</definedName>
    <definedName name="XRefPaste109" hidden="1">#REF!</definedName>
    <definedName name="XRefPaste109Row" localSheetId="4" hidden="1">#REF!</definedName>
    <definedName name="XRefPaste109Row" localSheetId="16" hidden="1">#REF!</definedName>
    <definedName name="XRefPaste109Row" hidden="1">#REF!</definedName>
    <definedName name="XRefPaste10Row" localSheetId="4" hidden="1">#REF!</definedName>
    <definedName name="XRefPaste10Row" localSheetId="16" hidden="1">#REF!</definedName>
    <definedName name="XRefPaste10Row" hidden="1">#REF!</definedName>
    <definedName name="XRefPaste11" localSheetId="4" hidden="1">#REF!</definedName>
    <definedName name="XRefPaste11" localSheetId="16" hidden="1">#REF!</definedName>
    <definedName name="XRefPaste11" hidden="1">#REF!</definedName>
    <definedName name="XRefPaste110" localSheetId="4" hidden="1">#REF!</definedName>
    <definedName name="XRefPaste110" localSheetId="16" hidden="1">#REF!</definedName>
    <definedName name="XRefPaste110" hidden="1">#REF!</definedName>
    <definedName name="XRefPaste110Row" localSheetId="4" hidden="1">#REF!</definedName>
    <definedName name="XRefPaste110Row" localSheetId="16" hidden="1">#REF!</definedName>
    <definedName name="XRefPaste110Row" hidden="1">#REF!</definedName>
    <definedName name="XRefPaste111" localSheetId="4" hidden="1">#REF!</definedName>
    <definedName name="XRefPaste111" localSheetId="16" hidden="1">#REF!</definedName>
    <definedName name="XRefPaste111" hidden="1">#REF!</definedName>
    <definedName name="XRefPaste111Row" localSheetId="4" hidden="1">#REF!</definedName>
    <definedName name="XRefPaste111Row" localSheetId="16" hidden="1">#REF!</definedName>
    <definedName name="XRefPaste111Row" hidden="1">#REF!</definedName>
    <definedName name="XRefPaste112" localSheetId="4" hidden="1">#REF!</definedName>
    <definedName name="XRefPaste112" localSheetId="16" hidden="1">#REF!</definedName>
    <definedName name="XRefPaste112" hidden="1">#REF!</definedName>
    <definedName name="XRefPaste112Row" localSheetId="4" hidden="1">#REF!</definedName>
    <definedName name="XRefPaste112Row" localSheetId="16" hidden="1">#REF!</definedName>
    <definedName name="XRefPaste112Row" hidden="1">#REF!</definedName>
    <definedName name="XRefPaste113" localSheetId="4" hidden="1">#REF!</definedName>
    <definedName name="XRefPaste113" localSheetId="16" hidden="1">#REF!</definedName>
    <definedName name="XRefPaste113" hidden="1">#REF!</definedName>
    <definedName name="XRefPaste113Row" localSheetId="4" hidden="1">#REF!</definedName>
    <definedName name="XRefPaste113Row" localSheetId="16" hidden="1">#REF!</definedName>
    <definedName name="XRefPaste113Row" hidden="1">#REF!</definedName>
    <definedName name="XRefPaste114" localSheetId="4" hidden="1">#REF!</definedName>
    <definedName name="XRefPaste114" localSheetId="16" hidden="1">#REF!</definedName>
    <definedName name="XRefPaste114" hidden="1">#REF!</definedName>
    <definedName name="XRefPaste114Row" localSheetId="4" hidden="1">#REF!</definedName>
    <definedName name="XRefPaste114Row" localSheetId="16" hidden="1">#REF!</definedName>
    <definedName name="XRefPaste114Row" hidden="1">#REF!</definedName>
    <definedName name="XRefPaste115" localSheetId="4" hidden="1">#REF!</definedName>
    <definedName name="XRefPaste115" localSheetId="16" hidden="1">#REF!</definedName>
    <definedName name="XRefPaste115" hidden="1">#REF!</definedName>
    <definedName name="XRefPaste115Row" localSheetId="4" hidden="1">#REF!</definedName>
    <definedName name="XRefPaste115Row" localSheetId="16" hidden="1">#REF!</definedName>
    <definedName name="XRefPaste115Row" hidden="1">#REF!</definedName>
    <definedName name="XRefPaste116" localSheetId="4" hidden="1">#REF!</definedName>
    <definedName name="XRefPaste116" localSheetId="16" hidden="1">#REF!</definedName>
    <definedName name="XRefPaste116" hidden="1">#REF!</definedName>
    <definedName name="XRefPaste116Row" localSheetId="4" hidden="1">#REF!</definedName>
    <definedName name="XRefPaste116Row" localSheetId="16" hidden="1">#REF!</definedName>
    <definedName name="XRefPaste116Row" hidden="1">#REF!</definedName>
    <definedName name="XRefPaste117" localSheetId="4" hidden="1">#REF!</definedName>
    <definedName name="XRefPaste117" localSheetId="16" hidden="1">#REF!</definedName>
    <definedName name="XRefPaste117" hidden="1">#REF!</definedName>
    <definedName name="XRefPaste117Row" localSheetId="4" hidden="1">#REF!</definedName>
    <definedName name="XRefPaste117Row" localSheetId="16" hidden="1">#REF!</definedName>
    <definedName name="XRefPaste117Row" hidden="1">#REF!</definedName>
    <definedName name="XRefPaste118" localSheetId="4" hidden="1">#REF!</definedName>
    <definedName name="XRefPaste118" localSheetId="16" hidden="1">#REF!</definedName>
    <definedName name="XRefPaste118" hidden="1">#REF!</definedName>
    <definedName name="XRefPaste118Row" localSheetId="4" hidden="1">#REF!</definedName>
    <definedName name="XRefPaste118Row" localSheetId="16" hidden="1">#REF!</definedName>
    <definedName name="XRefPaste118Row" hidden="1">#REF!</definedName>
    <definedName name="XRefPaste119" localSheetId="4" hidden="1">#REF!</definedName>
    <definedName name="XRefPaste119" localSheetId="16" hidden="1">#REF!</definedName>
    <definedName name="XRefPaste119" hidden="1">#REF!</definedName>
    <definedName name="XRefPaste119Row" localSheetId="4" hidden="1">#REF!</definedName>
    <definedName name="XRefPaste119Row" localSheetId="16" hidden="1">#REF!</definedName>
    <definedName name="XRefPaste119Row" hidden="1">#REF!</definedName>
    <definedName name="XRefPaste11Row" localSheetId="4" hidden="1">#REF!</definedName>
    <definedName name="XRefPaste11Row" localSheetId="16" hidden="1">#REF!</definedName>
    <definedName name="XRefPaste11Row" hidden="1">#REF!</definedName>
    <definedName name="XRefPaste12" localSheetId="4" hidden="1">#REF!</definedName>
    <definedName name="XRefPaste12" localSheetId="16" hidden="1">#REF!</definedName>
    <definedName name="XRefPaste12" hidden="1">#REF!</definedName>
    <definedName name="XRefPaste120" localSheetId="4" hidden="1">#REF!</definedName>
    <definedName name="XRefPaste120" localSheetId="16" hidden="1">#REF!</definedName>
    <definedName name="XRefPaste120" hidden="1">#REF!</definedName>
    <definedName name="XRefPaste120Row" localSheetId="4" hidden="1">#REF!</definedName>
    <definedName name="XRefPaste120Row" localSheetId="16" hidden="1">#REF!</definedName>
    <definedName name="XRefPaste120Row" hidden="1">#REF!</definedName>
    <definedName name="XRefPaste121" localSheetId="4" hidden="1">#REF!</definedName>
    <definedName name="XRefPaste121" localSheetId="16" hidden="1">#REF!</definedName>
    <definedName name="XRefPaste121" hidden="1">#REF!</definedName>
    <definedName name="XRefPaste121Row" localSheetId="4" hidden="1">#REF!</definedName>
    <definedName name="XRefPaste121Row" localSheetId="16" hidden="1">#REF!</definedName>
    <definedName name="XRefPaste121Row" hidden="1">#REF!</definedName>
    <definedName name="XRefPaste122" localSheetId="4" hidden="1">#REF!</definedName>
    <definedName name="XRefPaste122" localSheetId="16" hidden="1">#REF!</definedName>
    <definedName name="XRefPaste122" hidden="1">#REF!</definedName>
    <definedName name="XRefPaste122Row" localSheetId="4" hidden="1">#REF!</definedName>
    <definedName name="XRefPaste122Row" localSheetId="16" hidden="1">#REF!</definedName>
    <definedName name="XRefPaste122Row" hidden="1">#REF!</definedName>
    <definedName name="XRefPaste123" localSheetId="4" hidden="1">#REF!</definedName>
    <definedName name="XRefPaste123" localSheetId="16" hidden="1">#REF!</definedName>
    <definedName name="XRefPaste123" hidden="1">#REF!</definedName>
    <definedName name="XRefPaste123Row" localSheetId="4" hidden="1">#REF!</definedName>
    <definedName name="XRefPaste123Row" localSheetId="16" hidden="1">#REF!</definedName>
    <definedName name="XRefPaste123Row" hidden="1">#REF!</definedName>
    <definedName name="XRefPaste124" localSheetId="4" hidden="1">#REF!</definedName>
    <definedName name="XRefPaste124" localSheetId="16" hidden="1">#REF!</definedName>
    <definedName name="XRefPaste124" hidden="1">#REF!</definedName>
    <definedName name="XRefPaste124Row" localSheetId="4" hidden="1">#REF!</definedName>
    <definedName name="XRefPaste124Row" localSheetId="16" hidden="1">#REF!</definedName>
    <definedName name="XRefPaste124Row" hidden="1">#REF!</definedName>
    <definedName name="XRefPaste125" localSheetId="4" hidden="1">#REF!</definedName>
    <definedName name="XRefPaste125" localSheetId="16" hidden="1">#REF!</definedName>
    <definedName name="XRefPaste125" hidden="1">#REF!</definedName>
    <definedName name="XRefPaste125Row" localSheetId="4" hidden="1">#REF!</definedName>
    <definedName name="XRefPaste125Row" localSheetId="16" hidden="1">#REF!</definedName>
    <definedName name="XRefPaste125Row" hidden="1">#REF!</definedName>
    <definedName name="XRefPaste126" localSheetId="4" hidden="1">#REF!</definedName>
    <definedName name="XRefPaste126" localSheetId="16" hidden="1">#REF!</definedName>
    <definedName name="XRefPaste126" hidden="1">#REF!</definedName>
    <definedName name="XRefPaste126Row" localSheetId="4" hidden="1">#REF!</definedName>
    <definedName name="XRefPaste126Row" localSheetId="16" hidden="1">#REF!</definedName>
    <definedName name="XRefPaste126Row" hidden="1">#REF!</definedName>
    <definedName name="XRefPaste127" localSheetId="4" hidden="1">#REF!</definedName>
    <definedName name="XRefPaste127" localSheetId="16" hidden="1">#REF!</definedName>
    <definedName name="XRefPaste127" hidden="1">#REF!</definedName>
    <definedName name="XRefPaste127Row" localSheetId="4" hidden="1">#REF!</definedName>
    <definedName name="XRefPaste127Row" localSheetId="16" hidden="1">#REF!</definedName>
    <definedName name="XRefPaste127Row" hidden="1">#REF!</definedName>
    <definedName name="XRefPaste128" localSheetId="4" hidden="1">#REF!</definedName>
    <definedName name="XRefPaste128" localSheetId="16" hidden="1">#REF!</definedName>
    <definedName name="XRefPaste128" hidden="1">#REF!</definedName>
    <definedName name="XRefPaste128Row" localSheetId="4" hidden="1">#REF!</definedName>
    <definedName name="XRefPaste128Row" localSheetId="16" hidden="1">#REF!</definedName>
    <definedName name="XRefPaste128Row" hidden="1">#REF!</definedName>
    <definedName name="XRefPaste129" localSheetId="4" hidden="1">#REF!</definedName>
    <definedName name="XRefPaste129" localSheetId="16" hidden="1">#REF!</definedName>
    <definedName name="XRefPaste129" hidden="1">#REF!</definedName>
    <definedName name="XRefPaste129Row" localSheetId="4" hidden="1">#REF!</definedName>
    <definedName name="XRefPaste129Row" localSheetId="16" hidden="1">#REF!</definedName>
    <definedName name="XRefPaste129Row" hidden="1">#REF!</definedName>
    <definedName name="XRefPaste12Row" localSheetId="4" hidden="1">#REF!</definedName>
    <definedName name="XRefPaste12Row" localSheetId="16" hidden="1">#REF!</definedName>
    <definedName name="XRefPaste12Row" hidden="1">#REF!</definedName>
    <definedName name="XRefPaste13" localSheetId="4" hidden="1">#REF!</definedName>
    <definedName name="XRefPaste13" localSheetId="16" hidden="1">#REF!</definedName>
    <definedName name="XRefPaste13" hidden="1">#REF!</definedName>
    <definedName name="XRefPaste130" localSheetId="4" hidden="1">#REF!</definedName>
    <definedName name="XRefPaste130" localSheetId="16" hidden="1">#REF!</definedName>
    <definedName name="XRefPaste130" hidden="1">#REF!</definedName>
    <definedName name="XRefPaste130Row" localSheetId="4" hidden="1">#REF!</definedName>
    <definedName name="XRefPaste130Row" localSheetId="16" hidden="1">#REF!</definedName>
    <definedName name="XRefPaste130Row" hidden="1">#REF!</definedName>
    <definedName name="XRefPaste131" localSheetId="4" hidden="1">#REF!</definedName>
    <definedName name="XRefPaste131" localSheetId="16" hidden="1">#REF!</definedName>
    <definedName name="XRefPaste131" hidden="1">#REF!</definedName>
    <definedName name="XRefPaste131Row" localSheetId="4" hidden="1">#REF!</definedName>
    <definedName name="XRefPaste131Row" localSheetId="16" hidden="1">#REF!</definedName>
    <definedName name="XRefPaste131Row" hidden="1">#REF!</definedName>
    <definedName name="XRefPaste132" localSheetId="4" hidden="1">#REF!</definedName>
    <definedName name="XRefPaste132" localSheetId="16" hidden="1">#REF!</definedName>
    <definedName name="XRefPaste132" hidden="1">#REF!</definedName>
    <definedName name="XRefPaste132Row" localSheetId="4" hidden="1">#REF!</definedName>
    <definedName name="XRefPaste132Row" localSheetId="16" hidden="1">#REF!</definedName>
    <definedName name="XRefPaste132Row" hidden="1">#REF!</definedName>
    <definedName name="XRefPaste133" localSheetId="4" hidden="1">#REF!</definedName>
    <definedName name="XRefPaste133" localSheetId="16" hidden="1">#REF!</definedName>
    <definedName name="XRefPaste133" hidden="1">#REF!</definedName>
    <definedName name="XRefPaste133Row" localSheetId="4" hidden="1">#REF!</definedName>
    <definedName name="XRefPaste133Row" localSheetId="16" hidden="1">#REF!</definedName>
    <definedName name="XRefPaste133Row" hidden="1">#REF!</definedName>
    <definedName name="XRefPaste134" localSheetId="4" hidden="1">#REF!</definedName>
    <definedName name="XRefPaste134" localSheetId="16" hidden="1">#REF!</definedName>
    <definedName name="XRefPaste134" hidden="1">#REF!</definedName>
    <definedName name="XRefPaste134Row" localSheetId="4" hidden="1">#REF!</definedName>
    <definedName name="XRefPaste134Row" localSheetId="16" hidden="1">#REF!</definedName>
    <definedName name="XRefPaste134Row" hidden="1">#REF!</definedName>
    <definedName name="XRefPaste135" localSheetId="4" hidden="1">#REF!</definedName>
    <definedName name="XRefPaste135" localSheetId="16" hidden="1">#REF!</definedName>
    <definedName name="XRefPaste135" hidden="1">#REF!</definedName>
    <definedName name="XRefPaste135Row" localSheetId="4" hidden="1">#REF!</definedName>
    <definedName name="XRefPaste135Row" localSheetId="16" hidden="1">#REF!</definedName>
    <definedName name="XRefPaste135Row" hidden="1">#REF!</definedName>
    <definedName name="XRefPaste136" localSheetId="4" hidden="1">#REF!</definedName>
    <definedName name="XRefPaste136" localSheetId="16" hidden="1">#REF!</definedName>
    <definedName name="XRefPaste136" hidden="1">#REF!</definedName>
    <definedName name="XRefPaste136Row" localSheetId="4" hidden="1">#REF!</definedName>
    <definedName name="XRefPaste136Row" localSheetId="16" hidden="1">#REF!</definedName>
    <definedName name="XRefPaste136Row" hidden="1">#REF!</definedName>
    <definedName name="XRefPaste137" localSheetId="4" hidden="1">#REF!</definedName>
    <definedName name="XRefPaste137" localSheetId="16" hidden="1">#REF!</definedName>
    <definedName name="XRefPaste137" hidden="1">#REF!</definedName>
    <definedName name="XRefPaste137Row" localSheetId="4" hidden="1">#REF!</definedName>
    <definedName name="XRefPaste137Row" localSheetId="16" hidden="1">#REF!</definedName>
    <definedName name="XRefPaste137Row" hidden="1">#REF!</definedName>
    <definedName name="XRefPaste138" localSheetId="4" hidden="1">#REF!</definedName>
    <definedName name="XRefPaste138" localSheetId="16" hidden="1">#REF!</definedName>
    <definedName name="XRefPaste138" hidden="1">#REF!</definedName>
    <definedName name="XRefPaste138Row" localSheetId="4" hidden="1">#REF!</definedName>
    <definedName name="XRefPaste138Row" localSheetId="16" hidden="1">#REF!</definedName>
    <definedName name="XRefPaste138Row" hidden="1">#REF!</definedName>
    <definedName name="XRefPaste139" localSheetId="4" hidden="1">#REF!</definedName>
    <definedName name="XRefPaste139" localSheetId="16" hidden="1">#REF!</definedName>
    <definedName name="XRefPaste139" hidden="1">#REF!</definedName>
    <definedName name="XRefPaste139Row" localSheetId="4" hidden="1">#REF!</definedName>
    <definedName name="XRefPaste139Row" localSheetId="16" hidden="1">#REF!</definedName>
    <definedName name="XRefPaste139Row" hidden="1">#REF!</definedName>
    <definedName name="XRefPaste13Row" localSheetId="4" hidden="1">#REF!</definedName>
    <definedName name="XRefPaste13Row" localSheetId="16" hidden="1">#REF!</definedName>
    <definedName name="XRefPaste13Row" hidden="1">#REF!</definedName>
    <definedName name="XRefPaste14" localSheetId="4" hidden="1">#REF!</definedName>
    <definedName name="XRefPaste14" localSheetId="16" hidden="1">#REF!</definedName>
    <definedName name="XRefPaste14" hidden="1">#REF!</definedName>
    <definedName name="XRefPaste140" localSheetId="4" hidden="1">'[40]TB(PL)'!#REF!</definedName>
    <definedName name="XRefPaste140" localSheetId="16" hidden="1">'[40]TB(PL)'!#REF!</definedName>
    <definedName name="XRefPaste140" hidden="1">'[40]TB(PL)'!#REF!</definedName>
    <definedName name="XRefPaste140Row" localSheetId="4" hidden="1">#REF!</definedName>
    <definedName name="XRefPaste140Row" localSheetId="16" hidden="1">#REF!</definedName>
    <definedName name="XRefPaste140Row" hidden="1">#REF!</definedName>
    <definedName name="XRefPaste141" localSheetId="4" hidden="1">'[40]TB(PL)'!#REF!</definedName>
    <definedName name="XRefPaste141" localSheetId="16" hidden="1">'[40]TB(PL)'!#REF!</definedName>
    <definedName name="XRefPaste141" hidden="1">'[40]TB(PL)'!#REF!</definedName>
    <definedName name="XRefPaste141Row" localSheetId="4" hidden="1">#REF!</definedName>
    <definedName name="XRefPaste141Row" localSheetId="16" hidden="1">#REF!</definedName>
    <definedName name="XRefPaste141Row" hidden="1">#REF!</definedName>
    <definedName name="XRefPaste142" localSheetId="4" hidden="1">#REF!</definedName>
    <definedName name="XRefPaste142" localSheetId="16" hidden="1">#REF!</definedName>
    <definedName name="XRefPaste142" hidden="1">#REF!</definedName>
    <definedName name="XRefPaste142Row" localSheetId="4" hidden="1">#REF!</definedName>
    <definedName name="XRefPaste142Row" localSheetId="16" hidden="1">#REF!</definedName>
    <definedName name="XRefPaste142Row" hidden="1">#REF!</definedName>
    <definedName name="XRefPaste143" localSheetId="4" hidden="1">#REF!</definedName>
    <definedName name="XRefPaste143" localSheetId="16" hidden="1">#REF!</definedName>
    <definedName name="XRefPaste143" hidden="1">#REF!</definedName>
    <definedName name="XRefPaste143Row" localSheetId="4" hidden="1">#REF!</definedName>
    <definedName name="XRefPaste143Row" localSheetId="16" hidden="1">#REF!</definedName>
    <definedName name="XRefPaste143Row" hidden="1">#REF!</definedName>
    <definedName name="XRefPaste144" localSheetId="4" hidden="1">#REF!</definedName>
    <definedName name="XRefPaste144" localSheetId="16" hidden="1">#REF!</definedName>
    <definedName name="XRefPaste144" hidden="1">#REF!</definedName>
    <definedName name="XRefPaste144Row" localSheetId="4" hidden="1">#REF!</definedName>
    <definedName name="XRefPaste144Row" localSheetId="16" hidden="1">#REF!</definedName>
    <definedName name="XRefPaste144Row" hidden="1">#REF!</definedName>
    <definedName name="XRefPaste145" localSheetId="4" hidden="1">#REF!</definedName>
    <definedName name="XRefPaste145" localSheetId="16" hidden="1">#REF!</definedName>
    <definedName name="XRefPaste145" hidden="1">#REF!</definedName>
    <definedName name="XRefPaste145Row" localSheetId="4" hidden="1">#REF!</definedName>
    <definedName name="XRefPaste145Row" localSheetId="16" hidden="1">#REF!</definedName>
    <definedName name="XRefPaste145Row" hidden="1">#REF!</definedName>
    <definedName name="XRefPaste146" localSheetId="4" hidden="1">#REF!</definedName>
    <definedName name="XRefPaste146" localSheetId="16" hidden="1">#REF!</definedName>
    <definedName name="XRefPaste146" hidden="1">#REF!</definedName>
    <definedName name="XRefPaste146Row" localSheetId="4" hidden="1">#REF!</definedName>
    <definedName name="XRefPaste146Row" localSheetId="16" hidden="1">#REF!</definedName>
    <definedName name="XRefPaste146Row" hidden="1">#REF!</definedName>
    <definedName name="XRefPaste147" localSheetId="4" hidden="1">#REF!</definedName>
    <definedName name="XRefPaste147" localSheetId="16" hidden="1">#REF!</definedName>
    <definedName name="XRefPaste147" hidden="1">#REF!</definedName>
    <definedName name="XRefPaste147Row" localSheetId="4" hidden="1">#REF!</definedName>
    <definedName name="XRefPaste147Row" localSheetId="16" hidden="1">#REF!</definedName>
    <definedName name="XRefPaste147Row" hidden="1">#REF!</definedName>
    <definedName name="XRefPaste148" localSheetId="4" hidden="1">#REF!</definedName>
    <definedName name="XRefPaste148" localSheetId="16" hidden="1">#REF!</definedName>
    <definedName name="XRefPaste148" hidden="1">#REF!</definedName>
    <definedName name="XRefPaste148Row" localSheetId="4" hidden="1">#REF!</definedName>
    <definedName name="XRefPaste148Row" localSheetId="16" hidden="1">#REF!</definedName>
    <definedName name="XRefPaste148Row" hidden="1">#REF!</definedName>
    <definedName name="XRefPaste149" localSheetId="4" hidden="1">#REF!</definedName>
    <definedName name="XRefPaste149" localSheetId="16" hidden="1">#REF!</definedName>
    <definedName name="XRefPaste149" hidden="1">#REF!</definedName>
    <definedName name="XRefPaste149Row" localSheetId="4" hidden="1">#REF!</definedName>
    <definedName name="XRefPaste149Row" localSheetId="16" hidden="1">#REF!</definedName>
    <definedName name="XRefPaste149Row" hidden="1">#REF!</definedName>
    <definedName name="XRefPaste14Row" localSheetId="4" hidden="1">#REF!</definedName>
    <definedName name="XRefPaste14Row" localSheetId="16" hidden="1">#REF!</definedName>
    <definedName name="XRefPaste14Row" hidden="1">#REF!</definedName>
    <definedName name="XRefPaste15" localSheetId="4" hidden="1">#REF!</definedName>
    <definedName name="XRefPaste15" localSheetId="16" hidden="1">#REF!</definedName>
    <definedName name="XRefPaste15" hidden="1">#REF!</definedName>
    <definedName name="XRefPaste150" localSheetId="4" hidden="1">#REF!</definedName>
    <definedName name="XRefPaste150" localSheetId="16" hidden="1">#REF!</definedName>
    <definedName name="XRefPaste150" hidden="1">#REF!</definedName>
    <definedName name="XRefPaste150Row" localSheetId="4" hidden="1">#REF!</definedName>
    <definedName name="XRefPaste150Row" localSheetId="16" hidden="1">#REF!</definedName>
    <definedName name="XRefPaste150Row" hidden="1">#REF!</definedName>
    <definedName name="XRefPaste151" localSheetId="4" hidden="1">#REF!</definedName>
    <definedName name="XRefPaste151" localSheetId="16" hidden="1">#REF!</definedName>
    <definedName name="XRefPaste151" hidden="1">#REF!</definedName>
    <definedName name="XRefPaste151Row" localSheetId="4" hidden="1">#REF!</definedName>
    <definedName name="XRefPaste151Row" localSheetId="16" hidden="1">#REF!</definedName>
    <definedName name="XRefPaste151Row" hidden="1">#REF!</definedName>
    <definedName name="XRefPaste152" localSheetId="4" hidden="1">#REF!</definedName>
    <definedName name="XRefPaste152" localSheetId="16" hidden="1">#REF!</definedName>
    <definedName name="XRefPaste152" hidden="1">#REF!</definedName>
    <definedName name="XRefPaste152Row" localSheetId="4" hidden="1">#REF!</definedName>
    <definedName name="XRefPaste152Row" localSheetId="16" hidden="1">#REF!</definedName>
    <definedName name="XRefPaste152Row" hidden="1">#REF!</definedName>
    <definedName name="XRefPaste153" localSheetId="4" hidden="1">#REF!</definedName>
    <definedName name="XRefPaste153" localSheetId="16" hidden="1">#REF!</definedName>
    <definedName name="XRefPaste153" hidden="1">#REF!</definedName>
    <definedName name="XRefPaste153Row" localSheetId="4" hidden="1">#REF!</definedName>
    <definedName name="XRefPaste153Row" localSheetId="16" hidden="1">#REF!</definedName>
    <definedName name="XRefPaste153Row" hidden="1">#REF!</definedName>
    <definedName name="XRefPaste154" localSheetId="4" hidden="1">#REF!</definedName>
    <definedName name="XRefPaste154" localSheetId="16" hidden="1">#REF!</definedName>
    <definedName name="XRefPaste154" hidden="1">#REF!</definedName>
    <definedName name="XRefPaste154Row" localSheetId="4" hidden="1">#REF!</definedName>
    <definedName name="XRefPaste154Row" localSheetId="16" hidden="1">#REF!</definedName>
    <definedName name="XRefPaste154Row" hidden="1">#REF!</definedName>
    <definedName name="XRefPaste155" localSheetId="4" hidden="1">#REF!</definedName>
    <definedName name="XRefPaste155" localSheetId="16" hidden="1">#REF!</definedName>
    <definedName name="XRefPaste155" hidden="1">#REF!</definedName>
    <definedName name="XRefPaste155Row" localSheetId="4" hidden="1">#REF!</definedName>
    <definedName name="XRefPaste155Row" localSheetId="16" hidden="1">#REF!</definedName>
    <definedName name="XRefPaste155Row" hidden="1">#REF!</definedName>
    <definedName name="XRefPaste156" localSheetId="4" hidden="1">#REF!</definedName>
    <definedName name="XRefPaste156" localSheetId="16" hidden="1">#REF!</definedName>
    <definedName name="XRefPaste156" hidden="1">#REF!</definedName>
    <definedName name="XRefPaste156Row" localSheetId="4" hidden="1">#REF!</definedName>
    <definedName name="XRefPaste156Row" localSheetId="16" hidden="1">#REF!</definedName>
    <definedName name="XRefPaste156Row" hidden="1">#REF!</definedName>
    <definedName name="XRefPaste157" localSheetId="4" hidden="1">#REF!</definedName>
    <definedName name="XRefPaste157" localSheetId="16" hidden="1">#REF!</definedName>
    <definedName name="XRefPaste157" hidden="1">#REF!</definedName>
    <definedName name="XRefPaste157Row" localSheetId="4" hidden="1">#REF!</definedName>
    <definedName name="XRefPaste157Row" localSheetId="16" hidden="1">#REF!</definedName>
    <definedName name="XRefPaste157Row" hidden="1">#REF!</definedName>
    <definedName name="XRefPaste158" localSheetId="4" hidden="1">#REF!</definedName>
    <definedName name="XRefPaste158" localSheetId="16" hidden="1">#REF!</definedName>
    <definedName name="XRefPaste158" hidden="1">#REF!</definedName>
    <definedName name="XRefPaste158Row" localSheetId="4" hidden="1">#REF!</definedName>
    <definedName name="XRefPaste158Row" localSheetId="16" hidden="1">#REF!</definedName>
    <definedName name="XRefPaste158Row" hidden="1">#REF!</definedName>
    <definedName name="XRefPaste159" localSheetId="4" hidden="1">#REF!</definedName>
    <definedName name="XRefPaste159" localSheetId="16" hidden="1">#REF!</definedName>
    <definedName name="XRefPaste159" hidden="1">#REF!</definedName>
    <definedName name="XRefPaste159Row" localSheetId="4" hidden="1">#REF!</definedName>
    <definedName name="XRefPaste159Row" localSheetId="16" hidden="1">#REF!</definedName>
    <definedName name="XRefPaste159Row" hidden="1">#REF!</definedName>
    <definedName name="XRefPaste15Row" localSheetId="4" hidden="1">#REF!</definedName>
    <definedName name="XRefPaste15Row" localSheetId="16" hidden="1">#REF!</definedName>
    <definedName name="XRefPaste15Row" hidden="1">#REF!</definedName>
    <definedName name="XRefPaste16" localSheetId="4" hidden="1">#REF!</definedName>
    <definedName name="XRefPaste16" localSheetId="16" hidden="1">#REF!</definedName>
    <definedName name="XRefPaste16" hidden="1">#REF!</definedName>
    <definedName name="XRefPaste160" localSheetId="4" hidden="1">#REF!</definedName>
    <definedName name="XRefPaste160" localSheetId="16" hidden="1">#REF!</definedName>
    <definedName name="XRefPaste160" hidden="1">#REF!</definedName>
    <definedName name="XRefPaste160Row" localSheetId="4" hidden="1">#REF!</definedName>
    <definedName name="XRefPaste160Row" localSheetId="16" hidden="1">#REF!</definedName>
    <definedName name="XRefPaste160Row" hidden="1">#REF!</definedName>
    <definedName name="XRefPaste161" localSheetId="4" hidden="1">#REF!</definedName>
    <definedName name="XRefPaste161" localSheetId="16" hidden="1">#REF!</definedName>
    <definedName name="XRefPaste161" hidden="1">#REF!</definedName>
    <definedName name="XRefPaste161Row" localSheetId="4" hidden="1">#REF!</definedName>
    <definedName name="XRefPaste161Row" localSheetId="16" hidden="1">#REF!</definedName>
    <definedName name="XRefPaste161Row" hidden="1">#REF!</definedName>
    <definedName name="XRefPaste162" localSheetId="4" hidden="1">#REF!</definedName>
    <definedName name="XRefPaste162" localSheetId="16" hidden="1">#REF!</definedName>
    <definedName name="XRefPaste162" hidden="1">#REF!</definedName>
    <definedName name="XRefPaste162Row" localSheetId="4" hidden="1">#REF!</definedName>
    <definedName name="XRefPaste162Row" localSheetId="16" hidden="1">#REF!</definedName>
    <definedName name="XRefPaste162Row" hidden="1">#REF!</definedName>
    <definedName name="XRefPaste163" localSheetId="4" hidden="1">#REF!</definedName>
    <definedName name="XRefPaste163" localSheetId="16" hidden="1">#REF!</definedName>
    <definedName name="XRefPaste163" hidden="1">#REF!</definedName>
    <definedName name="XRefPaste163Row" localSheetId="4" hidden="1">#REF!</definedName>
    <definedName name="XRefPaste163Row" localSheetId="16" hidden="1">#REF!</definedName>
    <definedName name="XRefPaste163Row" hidden="1">#REF!</definedName>
    <definedName name="XRefPaste164" localSheetId="4" hidden="1">#REF!</definedName>
    <definedName name="XRefPaste164" localSheetId="16" hidden="1">#REF!</definedName>
    <definedName name="XRefPaste164" hidden="1">#REF!</definedName>
    <definedName name="XRefPaste164Row" localSheetId="4" hidden="1">#REF!</definedName>
    <definedName name="XRefPaste164Row" localSheetId="16" hidden="1">#REF!</definedName>
    <definedName name="XRefPaste164Row" hidden="1">#REF!</definedName>
    <definedName name="XRefPaste165" localSheetId="4" hidden="1">#REF!</definedName>
    <definedName name="XRefPaste165" localSheetId="16" hidden="1">#REF!</definedName>
    <definedName name="XRefPaste165" hidden="1">#REF!</definedName>
    <definedName name="XRefPaste165Row" localSheetId="4" hidden="1">#REF!</definedName>
    <definedName name="XRefPaste165Row" localSheetId="16" hidden="1">#REF!</definedName>
    <definedName name="XRefPaste165Row" hidden="1">#REF!</definedName>
    <definedName name="XRefPaste166" localSheetId="4" hidden="1">#REF!</definedName>
    <definedName name="XRefPaste166" localSheetId="16" hidden="1">#REF!</definedName>
    <definedName name="XRefPaste166" hidden="1">#REF!</definedName>
    <definedName name="XRefPaste166Row" localSheetId="4" hidden="1">#REF!</definedName>
    <definedName name="XRefPaste166Row" localSheetId="16" hidden="1">#REF!</definedName>
    <definedName name="XRefPaste166Row" hidden="1">#REF!</definedName>
    <definedName name="XRefPaste167" localSheetId="4" hidden="1">#REF!</definedName>
    <definedName name="XRefPaste167" localSheetId="16" hidden="1">#REF!</definedName>
    <definedName name="XRefPaste167" hidden="1">#REF!</definedName>
    <definedName name="XRefPaste167Row" localSheetId="4" hidden="1">#REF!</definedName>
    <definedName name="XRefPaste167Row" localSheetId="16" hidden="1">#REF!</definedName>
    <definedName name="XRefPaste167Row" hidden="1">#REF!</definedName>
    <definedName name="XRefPaste168" localSheetId="4" hidden="1">#REF!</definedName>
    <definedName name="XRefPaste168" localSheetId="16" hidden="1">#REF!</definedName>
    <definedName name="XRefPaste168" hidden="1">#REF!</definedName>
    <definedName name="XRefPaste168Row" localSheetId="4" hidden="1">#REF!</definedName>
    <definedName name="XRefPaste168Row" localSheetId="16" hidden="1">#REF!</definedName>
    <definedName name="XRefPaste168Row" hidden="1">#REF!</definedName>
    <definedName name="XRefPaste169" localSheetId="4" hidden="1">#REF!</definedName>
    <definedName name="XRefPaste169" localSheetId="16" hidden="1">#REF!</definedName>
    <definedName name="XRefPaste169" hidden="1">#REF!</definedName>
    <definedName name="XRefPaste169Row" localSheetId="4" hidden="1">#REF!</definedName>
    <definedName name="XRefPaste169Row" localSheetId="16" hidden="1">#REF!</definedName>
    <definedName name="XRefPaste169Row" hidden="1">#REF!</definedName>
    <definedName name="XRefPaste16Row" localSheetId="4" hidden="1">#REF!</definedName>
    <definedName name="XRefPaste16Row" localSheetId="16" hidden="1">#REF!</definedName>
    <definedName name="XRefPaste16Row" hidden="1">#REF!</definedName>
    <definedName name="XRefPaste17" localSheetId="4" hidden="1">#REF!</definedName>
    <definedName name="XRefPaste17" localSheetId="16" hidden="1">#REF!</definedName>
    <definedName name="XRefPaste17" hidden="1">#REF!</definedName>
    <definedName name="XRefPaste170" localSheetId="4" hidden="1">#REF!</definedName>
    <definedName name="XRefPaste170" localSheetId="16" hidden="1">#REF!</definedName>
    <definedName name="XRefPaste170" hidden="1">#REF!</definedName>
    <definedName name="XRefPaste170Row" localSheetId="4" hidden="1">#REF!</definedName>
    <definedName name="XRefPaste170Row" localSheetId="16" hidden="1">#REF!</definedName>
    <definedName name="XRefPaste170Row" hidden="1">#REF!</definedName>
    <definedName name="XRefPaste171" localSheetId="4" hidden="1">#REF!</definedName>
    <definedName name="XRefPaste171" localSheetId="16" hidden="1">#REF!</definedName>
    <definedName name="XRefPaste171" hidden="1">#REF!</definedName>
    <definedName name="XRefPaste171Row" localSheetId="4" hidden="1">#REF!</definedName>
    <definedName name="XRefPaste171Row" localSheetId="16" hidden="1">#REF!</definedName>
    <definedName name="XRefPaste171Row" hidden="1">#REF!</definedName>
    <definedName name="XRefPaste172" localSheetId="4" hidden="1">#REF!</definedName>
    <definedName name="XRefPaste172" localSheetId="16" hidden="1">#REF!</definedName>
    <definedName name="XRefPaste172" hidden="1">#REF!</definedName>
    <definedName name="XRefPaste172Row" localSheetId="4" hidden="1">#REF!</definedName>
    <definedName name="XRefPaste172Row" localSheetId="16" hidden="1">#REF!</definedName>
    <definedName name="XRefPaste172Row" hidden="1">#REF!</definedName>
    <definedName name="XRefPaste173" localSheetId="4" hidden="1">#REF!</definedName>
    <definedName name="XRefPaste173" localSheetId="16" hidden="1">#REF!</definedName>
    <definedName name="XRefPaste173" hidden="1">#REF!</definedName>
    <definedName name="XRefPaste173Row" localSheetId="4" hidden="1">#REF!</definedName>
    <definedName name="XRefPaste173Row" localSheetId="16" hidden="1">#REF!</definedName>
    <definedName name="XRefPaste173Row" hidden="1">#REF!</definedName>
    <definedName name="XRefPaste174" localSheetId="4" hidden="1">#REF!</definedName>
    <definedName name="XRefPaste174" localSheetId="16" hidden="1">#REF!</definedName>
    <definedName name="XRefPaste174" hidden="1">#REF!</definedName>
    <definedName name="XRefPaste174Row" localSheetId="4" hidden="1">#REF!</definedName>
    <definedName name="XRefPaste174Row" localSheetId="16" hidden="1">#REF!</definedName>
    <definedName name="XRefPaste174Row" hidden="1">#REF!</definedName>
    <definedName name="XRefPaste175" localSheetId="4" hidden="1">#REF!</definedName>
    <definedName name="XRefPaste175" localSheetId="16" hidden="1">#REF!</definedName>
    <definedName name="XRefPaste175" hidden="1">#REF!</definedName>
    <definedName name="XRefPaste175Row" localSheetId="4" hidden="1">#REF!</definedName>
    <definedName name="XRefPaste175Row" localSheetId="16" hidden="1">#REF!</definedName>
    <definedName name="XRefPaste175Row" hidden="1">#REF!</definedName>
    <definedName name="XRefPaste176" localSheetId="4" hidden="1">#REF!</definedName>
    <definedName name="XRefPaste176" localSheetId="16" hidden="1">#REF!</definedName>
    <definedName name="XRefPaste176" hidden="1">#REF!</definedName>
    <definedName name="XRefPaste176Row" localSheetId="4" hidden="1">#REF!</definedName>
    <definedName name="XRefPaste176Row" localSheetId="16" hidden="1">#REF!</definedName>
    <definedName name="XRefPaste176Row" hidden="1">#REF!</definedName>
    <definedName name="XRefPaste177" localSheetId="4" hidden="1">#REF!</definedName>
    <definedName name="XRefPaste177" localSheetId="16" hidden="1">#REF!</definedName>
    <definedName name="XRefPaste177" hidden="1">#REF!</definedName>
    <definedName name="XRefPaste177Row" localSheetId="4" hidden="1">#REF!</definedName>
    <definedName name="XRefPaste177Row" localSheetId="16" hidden="1">#REF!</definedName>
    <definedName name="XRefPaste177Row" hidden="1">#REF!</definedName>
    <definedName name="XRefPaste179" localSheetId="4" hidden="1">#REF!</definedName>
    <definedName name="XRefPaste179" localSheetId="16" hidden="1">#REF!</definedName>
    <definedName name="XRefPaste179" hidden="1">#REF!</definedName>
    <definedName name="XRefPaste179Row" localSheetId="4" hidden="1">#REF!</definedName>
    <definedName name="XRefPaste179Row" localSheetId="16" hidden="1">#REF!</definedName>
    <definedName name="XRefPaste179Row" hidden="1">#REF!</definedName>
    <definedName name="XRefPaste17Row" localSheetId="4" hidden="1">#REF!</definedName>
    <definedName name="XRefPaste17Row" localSheetId="16" hidden="1">#REF!</definedName>
    <definedName name="XRefPaste17Row" hidden="1">#REF!</definedName>
    <definedName name="XRefPaste18" localSheetId="4" hidden="1">#REF!</definedName>
    <definedName name="XRefPaste18" localSheetId="16" hidden="1">#REF!</definedName>
    <definedName name="XRefPaste18" hidden="1">#REF!</definedName>
    <definedName name="XRefPaste180" localSheetId="4" hidden="1">#REF!</definedName>
    <definedName name="XRefPaste180" localSheetId="16" hidden="1">#REF!</definedName>
    <definedName name="XRefPaste180" hidden="1">#REF!</definedName>
    <definedName name="XRefPaste180Row" localSheetId="4" hidden="1">#REF!</definedName>
    <definedName name="XRefPaste180Row" localSheetId="16" hidden="1">#REF!</definedName>
    <definedName name="XRefPaste180Row" hidden="1">#REF!</definedName>
    <definedName name="XRefPaste181" localSheetId="4" hidden="1">#REF!</definedName>
    <definedName name="XRefPaste181" localSheetId="16" hidden="1">#REF!</definedName>
    <definedName name="XRefPaste181" hidden="1">#REF!</definedName>
    <definedName name="XRefPaste181Row" localSheetId="4" hidden="1">#REF!</definedName>
    <definedName name="XRefPaste181Row" localSheetId="16" hidden="1">#REF!</definedName>
    <definedName name="XRefPaste181Row" hidden="1">#REF!</definedName>
    <definedName name="XRefPaste182" localSheetId="4" hidden="1">#REF!</definedName>
    <definedName name="XRefPaste182" localSheetId="16" hidden="1">#REF!</definedName>
    <definedName name="XRefPaste182" hidden="1">#REF!</definedName>
    <definedName name="XRefPaste182Row" localSheetId="4" hidden="1">#REF!</definedName>
    <definedName name="XRefPaste182Row" localSheetId="16" hidden="1">#REF!</definedName>
    <definedName name="XRefPaste182Row" hidden="1">#REF!</definedName>
    <definedName name="XRefPaste183" localSheetId="4" hidden="1">#REF!</definedName>
    <definedName name="XRefPaste183" localSheetId="16" hidden="1">#REF!</definedName>
    <definedName name="XRefPaste183" hidden="1">#REF!</definedName>
    <definedName name="XRefPaste183Row" localSheetId="4" hidden="1">#REF!</definedName>
    <definedName name="XRefPaste183Row" localSheetId="16" hidden="1">#REF!</definedName>
    <definedName name="XRefPaste183Row" hidden="1">#REF!</definedName>
    <definedName name="XRefPaste184" localSheetId="4" hidden="1">#REF!</definedName>
    <definedName name="XRefPaste184" localSheetId="16" hidden="1">#REF!</definedName>
    <definedName name="XRefPaste184" hidden="1">#REF!</definedName>
    <definedName name="XRefPaste184Row" localSheetId="4" hidden="1">#REF!</definedName>
    <definedName name="XRefPaste184Row" localSheetId="16" hidden="1">#REF!</definedName>
    <definedName name="XRefPaste184Row" hidden="1">#REF!</definedName>
    <definedName name="XRefPaste185" localSheetId="4" hidden="1">#REF!</definedName>
    <definedName name="XRefPaste185" localSheetId="16" hidden="1">#REF!</definedName>
    <definedName name="XRefPaste185" hidden="1">#REF!</definedName>
    <definedName name="XRefPaste185Row" localSheetId="4" hidden="1">#REF!</definedName>
    <definedName name="XRefPaste185Row" localSheetId="16" hidden="1">#REF!</definedName>
    <definedName name="XRefPaste185Row" hidden="1">#REF!</definedName>
    <definedName name="XRefPaste186" localSheetId="4" hidden="1">#REF!</definedName>
    <definedName name="XRefPaste186" localSheetId="16" hidden="1">#REF!</definedName>
    <definedName name="XRefPaste186" hidden="1">#REF!</definedName>
    <definedName name="XRefPaste186Row" localSheetId="4" hidden="1">#REF!</definedName>
    <definedName name="XRefPaste186Row" localSheetId="16" hidden="1">#REF!</definedName>
    <definedName name="XRefPaste186Row" hidden="1">#REF!</definedName>
    <definedName name="XRefPaste187" localSheetId="4" hidden="1">#REF!</definedName>
    <definedName name="XRefPaste187" localSheetId="16" hidden="1">#REF!</definedName>
    <definedName name="XRefPaste187" hidden="1">#REF!</definedName>
    <definedName name="XRefPaste187Row" localSheetId="4" hidden="1">#REF!</definedName>
    <definedName name="XRefPaste187Row" localSheetId="16" hidden="1">#REF!</definedName>
    <definedName name="XRefPaste187Row" hidden="1">#REF!</definedName>
    <definedName name="XRefPaste188" localSheetId="4" hidden="1">#REF!</definedName>
    <definedName name="XRefPaste188" localSheetId="16" hidden="1">#REF!</definedName>
    <definedName name="XRefPaste188" hidden="1">#REF!</definedName>
    <definedName name="XRefPaste188Row" localSheetId="4" hidden="1">#REF!</definedName>
    <definedName name="XRefPaste188Row" localSheetId="16" hidden="1">#REF!</definedName>
    <definedName name="XRefPaste188Row" hidden="1">#REF!</definedName>
    <definedName name="XRefPaste189" localSheetId="4" hidden="1">#REF!</definedName>
    <definedName name="XRefPaste189" localSheetId="16" hidden="1">#REF!</definedName>
    <definedName name="XRefPaste189" hidden="1">#REF!</definedName>
    <definedName name="XRefPaste189Row" localSheetId="4" hidden="1">#REF!</definedName>
    <definedName name="XRefPaste189Row" localSheetId="16" hidden="1">#REF!</definedName>
    <definedName name="XRefPaste189Row" hidden="1">#REF!</definedName>
    <definedName name="XRefPaste18Row" localSheetId="4" hidden="1">#REF!</definedName>
    <definedName name="XRefPaste18Row" localSheetId="16" hidden="1">#REF!</definedName>
    <definedName name="XRefPaste18Row" hidden="1">#REF!</definedName>
    <definedName name="XRefPaste19" localSheetId="4" hidden="1">#REF!</definedName>
    <definedName name="XRefPaste19" localSheetId="16" hidden="1">#REF!</definedName>
    <definedName name="XRefPaste19" hidden="1">#REF!</definedName>
    <definedName name="XRefPaste190" localSheetId="4" hidden="1">#REF!</definedName>
    <definedName name="XRefPaste190" localSheetId="16" hidden="1">#REF!</definedName>
    <definedName name="XRefPaste190" hidden="1">#REF!</definedName>
    <definedName name="XRefPaste190Row" localSheetId="4" hidden="1">[40]XREF!#REF!</definedName>
    <definedName name="XRefPaste190Row" localSheetId="16" hidden="1">[40]XREF!#REF!</definedName>
    <definedName name="XRefPaste190Row" hidden="1">[40]XREF!#REF!</definedName>
    <definedName name="XRefPaste191" localSheetId="4" hidden="1">#REF!</definedName>
    <definedName name="XRefPaste191" localSheetId="16" hidden="1">#REF!</definedName>
    <definedName name="XRefPaste191" hidden="1">#REF!</definedName>
    <definedName name="XRefPaste191Row" localSheetId="4" hidden="1">[40]XREF!#REF!</definedName>
    <definedName name="XRefPaste191Row" localSheetId="16" hidden="1">[40]XREF!#REF!</definedName>
    <definedName name="XRefPaste191Row" hidden="1">[40]XREF!#REF!</definedName>
    <definedName name="XRefPaste192" localSheetId="4" hidden="1">#REF!</definedName>
    <definedName name="XRefPaste192" localSheetId="16" hidden="1">#REF!</definedName>
    <definedName name="XRefPaste192" hidden="1">#REF!</definedName>
    <definedName name="XRefPaste192Row" localSheetId="4" hidden="1">[40]XREF!#REF!</definedName>
    <definedName name="XRefPaste192Row" localSheetId="16" hidden="1">[40]XREF!#REF!</definedName>
    <definedName name="XRefPaste192Row" hidden="1">[40]XREF!#REF!</definedName>
    <definedName name="XRefPaste193" localSheetId="4" hidden="1">#REF!</definedName>
    <definedName name="XRefPaste193" localSheetId="16" hidden="1">#REF!</definedName>
    <definedName name="XRefPaste193" hidden="1">#REF!</definedName>
    <definedName name="XRefPaste193Row" localSheetId="4" hidden="1">[40]XREF!#REF!</definedName>
    <definedName name="XRefPaste193Row" localSheetId="16" hidden="1">[40]XREF!#REF!</definedName>
    <definedName name="XRefPaste193Row" hidden="1">[40]XREF!#REF!</definedName>
    <definedName name="XRefPaste194" localSheetId="4" hidden="1">#REF!</definedName>
    <definedName name="XRefPaste194" localSheetId="16" hidden="1">#REF!</definedName>
    <definedName name="XRefPaste194" hidden="1">#REF!</definedName>
    <definedName name="XRefPaste194Row" localSheetId="4" hidden="1">[40]XREF!#REF!</definedName>
    <definedName name="XRefPaste194Row" localSheetId="16" hidden="1">[40]XREF!#REF!</definedName>
    <definedName name="XRefPaste194Row" hidden="1">[40]XREF!#REF!</definedName>
    <definedName name="XRefPaste195" localSheetId="4" hidden="1">#REF!</definedName>
    <definedName name="XRefPaste195" localSheetId="16" hidden="1">#REF!</definedName>
    <definedName name="XRefPaste195" hidden="1">#REF!</definedName>
    <definedName name="XRefPaste195Row" localSheetId="4" hidden="1">[40]XREF!#REF!</definedName>
    <definedName name="XRefPaste195Row" localSheetId="16" hidden="1">[40]XREF!#REF!</definedName>
    <definedName name="XRefPaste195Row" hidden="1">[40]XREF!#REF!</definedName>
    <definedName name="XRefPaste196" localSheetId="4" hidden="1">#REF!</definedName>
    <definedName name="XRefPaste196" localSheetId="16" hidden="1">#REF!</definedName>
    <definedName name="XRefPaste196" hidden="1">#REF!</definedName>
    <definedName name="XRefPaste196Row" localSheetId="4" hidden="1">[40]XREF!#REF!</definedName>
    <definedName name="XRefPaste196Row" localSheetId="16" hidden="1">[40]XREF!#REF!</definedName>
    <definedName name="XRefPaste196Row" hidden="1">[40]XREF!#REF!</definedName>
    <definedName name="XRefPaste197" localSheetId="4" hidden="1">#REF!</definedName>
    <definedName name="XRefPaste197" localSheetId="16" hidden="1">#REF!</definedName>
    <definedName name="XRefPaste197" hidden="1">#REF!</definedName>
    <definedName name="XRefPaste197Row" localSheetId="4" hidden="1">[40]XREF!#REF!</definedName>
    <definedName name="XRefPaste197Row" localSheetId="16" hidden="1">[40]XREF!#REF!</definedName>
    <definedName name="XRefPaste197Row" hidden="1">[40]XREF!#REF!</definedName>
    <definedName name="XRefPaste198" localSheetId="4" hidden="1">#REF!</definedName>
    <definedName name="XRefPaste198" localSheetId="16" hidden="1">#REF!</definedName>
    <definedName name="XRefPaste198" hidden="1">#REF!</definedName>
    <definedName name="XRefPaste198Row" localSheetId="4" hidden="1">[40]XREF!#REF!</definedName>
    <definedName name="XRefPaste198Row" localSheetId="16" hidden="1">[40]XREF!#REF!</definedName>
    <definedName name="XRefPaste198Row" hidden="1">[40]XREF!#REF!</definedName>
    <definedName name="XRefPaste199" localSheetId="4" hidden="1">#REF!</definedName>
    <definedName name="XRefPaste199" localSheetId="16" hidden="1">#REF!</definedName>
    <definedName name="XRefPaste199" hidden="1">#REF!</definedName>
    <definedName name="XRefPaste199Row" localSheetId="4" hidden="1">[40]XREF!#REF!</definedName>
    <definedName name="XRefPaste199Row" localSheetId="16" hidden="1">[40]XREF!#REF!</definedName>
    <definedName name="XRefPaste199Row" hidden="1">[40]XREF!#REF!</definedName>
    <definedName name="XRefPaste19Row" localSheetId="4" hidden="1">#REF!</definedName>
    <definedName name="XRefPaste19Row" localSheetId="16" hidden="1">#REF!</definedName>
    <definedName name="XRefPaste19Row" hidden="1">#REF!</definedName>
    <definedName name="XRefPaste1Row" localSheetId="4" hidden="1">#REF!</definedName>
    <definedName name="XRefPaste1Row" localSheetId="16" hidden="1">#REF!</definedName>
    <definedName name="XRefPaste1Row" hidden="1">#REF!</definedName>
    <definedName name="XRefPaste2" localSheetId="4" hidden="1">'[35].3 법인세부담액계산'!#REF!</definedName>
    <definedName name="XRefPaste2" localSheetId="16" hidden="1">'[35].3 법인세부담액계산'!#REF!</definedName>
    <definedName name="XRefPaste2" hidden="1">'[35].3 법인세부담액계산'!#REF!</definedName>
    <definedName name="XRefPaste20" localSheetId="4" hidden="1">#REF!</definedName>
    <definedName name="XRefPaste20" localSheetId="16" hidden="1">#REF!</definedName>
    <definedName name="XRefPaste20" hidden="1">#REF!</definedName>
    <definedName name="XRefPaste200" localSheetId="4" hidden="1">#REF!</definedName>
    <definedName name="XRefPaste200" localSheetId="16" hidden="1">#REF!</definedName>
    <definedName name="XRefPaste200" hidden="1">#REF!</definedName>
    <definedName name="XRefPaste200Row" localSheetId="4" hidden="1">[40]XREF!#REF!</definedName>
    <definedName name="XRefPaste200Row" localSheetId="16" hidden="1">[40]XREF!#REF!</definedName>
    <definedName name="XRefPaste200Row" hidden="1">[40]XREF!#REF!</definedName>
    <definedName name="XRefPaste201" localSheetId="4" hidden="1">#REF!</definedName>
    <definedName name="XRefPaste201" localSheetId="16" hidden="1">#REF!</definedName>
    <definedName name="XRefPaste201" hidden="1">#REF!</definedName>
    <definedName name="XRefPaste201Row" localSheetId="4" hidden="1">[40]XREF!#REF!</definedName>
    <definedName name="XRefPaste201Row" localSheetId="16" hidden="1">[40]XREF!#REF!</definedName>
    <definedName name="XRefPaste201Row" hidden="1">[40]XREF!#REF!</definedName>
    <definedName name="XRefPaste202" localSheetId="4" hidden="1">#REF!</definedName>
    <definedName name="XRefPaste202" localSheetId="16" hidden="1">#REF!</definedName>
    <definedName name="XRefPaste202" hidden="1">#REF!</definedName>
    <definedName name="XRefPaste202Row" localSheetId="4" hidden="1">[40]XREF!#REF!</definedName>
    <definedName name="XRefPaste202Row" localSheetId="16" hidden="1">[40]XREF!#REF!</definedName>
    <definedName name="XRefPaste202Row" hidden="1">[40]XREF!#REF!</definedName>
    <definedName name="XRefPaste203" localSheetId="4" hidden="1">#REF!</definedName>
    <definedName name="XRefPaste203" localSheetId="16" hidden="1">#REF!</definedName>
    <definedName name="XRefPaste203" hidden="1">#REF!</definedName>
    <definedName name="XRefPaste203Row" localSheetId="4" hidden="1">[40]XREF!#REF!</definedName>
    <definedName name="XRefPaste203Row" localSheetId="16" hidden="1">[40]XREF!#REF!</definedName>
    <definedName name="XRefPaste203Row" hidden="1">[40]XREF!#REF!</definedName>
    <definedName name="XRefPaste204" localSheetId="4" hidden="1">#REF!</definedName>
    <definedName name="XRefPaste204" localSheetId="16" hidden="1">#REF!</definedName>
    <definedName name="XRefPaste204" hidden="1">#REF!</definedName>
    <definedName name="XRefPaste204Row" localSheetId="4" hidden="1">[40]XREF!#REF!</definedName>
    <definedName name="XRefPaste204Row" localSheetId="16" hidden="1">[40]XREF!#REF!</definedName>
    <definedName name="XRefPaste204Row" hidden="1">[40]XREF!#REF!</definedName>
    <definedName name="XRefPaste205" localSheetId="4" hidden="1">#REF!</definedName>
    <definedName name="XRefPaste205" localSheetId="16" hidden="1">#REF!</definedName>
    <definedName name="XRefPaste205" hidden="1">#REF!</definedName>
    <definedName name="XRefPaste205Row" localSheetId="4" hidden="1">[40]XREF!#REF!</definedName>
    <definedName name="XRefPaste205Row" localSheetId="16" hidden="1">[40]XREF!#REF!</definedName>
    <definedName name="XRefPaste205Row" hidden="1">[40]XREF!#REF!</definedName>
    <definedName name="XRefPaste206" localSheetId="4" hidden="1">#REF!</definedName>
    <definedName name="XRefPaste206" localSheetId="16" hidden="1">#REF!</definedName>
    <definedName name="XRefPaste206" hidden="1">#REF!</definedName>
    <definedName name="XRefPaste206Row" localSheetId="4" hidden="1">[40]XREF!#REF!</definedName>
    <definedName name="XRefPaste206Row" localSheetId="16" hidden="1">[40]XREF!#REF!</definedName>
    <definedName name="XRefPaste206Row" hidden="1">[40]XREF!#REF!</definedName>
    <definedName name="XRefPaste207" localSheetId="4" hidden="1">#REF!</definedName>
    <definedName name="XRefPaste207" localSheetId="16" hidden="1">#REF!</definedName>
    <definedName name="XRefPaste207" hidden="1">#REF!</definedName>
    <definedName name="XRefPaste207Row" localSheetId="4" hidden="1">[40]XREF!#REF!</definedName>
    <definedName name="XRefPaste207Row" localSheetId="16" hidden="1">[40]XREF!#REF!</definedName>
    <definedName name="XRefPaste207Row" hidden="1">[40]XREF!#REF!</definedName>
    <definedName name="XRefPaste208" localSheetId="4" hidden="1">#REF!</definedName>
    <definedName name="XRefPaste208" localSheetId="16" hidden="1">#REF!</definedName>
    <definedName name="XRefPaste208" hidden="1">#REF!</definedName>
    <definedName name="XRefPaste208Row" localSheetId="4" hidden="1">[40]XREF!#REF!</definedName>
    <definedName name="XRefPaste208Row" localSheetId="16" hidden="1">[40]XREF!#REF!</definedName>
    <definedName name="XRefPaste208Row" hidden="1">[40]XREF!#REF!</definedName>
    <definedName name="XRefPaste209" localSheetId="4" hidden="1">#REF!</definedName>
    <definedName name="XRefPaste209" localSheetId="16" hidden="1">#REF!</definedName>
    <definedName name="XRefPaste209" hidden="1">#REF!</definedName>
    <definedName name="XRefPaste209Row" localSheetId="4" hidden="1">[40]XREF!#REF!</definedName>
    <definedName name="XRefPaste209Row" localSheetId="16" hidden="1">[40]XREF!#REF!</definedName>
    <definedName name="XRefPaste209Row" hidden="1">[40]XREF!#REF!</definedName>
    <definedName name="XRefPaste20Row" localSheetId="4" hidden="1">#REF!</definedName>
    <definedName name="XRefPaste20Row" localSheetId="16" hidden="1">#REF!</definedName>
    <definedName name="XRefPaste20Row" hidden="1">#REF!</definedName>
    <definedName name="XRefPaste21" localSheetId="4" hidden="1">#REF!</definedName>
    <definedName name="XRefPaste21" localSheetId="16" hidden="1">#REF!</definedName>
    <definedName name="XRefPaste21" hidden="1">#REF!</definedName>
    <definedName name="XRefPaste210" localSheetId="4" hidden="1">#REF!</definedName>
    <definedName name="XRefPaste210" localSheetId="16" hidden="1">#REF!</definedName>
    <definedName name="XRefPaste210" hidden="1">#REF!</definedName>
    <definedName name="XRefPaste210Row" localSheetId="4" hidden="1">[40]XREF!#REF!</definedName>
    <definedName name="XRefPaste210Row" localSheetId="16" hidden="1">[40]XREF!#REF!</definedName>
    <definedName name="XRefPaste210Row" hidden="1">[40]XREF!#REF!</definedName>
    <definedName name="XRefPaste211" localSheetId="4" hidden="1">#REF!</definedName>
    <definedName name="XRefPaste211" localSheetId="16" hidden="1">#REF!</definedName>
    <definedName name="XRefPaste211" hidden="1">#REF!</definedName>
    <definedName name="XRefPaste211Row" localSheetId="4" hidden="1">[40]XREF!#REF!</definedName>
    <definedName name="XRefPaste211Row" localSheetId="16" hidden="1">[40]XREF!#REF!</definedName>
    <definedName name="XRefPaste211Row" hidden="1">[40]XREF!#REF!</definedName>
    <definedName name="XRefPaste212" localSheetId="4" hidden="1">#REF!</definedName>
    <definedName name="XRefPaste212" localSheetId="16" hidden="1">#REF!</definedName>
    <definedName name="XRefPaste212" hidden="1">#REF!</definedName>
    <definedName name="XRefPaste212Row" localSheetId="4" hidden="1">[40]XREF!#REF!</definedName>
    <definedName name="XRefPaste212Row" localSheetId="16" hidden="1">[40]XREF!#REF!</definedName>
    <definedName name="XRefPaste212Row" hidden="1">[40]XREF!#REF!</definedName>
    <definedName name="XRefPaste213" localSheetId="4" hidden="1">#REF!</definedName>
    <definedName name="XRefPaste213" localSheetId="16" hidden="1">#REF!</definedName>
    <definedName name="XRefPaste213" hidden="1">#REF!</definedName>
    <definedName name="XRefPaste213Row" localSheetId="4" hidden="1">[40]XREF!#REF!</definedName>
    <definedName name="XRefPaste213Row" localSheetId="16" hidden="1">[40]XREF!#REF!</definedName>
    <definedName name="XRefPaste213Row" hidden="1">[40]XREF!#REF!</definedName>
    <definedName name="XRefPaste214" localSheetId="4" hidden="1">#REF!</definedName>
    <definedName name="XRefPaste214" localSheetId="16" hidden="1">#REF!</definedName>
    <definedName name="XRefPaste214" hidden="1">#REF!</definedName>
    <definedName name="XRefPaste214Row" localSheetId="4" hidden="1">[40]XREF!#REF!</definedName>
    <definedName name="XRefPaste214Row" localSheetId="16" hidden="1">[40]XREF!#REF!</definedName>
    <definedName name="XRefPaste214Row" hidden="1">[40]XREF!#REF!</definedName>
    <definedName name="XRefPaste215" localSheetId="4" hidden="1">#REF!</definedName>
    <definedName name="XRefPaste215" localSheetId="16" hidden="1">#REF!</definedName>
    <definedName name="XRefPaste215" hidden="1">#REF!</definedName>
    <definedName name="XRefPaste215Row" localSheetId="4" hidden="1">[40]XREF!#REF!</definedName>
    <definedName name="XRefPaste215Row" localSheetId="16" hidden="1">[40]XREF!#REF!</definedName>
    <definedName name="XRefPaste215Row" hidden="1">[40]XREF!#REF!</definedName>
    <definedName name="XRefPaste216" localSheetId="4" hidden="1">#REF!</definedName>
    <definedName name="XRefPaste216" localSheetId="16" hidden="1">#REF!</definedName>
    <definedName name="XRefPaste216" hidden="1">#REF!</definedName>
    <definedName name="XRefPaste216Row" localSheetId="4" hidden="1">[40]XREF!#REF!</definedName>
    <definedName name="XRefPaste216Row" localSheetId="16" hidden="1">[40]XREF!#REF!</definedName>
    <definedName name="XRefPaste216Row" hidden="1">[40]XREF!#REF!</definedName>
    <definedName name="XRefPaste217" localSheetId="4" hidden="1">#REF!</definedName>
    <definedName name="XRefPaste217" localSheetId="16" hidden="1">#REF!</definedName>
    <definedName name="XRefPaste217" hidden="1">#REF!</definedName>
    <definedName name="XRefPaste217Row" localSheetId="4" hidden="1">[40]XREF!#REF!</definedName>
    <definedName name="XRefPaste217Row" localSheetId="16" hidden="1">[40]XREF!#REF!</definedName>
    <definedName name="XRefPaste217Row" hidden="1">[40]XREF!#REF!</definedName>
    <definedName name="XRefPaste218" localSheetId="4" hidden="1">#REF!</definedName>
    <definedName name="XRefPaste218" localSheetId="16" hidden="1">#REF!</definedName>
    <definedName name="XRefPaste218" hidden="1">#REF!</definedName>
    <definedName name="XRefPaste218Row" localSheetId="4" hidden="1">[40]XREF!#REF!</definedName>
    <definedName name="XRefPaste218Row" localSheetId="16" hidden="1">[40]XREF!#REF!</definedName>
    <definedName name="XRefPaste218Row" hidden="1">[40]XREF!#REF!</definedName>
    <definedName name="XRefPaste219" localSheetId="4" hidden="1">#REF!</definedName>
    <definedName name="XRefPaste219" localSheetId="16" hidden="1">#REF!</definedName>
    <definedName name="XRefPaste219" hidden="1">#REF!</definedName>
    <definedName name="XRefPaste219Row" localSheetId="4" hidden="1">[40]XREF!#REF!</definedName>
    <definedName name="XRefPaste219Row" localSheetId="16" hidden="1">[40]XREF!#REF!</definedName>
    <definedName name="XRefPaste219Row" hidden="1">[40]XREF!#REF!</definedName>
    <definedName name="XRefPaste21Row" localSheetId="4" hidden="1">#REF!</definedName>
    <definedName name="XRefPaste21Row" localSheetId="16" hidden="1">#REF!</definedName>
    <definedName name="XRefPaste21Row" hidden="1">#REF!</definedName>
    <definedName name="XRefPaste22" localSheetId="4" hidden="1">#REF!</definedName>
    <definedName name="XRefPaste22" localSheetId="16" hidden="1">#REF!</definedName>
    <definedName name="XRefPaste22" hidden="1">#REF!</definedName>
    <definedName name="XRefPaste220" localSheetId="4" hidden="1">#REF!</definedName>
    <definedName name="XRefPaste220" localSheetId="16" hidden="1">#REF!</definedName>
    <definedName name="XRefPaste220" hidden="1">#REF!</definedName>
    <definedName name="XRefPaste220Row" localSheetId="4" hidden="1">[40]XREF!#REF!</definedName>
    <definedName name="XRefPaste220Row" localSheetId="16" hidden="1">[40]XREF!#REF!</definedName>
    <definedName name="XRefPaste220Row" hidden="1">[40]XREF!#REF!</definedName>
    <definedName name="XRefPaste221" localSheetId="4" hidden="1">#REF!</definedName>
    <definedName name="XRefPaste221" localSheetId="16" hidden="1">#REF!</definedName>
    <definedName name="XRefPaste221" hidden="1">#REF!</definedName>
    <definedName name="XRefPaste221Row" localSheetId="4" hidden="1">[40]XREF!#REF!</definedName>
    <definedName name="XRefPaste221Row" localSheetId="16" hidden="1">[40]XREF!#REF!</definedName>
    <definedName name="XRefPaste221Row" hidden="1">[40]XREF!#REF!</definedName>
    <definedName name="XRefPaste222" localSheetId="4" hidden="1">'[40]TB(PL)'!#REF!</definedName>
    <definedName name="XRefPaste222" localSheetId="16" hidden="1">'[40]TB(PL)'!#REF!</definedName>
    <definedName name="XRefPaste222" hidden="1">'[40]TB(PL)'!#REF!</definedName>
    <definedName name="XRefPaste222Row" localSheetId="4" hidden="1">[40]XREF!#REF!</definedName>
    <definedName name="XRefPaste222Row" localSheetId="16" hidden="1">[40]XREF!#REF!</definedName>
    <definedName name="XRefPaste222Row" hidden="1">[40]XREF!#REF!</definedName>
    <definedName name="XRefPaste223" localSheetId="4" hidden="1">'[40]TB(PL)'!#REF!</definedName>
    <definedName name="XRefPaste223" localSheetId="16" hidden="1">'[40]TB(PL)'!#REF!</definedName>
    <definedName name="XRefPaste223" hidden="1">'[40]TB(PL)'!#REF!</definedName>
    <definedName name="XRefPaste223Row" localSheetId="4" hidden="1">[40]XREF!#REF!</definedName>
    <definedName name="XRefPaste223Row" localSheetId="16" hidden="1">[40]XREF!#REF!</definedName>
    <definedName name="XRefPaste223Row" hidden="1">[40]XREF!#REF!</definedName>
    <definedName name="XRefPaste224" localSheetId="4" hidden="1">'[40]TB(PL)'!#REF!</definedName>
    <definedName name="XRefPaste224" localSheetId="16" hidden="1">'[40]TB(PL)'!#REF!</definedName>
    <definedName name="XRefPaste224" hidden="1">'[40]TB(PL)'!#REF!</definedName>
    <definedName name="XRefPaste224Row" localSheetId="4" hidden="1">[40]XREF!#REF!</definedName>
    <definedName name="XRefPaste224Row" localSheetId="16" hidden="1">[40]XREF!#REF!</definedName>
    <definedName name="XRefPaste224Row" hidden="1">[40]XREF!#REF!</definedName>
    <definedName name="XRefPaste225" localSheetId="4" hidden="1">'[40]TB(PL)'!#REF!</definedName>
    <definedName name="XRefPaste225" localSheetId="16" hidden="1">'[40]TB(PL)'!#REF!</definedName>
    <definedName name="XRefPaste225" hidden="1">'[40]TB(PL)'!#REF!</definedName>
    <definedName name="XRefPaste225Row" localSheetId="4" hidden="1">[40]XREF!#REF!</definedName>
    <definedName name="XRefPaste225Row" localSheetId="16" hidden="1">[40]XREF!#REF!</definedName>
    <definedName name="XRefPaste225Row" hidden="1">[40]XREF!#REF!</definedName>
    <definedName name="XRefPaste226" localSheetId="4" hidden="1">'[40]TB(PL)'!#REF!</definedName>
    <definedName name="XRefPaste226" localSheetId="16" hidden="1">'[40]TB(PL)'!#REF!</definedName>
    <definedName name="XRefPaste226" hidden="1">'[40]TB(PL)'!#REF!</definedName>
    <definedName name="XRefPaste226Row" localSheetId="4" hidden="1">[40]XREF!#REF!</definedName>
    <definedName name="XRefPaste226Row" localSheetId="16" hidden="1">[40]XREF!#REF!</definedName>
    <definedName name="XRefPaste226Row" hidden="1">[40]XREF!#REF!</definedName>
    <definedName name="XRefPaste227" localSheetId="4" hidden="1">'[40]TB(PL)'!#REF!</definedName>
    <definedName name="XRefPaste227" localSheetId="16" hidden="1">'[40]TB(PL)'!#REF!</definedName>
    <definedName name="XRefPaste227" hidden="1">'[40]TB(PL)'!#REF!</definedName>
    <definedName name="XRefPaste227Row" localSheetId="4" hidden="1">[40]XREF!#REF!</definedName>
    <definedName name="XRefPaste227Row" localSheetId="16" hidden="1">[40]XREF!#REF!</definedName>
    <definedName name="XRefPaste227Row" hidden="1">[40]XREF!#REF!</definedName>
    <definedName name="XRefPaste228" localSheetId="4" hidden="1">'[40]TB(PL)'!#REF!</definedName>
    <definedName name="XRefPaste228" localSheetId="16" hidden="1">'[40]TB(PL)'!#REF!</definedName>
    <definedName name="XRefPaste228" hidden="1">'[40]TB(PL)'!#REF!</definedName>
    <definedName name="XRefPaste228Row" localSheetId="4" hidden="1">[40]XREF!#REF!</definedName>
    <definedName name="XRefPaste228Row" localSheetId="16" hidden="1">[40]XREF!#REF!</definedName>
    <definedName name="XRefPaste228Row" hidden="1">[40]XREF!#REF!</definedName>
    <definedName name="XRefPaste229" localSheetId="4" hidden="1">'[40]TB(PL)'!#REF!</definedName>
    <definedName name="XRefPaste229" localSheetId="16" hidden="1">'[40]TB(PL)'!#REF!</definedName>
    <definedName name="XRefPaste229" hidden="1">'[40]TB(PL)'!#REF!</definedName>
    <definedName name="XRefPaste229Row" localSheetId="4" hidden="1">[40]XREF!#REF!</definedName>
    <definedName name="XRefPaste229Row" localSheetId="16" hidden="1">[40]XREF!#REF!</definedName>
    <definedName name="XRefPaste229Row" hidden="1">[40]XREF!#REF!</definedName>
    <definedName name="XRefPaste22Row" localSheetId="4" hidden="1">#REF!</definedName>
    <definedName name="XRefPaste22Row" localSheetId="16" hidden="1">#REF!</definedName>
    <definedName name="XRefPaste22Row" hidden="1">#REF!</definedName>
    <definedName name="XRefPaste23" localSheetId="4" hidden="1">#REF!</definedName>
    <definedName name="XRefPaste23" localSheetId="16" hidden="1">#REF!</definedName>
    <definedName name="XRefPaste23" hidden="1">#REF!</definedName>
    <definedName name="XRefPaste230" localSheetId="4" hidden="1">'[40]TB(PL)'!#REF!</definedName>
    <definedName name="XRefPaste230" localSheetId="16" hidden="1">'[40]TB(PL)'!#REF!</definedName>
    <definedName name="XRefPaste230" hidden="1">'[40]TB(PL)'!#REF!</definedName>
    <definedName name="XRefPaste230Row" localSheetId="4" hidden="1">[40]XREF!#REF!</definedName>
    <definedName name="XRefPaste230Row" localSheetId="16" hidden="1">[40]XREF!#REF!</definedName>
    <definedName name="XRefPaste230Row" hidden="1">[40]XREF!#REF!</definedName>
    <definedName name="XRefPaste231" localSheetId="4" hidden="1">'[40]TB(PL)'!#REF!</definedName>
    <definedName name="XRefPaste231" localSheetId="16" hidden="1">'[40]TB(PL)'!#REF!</definedName>
    <definedName name="XRefPaste231" hidden="1">'[40]TB(PL)'!#REF!</definedName>
    <definedName name="XRefPaste231Row" localSheetId="4" hidden="1">[40]XREF!#REF!</definedName>
    <definedName name="XRefPaste231Row" localSheetId="16" hidden="1">[40]XREF!#REF!</definedName>
    <definedName name="XRefPaste231Row" hidden="1">[40]XREF!#REF!</definedName>
    <definedName name="XRefPaste232" localSheetId="4" hidden="1">'[40]TB(PL)'!#REF!</definedName>
    <definedName name="XRefPaste232" localSheetId="16" hidden="1">'[40]TB(PL)'!#REF!</definedName>
    <definedName name="XRefPaste232" hidden="1">'[40]TB(PL)'!#REF!</definedName>
    <definedName name="XRefPaste232Row" localSheetId="4" hidden="1">[40]XREF!#REF!</definedName>
    <definedName name="XRefPaste232Row" localSheetId="16" hidden="1">[40]XREF!#REF!</definedName>
    <definedName name="XRefPaste232Row" hidden="1">[40]XREF!#REF!</definedName>
    <definedName name="XRefPaste233" localSheetId="4" hidden="1">'[40]TB(PL)'!#REF!</definedName>
    <definedName name="XRefPaste233" localSheetId="16" hidden="1">'[40]TB(PL)'!#REF!</definedName>
    <definedName name="XRefPaste233" hidden="1">'[40]TB(PL)'!#REF!</definedName>
    <definedName name="XRefPaste233Row" localSheetId="4" hidden="1">[40]XREF!#REF!</definedName>
    <definedName name="XRefPaste233Row" localSheetId="16" hidden="1">[40]XREF!#REF!</definedName>
    <definedName name="XRefPaste233Row" hidden="1">[40]XREF!#REF!</definedName>
    <definedName name="XRefPaste234" localSheetId="4" hidden="1">'[40]TB(PL)'!#REF!</definedName>
    <definedName name="XRefPaste234" localSheetId="16" hidden="1">'[40]TB(PL)'!#REF!</definedName>
    <definedName name="XRefPaste234" hidden="1">'[40]TB(PL)'!#REF!</definedName>
    <definedName name="XRefPaste234Row" localSheetId="4" hidden="1">[40]XREF!#REF!</definedName>
    <definedName name="XRefPaste234Row" localSheetId="16" hidden="1">[40]XREF!#REF!</definedName>
    <definedName name="XRefPaste234Row" hidden="1">[40]XREF!#REF!</definedName>
    <definedName name="XRefPaste235" localSheetId="4" hidden="1">'[40]TB(PL)'!#REF!</definedName>
    <definedName name="XRefPaste235" localSheetId="16" hidden="1">'[40]TB(PL)'!#REF!</definedName>
    <definedName name="XRefPaste235" hidden="1">'[40]TB(PL)'!#REF!</definedName>
    <definedName name="XRefPaste235Row" localSheetId="4" hidden="1">[40]XREF!#REF!</definedName>
    <definedName name="XRefPaste235Row" localSheetId="16" hidden="1">[40]XREF!#REF!</definedName>
    <definedName name="XRefPaste235Row" hidden="1">[40]XREF!#REF!</definedName>
    <definedName name="XRefPaste236" localSheetId="4" hidden="1">'[40]TB(PL)'!#REF!</definedName>
    <definedName name="XRefPaste236" localSheetId="16" hidden="1">'[40]TB(PL)'!#REF!</definedName>
    <definedName name="XRefPaste236" hidden="1">'[40]TB(PL)'!#REF!</definedName>
    <definedName name="XRefPaste236Row" localSheetId="4" hidden="1">[40]XREF!#REF!</definedName>
    <definedName name="XRefPaste236Row" localSheetId="16" hidden="1">[40]XREF!#REF!</definedName>
    <definedName name="XRefPaste236Row" hidden="1">[40]XREF!#REF!</definedName>
    <definedName name="XRefPaste237" localSheetId="4" hidden="1">'[40]TB(PL)'!#REF!</definedName>
    <definedName name="XRefPaste237" localSheetId="16" hidden="1">'[40]TB(PL)'!#REF!</definedName>
    <definedName name="XRefPaste237" hidden="1">'[40]TB(PL)'!#REF!</definedName>
    <definedName name="XRefPaste237Row" localSheetId="4" hidden="1">[40]XREF!#REF!</definedName>
    <definedName name="XRefPaste237Row" localSheetId="16" hidden="1">[40]XREF!#REF!</definedName>
    <definedName name="XRefPaste237Row" hidden="1">[40]XREF!#REF!</definedName>
    <definedName name="XRefPaste238" localSheetId="4" hidden="1">'[40]TB(PL)'!#REF!</definedName>
    <definedName name="XRefPaste238" localSheetId="16" hidden="1">'[40]TB(PL)'!#REF!</definedName>
    <definedName name="XRefPaste238" hidden="1">'[40]TB(PL)'!#REF!</definedName>
    <definedName name="XRefPaste238Row" localSheetId="4" hidden="1">[40]XREF!#REF!</definedName>
    <definedName name="XRefPaste238Row" localSheetId="16" hidden="1">[40]XREF!#REF!</definedName>
    <definedName name="XRefPaste238Row" hidden="1">[40]XREF!#REF!</definedName>
    <definedName name="XRefPaste239" localSheetId="4" hidden="1">'[40]TB(PL)'!#REF!</definedName>
    <definedName name="XRefPaste239" localSheetId="16" hidden="1">'[40]TB(PL)'!#REF!</definedName>
    <definedName name="XRefPaste239" hidden="1">'[40]TB(PL)'!#REF!</definedName>
    <definedName name="XRefPaste239Row" localSheetId="4" hidden="1">[40]XREF!#REF!</definedName>
    <definedName name="XRefPaste239Row" localSheetId="16" hidden="1">[40]XREF!#REF!</definedName>
    <definedName name="XRefPaste239Row" hidden="1">[40]XREF!#REF!</definedName>
    <definedName name="XRefPaste23Row" localSheetId="4" hidden="1">#REF!</definedName>
    <definedName name="XRefPaste23Row" localSheetId="16" hidden="1">#REF!</definedName>
    <definedName name="XRefPaste23Row" hidden="1">#REF!</definedName>
    <definedName name="XRefPaste24" localSheetId="4" hidden="1">#REF!</definedName>
    <definedName name="XRefPaste24" localSheetId="16" hidden="1">#REF!</definedName>
    <definedName name="XRefPaste24" hidden="1">#REF!</definedName>
    <definedName name="XRefPaste240" localSheetId="4" hidden="1">'[40]TB(PL)'!#REF!</definedName>
    <definedName name="XRefPaste240" localSheetId="16" hidden="1">'[40]TB(PL)'!#REF!</definedName>
    <definedName name="XRefPaste240" hidden="1">'[40]TB(PL)'!#REF!</definedName>
    <definedName name="XRefPaste240Row" localSheetId="4" hidden="1">[40]XREF!#REF!</definedName>
    <definedName name="XRefPaste240Row" localSheetId="16" hidden="1">[40]XREF!#REF!</definedName>
    <definedName name="XRefPaste240Row" hidden="1">[40]XREF!#REF!</definedName>
    <definedName name="XRefPaste241" localSheetId="4" hidden="1">'[40]TB(PL)'!#REF!</definedName>
    <definedName name="XRefPaste241" localSheetId="16" hidden="1">'[40]TB(PL)'!#REF!</definedName>
    <definedName name="XRefPaste241" hidden="1">'[40]TB(PL)'!#REF!</definedName>
    <definedName name="XRefPaste241Row" localSheetId="4" hidden="1">[40]XREF!#REF!</definedName>
    <definedName name="XRefPaste241Row" localSheetId="16" hidden="1">[40]XREF!#REF!</definedName>
    <definedName name="XRefPaste241Row" hidden="1">[40]XREF!#REF!</definedName>
    <definedName name="XRefPaste242" localSheetId="4" hidden="1">'[40]TB(PL)'!#REF!</definedName>
    <definedName name="XRefPaste242" localSheetId="16" hidden="1">'[40]TB(PL)'!#REF!</definedName>
    <definedName name="XRefPaste242" hidden="1">'[40]TB(PL)'!#REF!</definedName>
    <definedName name="XRefPaste242Row" localSheetId="4" hidden="1">[40]XREF!#REF!</definedName>
    <definedName name="XRefPaste242Row" localSheetId="16" hidden="1">[40]XREF!#REF!</definedName>
    <definedName name="XRefPaste242Row" hidden="1">[40]XREF!#REF!</definedName>
    <definedName name="XRefPaste243" localSheetId="4" hidden="1">'[40]TB(PL)'!#REF!</definedName>
    <definedName name="XRefPaste243" localSheetId="16" hidden="1">'[40]TB(PL)'!#REF!</definedName>
    <definedName name="XRefPaste243" hidden="1">'[40]TB(PL)'!#REF!</definedName>
    <definedName name="XRefPaste243Row" localSheetId="4" hidden="1">[40]XREF!#REF!</definedName>
    <definedName name="XRefPaste243Row" localSheetId="16" hidden="1">[40]XREF!#REF!</definedName>
    <definedName name="XRefPaste243Row" hidden="1">[40]XREF!#REF!</definedName>
    <definedName name="XRefPaste244" localSheetId="4" hidden="1">'[40]TB(PL)'!#REF!</definedName>
    <definedName name="XRefPaste244" localSheetId="16" hidden="1">'[40]TB(PL)'!#REF!</definedName>
    <definedName name="XRefPaste244" hidden="1">'[40]TB(PL)'!#REF!</definedName>
    <definedName name="XRefPaste244Row" localSheetId="4" hidden="1">[40]XREF!#REF!</definedName>
    <definedName name="XRefPaste244Row" localSheetId="16" hidden="1">[40]XREF!#REF!</definedName>
    <definedName name="XRefPaste244Row" hidden="1">[40]XREF!#REF!</definedName>
    <definedName name="XRefPaste245" localSheetId="4" hidden="1">'[40]TB(PL)'!#REF!</definedName>
    <definedName name="XRefPaste245" localSheetId="16" hidden="1">'[40]TB(PL)'!#REF!</definedName>
    <definedName name="XRefPaste245" hidden="1">'[40]TB(PL)'!#REF!</definedName>
    <definedName name="XRefPaste245Row" localSheetId="4" hidden="1">[40]XREF!#REF!</definedName>
    <definedName name="XRefPaste245Row" localSheetId="16" hidden="1">[40]XREF!#REF!</definedName>
    <definedName name="XRefPaste245Row" hidden="1">[40]XREF!#REF!</definedName>
    <definedName name="XRefPaste246" localSheetId="4" hidden="1">'[40]TB(PL)'!#REF!</definedName>
    <definedName name="XRefPaste246" localSheetId="16" hidden="1">'[40]TB(PL)'!#REF!</definedName>
    <definedName name="XRefPaste246" hidden="1">'[40]TB(PL)'!#REF!</definedName>
    <definedName name="XRefPaste246Row" localSheetId="4" hidden="1">[40]XREF!#REF!</definedName>
    <definedName name="XRefPaste246Row" localSheetId="16" hidden="1">[40]XREF!#REF!</definedName>
    <definedName name="XRefPaste246Row" hidden="1">[40]XREF!#REF!</definedName>
    <definedName name="XRefPaste24Row" localSheetId="4" hidden="1">#REF!</definedName>
    <definedName name="XRefPaste24Row" localSheetId="16" hidden="1">#REF!</definedName>
    <definedName name="XRefPaste24Row" hidden="1">#REF!</definedName>
    <definedName name="XRefPaste25" localSheetId="4" hidden="1">#REF!</definedName>
    <definedName name="XRefPaste25" localSheetId="16" hidden="1">#REF!</definedName>
    <definedName name="XRefPaste25" hidden="1">#REF!</definedName>
    <definedName name="XRefPaste25Row" localSheetId="4" hidden="1">#REF!</definedName>
    <definedName name="XRefPaste25Row" localSheetId="16" hidden="1">#REF!</definedName>
    <definedName name="XRefPaste25Row" hidden="1">#REF!</definedName>
    <definedName name="XRefPaste26" localSheetId="4" hidden="1">#REF!</definedName>
    <definedName name="XRefPaste26" localSheetId="16" hidden="1">#REF!</definedName>
    <definedName name="XRefPaste26" hidden="1">#REF!</definedName>
    <definedName name="XRefPaste26Row" localSheetId="4" hidden="1">#REF!</definedName>
    <definedName name="XRefPaste26Row" localSheetId="16" hidden="1">#REF!</definedName>
    <definedName name="XRefPaste26Row" hidden="1">#REF!</definedName>
    <definedName name="XRefPaste27" localSheetId="4" hidden="1">#REF!</definedName>
    <definedName name="XRefPaste27" localSheetId="16" hidden="1">#REF!</definedName>
    <definedName name="XRefPaste27" hidden="1">#REF!</definedName>
    <definedName name="XRefPaste27Row" localSheetId="4" hidden="1">#REF!</definedName>
    <definedName name="XRefPaste27Row" localSheetId="16" hidden="1">#REF!</definedName>
    <definedName name="XRefPaste27Row" hidden="1">#REF!</definedName>
    <definedName name="XRefPaste28" localSheetId="4" hidden="1">#REF!</definedName>
    <definedName name="XRefPaste28" localSheetId="16" hidden="1">#REF!</definedName>
    <definedName name="XRefPaste28" hidden="1">#REF!</definedName>
    <definedName name="XRefPaste28Row" localSheetId="4" hidden="1">#REF!</definedName>
    <definedName name="XRefPaste28Row" localSheetId="16" hidden="1">#REF!</definedName>
    <definedName name="XRefPaste28Row" hidden="1">#REF!</definedName>
    <definedName name="XRefPaste29" localSheetId="4" hidden="1">#REF!</definedName>
    <definedName name="XRefPaste29" localSheetId="16" hidden="1">#REF!</definedName>
    <definedName name="XRefPaste29" hidden="1">#REF!</definedName>
    <definedName name="XRefPaste29Row" localSheetId="4" hidden="1">#REF!</definedName>
    <definedName name="XRefPaste29Row" localSheetId="16" hidden="1">#REF!</definedName>
    <definedName name="XRefPaste29Row" hidden="1">#REF!</definedName>
    <definedName name="XRefPaste2Row" localSheetId="4" hidden="1">#REF!</definedName>
    <definedName name="XRefPaste2Row" localSheetId="16" hidden="1">#REF!</definedName>
    <definedName name="XRefPaste2Row" hidden="1">#REF!</definedName>
    <definedName name="XRefPaste3" localSheetId="4" hidden="1">'[35].3 법인세부담액계산'!#REF!</definedName>
    <definedName name="XRefPaste3" localSheetId="16" hidden="1">'[35].3 법인세부담액계산'!#REF!</definedName>
    <definedName name="XRefPaste3" hidden="1">'[35].3 법인세부담액계산'!#REF!</definedName>
    <definedName name="XRefPaste30" localSheetId="4" hidden="1">#REF!</definedName>
    <definedName name="XRefPaste30" localSheetId="16" hidden="1">#REF!</definedName>
    <definedName name="XRefPaste30" hidden="1">#REF!</definedName>
    <definedName name="XRefPaste30Row" localSheetId="4" hidden="1">#REF!</definedName>
    <definedName name="XRefPaste30Row" localSheetId="16" hidden="1">#REF!</definedName>
    <definedName name="XRefPaste30Row" hidden="1">#REF!</definedName>
    <definedName name="XRefPaste31" localSheetId="4" hidden="1">#REF!</definedName>
    <definedName name="XRefPaste31" localSheetId="16" hidden="1">#REF!</definedName>
    <definedName name="XRefPaste31" hidden="1">#REF!</definedName>
    <definedName name="XRefPaste31Row" localSheetId="4" hidden="1">#REF!</definedName>
    <definedName name="XRefPaste31Row" localSheetId="16" hidden="1">#REF!</definedName>
    <definedName name="XRefPaste31Row" hidden="1">#REF!</definedName>
    <definedName name="XRefPaste32" localSheetId="4" hidden="1">#REF!</definedName>
    <definedName name="XRefPaste32" localSheetId="16" hidden="1">#REF!</definedName>
    <definedName name="XRefPaste32" hidden="1">#REF!</definedName>
    <definedName name="XRefPaste32Row" localSheetId="4" hidden="1">#REF!</definedName>
    <definedName name="XRefPaste32Row" localSheetId="16" hidden="1">#REF!</definedName>
    <definedName name="XRefPaste32Row" hidden="1">#REF!</definedName>
    <definedName name="XRefPaste33" localSheetId="4" hidden="1">#REF!</definedName>
    <definedName name="XRefPaste33" localSheetId="16" hidden="1">#REF!</definedName>
    <definedName name="XRefPaste33" hidden="1">#REF!</definedName>
    <definedName name="XRefPaste33Row" localSheetId="4" hidden="1">#REF!</definedName>
    <definedName name="XRefPaste33Row" localSheetId="16" hidden="1">#REF!</definedName>
    <definedName name="XRefPaste33Row" hidden="1">#REF!</definedName>
    <definedName name="XRefPaste34" localSheetId="4" hidden="1">#REF!</definedName>
    <definedName name="XRefPaste34" localSheetId="16" hidden="1">#REF!</definedName>
    <definedName name="XRefPaste34" hidden="1">#REF!</definedName>
    <definedName name="XRefPaste34Row" localSheetId="4" hidden="1">#REF!</definedName>
    <definedName name="XRefPaste34Row" localSheetId="16" hidden="1">#REF!</definedName>
    <definedName name="XRefPaste34Row" hidden="1">#REF!</definedName>
    <definedName name="XRefPaste35" localSheetId="4" hidden="1">#REF!</definedName>
    <definedName name="XRefPaste35" localSheetId="16" hidden="1">#REF!</definedName>
    <definedName name="XRefPaste35" hidden="1">#REF!</definedName>
    <definedName name="XRefPaste35Row" localSheetId="4" hidden="1">#REF!</definedName>
    <definedName name="XRefPaste35Row" localSheetId="16" hidden="1">#REF!</definedName>
    <definedName name="XRefPaste35Row" hidden="1">#REF!</definedName>
    <definedName name="XRefPaste36" localSheetId="4" hidden="1">#REF!</definedName>
    <definedName name="XRefPaste36" localSheetId="16" hidden="1">#REF!</definedName>
    <definedName name="XRefPaste36" hidden="1">#REF!</definedName>
    <definedName name="XRefPaste36Row" localSheetId="4" hidden="1">#REF!</definedName>
    <definedName name="XRefPaste36Row" localSheetId="16" hidden="1">#REF!</definedName>
    <definedName name="XRefPaste36Row" hidden="1">#REF!</definedName>
    <definedName name="XRefPaste37" localSheetId="4" hidden="1">#REF!</definedName>
    <definedName name="XRefPaste37" localSheetId="16" hidden="1">#REF!</definedName>
    <definedName name="XRefPaste37" hidden="1">#REF!</definedName>
    <definedName name="XRefPaste37Row" localSheetId="4" hidden="1">#REF!</definedName>
    <definedName name="XRefPaste37Row" localSheetId="16" hidden="1">#REF!</definedName>
    <definedName name="XRefPaste37Row" hidden="1">#REF!</definedName>
    <definedName name="XRefPaste38" localSheetId="4" hidden="1">#REF!</definedName>
    <definedName name="XRefPaste38" localSheetId="16" hidden="1">#REF!</definedName>
    <definedName name="XRefPaste38" hidden="1">#REF!</definedName>
    <definedName name="XRefPaste38Row" localSheetId="4" hidden="1">#REF!</definedName>
    <definedName name="XRefPaste38Row" localSheetId="16" hidden="1">#REF!</definedName>
    <definedName name="XRefPaste38Row" hidden="1">#REF!</definedName>
    <definedName name="XRefPaste39" localSheetId="4" hidden="1">#REF!</definedName>
    <definedName name="XRefPaste39" localSheetId="16" hidden="1">#REF!</definedName>
    <definedName name="XRefPaste39" hidden="1">#REF!</definedName>
    <definedName name="XRefPaste39Row" localSheetId="4" hidden="1">#REF!</definedName>
    <definedName name="XRefPaste39Row" localSheetId="16" hidden="1">#REF!</definedName>
    <definedName name="XRefPaste39Row" hidden="1">#REF!</definedName>
    <definedName name="XRefPaste3Row" localSheetId="4" hidden="1">#REF!</definedName>
    <definedName name="XRefPaste3Row" localSheetId="16" hidden="1">#REF!</definedName>
    <definedName name="XRefPaste3Row" hidden="1">#REF!</definedName>
    <definedName name="XRefPaste4" localSheetId="4" hidden="1">'[35].3 법인세부담액계산'!#REF!</definedName>
    <definedName name="XRefPaste4" localSheetId="16" hidden="1">'[35].3 법인세부담액계산'!#REF!</definedName>
    <definedName name="XRefPaste4" hidden="1">'[35].3 법인세부담액계산'!#REF!</definedName>
    <definedName name="XRefPaste40" localSheetId="4" hidden="1">#REF!</definedName>
    <definedName name="XRefPaste40" localSheetId="16" hidden="1">#REF!</definedName>
    <definedName name="XRefPaste40" hidden="1">#REF!</definedName>
    <definedName name="XRefPaste40Row" localSheetId="4" hidden="1">#REF!</definedName>
    <definedName name="XRefPaste40Row" localSheetId="16" hidden="1">#REF!</definedName>
    <definedName name="XRefPaste40Row" hidden="1">#REF!</definedName>
    <definedName name="XRefPaste41" localSheetId="4" hidden="1">#REF!</definedName>
    <definedName name="XRefPaste41" localSheetId="16" hidden="1">#REF!</definedName>
    <definedName name="XRefPaste41" hidden="1">#REF!</definedName>
    <definedName name="XRefPaste41Row" localSheetId="4" hidden="1">#REF!</definedName>
    <definedName name="XRefPaste41Row" localSheetId="16" hidden="1">#REF!</definedName>
    <definedName name="XRefPaste41Row" hidden="1">#REF!</definedName>
    <definedName name="XRefPaste42" localSheetId="4" hidden="1">#REF!</definedName>
    <definedName name="XRefPaste42" localSheetId="16" hidden="1">#REF!</definedName>
    <definedName name="XRefPaste42" hidden="1">#REF!</definedName>
    <definedName name="XRefPaste42Row" localSheetId="4" hidden="1">#REF!</definedName>
    <definedName name="XRefPaste42Row" localSheetId="16" hidden="1">#REF!</definedName>
    <definedName name="XRefPaste42Row" hidden="1">#REF!</definedName>
    <definedName name="XRefPaste43" localSheetId="4" hidden="1">#REF!</definedName>
    <definedName name="XRefPaste43" localSheetId="16" hidden="1">#REF!</definedName>
    <definedName name="XRefPaste43" hidden="1">#REF!</definedName>
    <definedName name="XRefPaste43Row" localSheetId="4" hidden="1">#REF!</definedName>
    <definedName name="XRefPaste43Row" localSheetId="16" hidden="1">#REF!</definedName>
    <definedName name="XRefPaste43Row" hidden="1">#REF!</definedName>
    <definedName name="XRefPaste44" localSheetId="4" hidden="1">#REF!</definedName>
    <definedName name="XRefPaste44" localSheetId="16" hidden="1">#REF!</definedName>
    <definedName name="XRefPaste44" hidden="1">#REF!</definedName>
    <definedName name="XRefPaste44Row" localSheetId="4" hidden="1">#REF!</definedName>
    <definedName name="XRefPaste44Row" localSheetId="16" hidden="1">#REF!</definedName>
    <definedName name="XRefPaste44Row" hidden="1">#REF!</definedName>
    <definedName name="XRefPaste45" localSheetId="4" hidden="1">#REF!</definedName>
    <definedName name="XRefPaste45" localSheetId="16" hidden="1">#REF!</definedName>
    <definedName name="XRefPaste45" hidden="1">#REF!</definedName>
    <definedName name="XRefPaste45Row" localSheetId="4" hidden="1">#REF!</definedName>
    <definedName name="XRefPaste45Row" localSheetId="16" hidden="1">#REF!</definedName>
    <definedName name="XRefPaste45Row" hidden="1">#REF!</definedName>
    <definedName name="XRefPaste46" localSheetId="4" hidden="1">#REF!</definedName>
    <definedName name="XRefPaste46" localSheetId="16" hidden="1">#REF!</definedName>
    <definedName name="XRefPaste46" hidden="1">#REF!</definedName>
    <definedName name="XRefPaste46Row" localSheetId="4" hidden="1">#REF!</definedName>
    <definedName name="XRefPaste46Row" localSheetId="16" hidden="1">#REF!</definedName>
    <definedName name="XRefPaste46Row" hidden="1">#REF!</definedName>
    <definedName name="XRefPaste47" localSheetId="4" hidden="1">#REF!</definedName>
    <definedName name="XRefPaste47" localSheetId="16" hidden="1">#REF!</definedName>
    <definedName name="XRefPaste47" hidden="1">#REF!</definedName>
    <definedName name="XRefPaste47Row" localSheetId="4" hidden="1">#REF!</definedName>
    <definedName name="XRefPaste47Row" localSheetId="16" hidden="1">#REF!</definedName>
    <definedName name="XRefPaste47Row" hidden="1">#REF!</definedName>
    <definedName name="XRefPaste48" localSheetId="4" hidden="1">#REF!</definedName>
    <definedName name="XRefPaste48" localSheetId="16" hidden="1">#REF!</definedName>
    <definedName name="XRefPaste48" hidden="1">#REF!</definedName>
    <definedName name="XRefPaste48Row" localSheetId="4" hidden="1">#REF!</definedName>
    <definedName name="XRefPaste48Row" localSheetId="16" hidden="1">#REF!</definedName>
    <definedName name="XRefPaste48Row" hidden="1">#REF!</definedName>
    <definedName name="XRefPaste49" localSheetId="4" hidden="1">#REF!</definedName>
    <definedName name="XRefPaste49" localSheetId="16" hidden="1">#REF!</definedName>
    <definedName name="XRefPaste49" hidden="1">#REF!</definedName>
    <definedName name="XRefPaste49Row" localSheetId="4" hidden="1">#REF!</definedName>
    <definedName name="XRefPaste49Row" localSheetId="16" hidden="1">#REF!</definedName>
    <definedName name="XRefPaste49Row" hidden="1">#REF!</definedName>
    <definedName name="XRefPaste4Row" localSheetId="4" hidden="1">#REF!</definedName>
    <definedName name="XRefPaste4Row" localSheetId="16" hidden="1">#REF!</definedName>
    <definedName name="XRefPaste4Row" hidden="1">#REF!</definedName>
    <definedName name="XRefPaste5" localSheetId="4" hidden="1">#REF!</definedName>
    <definedName name="XRefPaste5" localSheetId="16" hidden="1">#REF!</definedName>
    <definedName name="XRefPaste5" hidden="1">#REF!</definedName>
    <definedName name="XRefPaste50" localSheetId="4" hidden="1">#REF!</definedName>
    <definedName name="XRefPaste50" localSheetId="16" hidden="1">#REF!</definedName>
    <definedName name="XRefPaste50" hidden="1">#REF!</definedName>
    <definedName name="XRefPaste50Row" localSheetId="4" hidden="1">#REF!</definedName>
    <definedName name="XRefPaste50Row" localSheetId="16" hidden="1">#REF!</definedName>
    <definedName name="XRefPaste50Row" hidden="1">#REF!</definedName>
    <definedName name="XRefPaste51" localSheetId="4" hidden="1">#REF!</definedName>
    <definedName name="XRefPaste51" localSheetId="16" hidden="1">#REF!</definedName>
    <definedName name="XRefPaste51" hidden="1">#REF!</definedName>
    <definedName name="XRefPaste51Row" localSheetId="4" hidden="1">#REF!</definedName>
    <definedName name="XRefPaste51Row" localSheetId="16" hidden="1">#REF!</definedName>
    <definedName name="XRefPaste51Row" hidden="1">#REF!</definedName>
    <definedName name="XRefPaste52" localSheetId="4" hidden="1">#REF!</definedName>
    <definedName name="XRefPaste52" localSheetId="16" hidden="1">#REF!</definedName>
    <definedName name="XRefPaste52" hidden="1">#REF!</definedName>
    <definedName name="XRefPaste52Row" localSheetId="4" hidden="1">#REF!</definedName>
    <definedName name="XRefPaste52Row" localSheetId="16" hidden="1">#REF!</definedName>
    <definedName name="XRefPaste52Row" hidden="1">#REF!</definedName>
    <definedName name="XRefPaste53" localSheetId="4" hidden="1">#REF!</definedName>
    <definedName name="XRefPaste53" localSheetId="16" hidden="1">#REF!</definedName>
    <definedName name="XRefPaste53" hidden="1">#REF!</definedName>
    <definedName name="XRefPaste53Row" localSheetId="4" hidden="1">#REF!</definedName>
    <definedName name="XRefPaste53Row" localSheetId="16" hidden="1">#REF!</definedName>
    <definedName name="XRefPaste53Row" hidden="1">#REF!</definedName>
    <definedName name="XRefPaste54" localSheetId="4" hidden="1">#REF!</definedName>
    <definedName name="XRefPaste54" localSheetId="16" hidden="1">#REF!</definedName>
    <definedName name="XRefPaste54" hidden="1">#REF!</definedName>
    <definedName name="XRefPaste54Row" localSheetId="4" hidden="1">#REF!</definedName>
    <definedName name="XRefPaste54Row" localSheetId="16" hidden="1">#REF!</definedName>
    <definedName name="XRefPaste54Row" hidden="1">#REF!</definedName>
    <definedName name="XRefPaste55" localSheetId="4" hidden="1">#REF!</definedName>
    <definedName name="XRefPaste55" localSheetId="16" hidden="1">#REF!</definedName>
    <definedName name="XRefPaste55" hidden="1">#REF!</definedName>
    <definedName name="XRefPaste56" localSheetId="4" hidden="1">#REF!</definedName>
    <definedName name="XRefPaste56" localSheetId="16" hidden="1">#REF!</definedName>
    <definedName name="XRefPaste56" hidden="1">#REF!</definedName>
    <definedName name="XRefPaste56Row" localSheetId="4" hidden="1">#REF!</definedName>
    <definedName name="XRefPaste56Row" localSheetId="16" hidden="1">#REF!</definedName>
    <definedName name="XRefPaste56Row" hidden="1">#REF!</definedName>
    <definedName name="XRefPaste57" localSheetId="4" hidden="1">#REF!</definedName>
    <definedName name="XRefPaste57" localSheetId="16" hidden="1">#REF!</definedName>
    <definedName name="XRefPaste57" hidden="1">#REF!</definedName>
    <definedName name="XRefPaste57Row" localSheetId="4" hidden="1">#REF!</definedName>
    <definedName name="XRefPaste57Row" localSheetId="16" hidden="1">#REF!</definedName>
    <definedName name="XRefPaste57Row" hidden="1">#REF!</definedName>
    <definedName name="XRefPaste58" localSheetId="4" hidden="1">#REF!</definedName>
    <definedName name="XRefPaste58" localSheetId="16" hidden="1">#REF!</definedName>
    <definedName name="XRefPaste58" hidden="1">#REF!</definedName>
    <definedName name="XRefPaste58Row" localSheetId="4" hidden="1">[41]XREF!#REF!</definedName>
    <definedName name="XRefPaste58Row" localSheetId="16" hidden="1">[41]XREF!#REF!</definedName>
    <definedName name="XRefPaste58Row" hidden="1">[41]XREF!#REF!</definedName>
    <definedName name="XRefPaste59" localSheetId="4" hidden="1">#REF!</definedName>
    <definedName name="XRefPaste59" localSheetId="16" hidden="1">#REF!</definedName>
    <definedName name="XRefPaste59" hidden="1">#REF!</definedName>
    <definedName name="XRefPaste59Row" localSheetId="4" hidden="1">#REF!</definedName>
    <definedName name="XRefPaste59Row" localSheetId="16" hidden="1">#REF!</definedName>
    <definedName name="XRefPaste59Row" hidden="1">#REF!</definedName>
    <definedName name="XRefPaste5Row" localSheetId="4" hidden="1">#REF!</definedName>
    <definedName name="XRefPaste5Row" localSheetId="16" hidden="1">#REF!</definedName>
    <definedName name="XRefPaste5Row" hidden="1">#REF!</definedName>
    <definedName name="XRefPaste6" localSheetId="4" hidden="1">#REF!</definedName>
    <definedName name="XRefPaste6" localSheetId="16" hidden="1">#REF!</definedName>
    <definedName name="XRefPaste6" hidden="1">#REF!</definedName>
    <definedName name="XRefPaste60" localSheetId="4" hidden="1">#REF!</definedName>
    <definedName name="XRefPaste60" localSheetId="16" hidden="1">#REF!</definedName>
    <definedName name="XRefPaste60" hidden="1">#REF!</definedName>
    <definedName name="XRefPaste60Row" localSheetId="4" hidden="1">#REF!</definedName>
    <definedName name="XRefPaste60Row" localSheetId="16" hidden="1">#REF!</definedName>
    <definedName name="XRefPaste60Row" hidden="1">#REF!</definedName>
    <definedName name="XRefPaste61" localSheetId="4" hidden="1">#REF!</definedName>
    <definedName name="XRefPaste61" localSheetId="16" hidden="1">#REF!</definedName>
    <definedName name="XRefPaste61" hidden="1">#REF!</definedName>
    <definedName name="XRefPaste61Row" localSheetId="4" hidden="1">#REF!</definedName>
    <definedName name="XRefPaste61Row" localSheetId="16" hidden="1">#REF!</definedName>
    <definedName name="XRefPaste61Row" hidden="1">#REF!</definedName>
    <definedName name="XRefPaste62Row" localSheetId="4" hidden="1">#REF!</definedName>
    <definedName name="XRefPaste62Row" localSheetId="16" hidden="1">#REF!</definedName>
    <definedName name="XRefPaste62Row" hidden="1">#REF!</definedName>
    <definedName name="XRefPaste63Row" localSheetId="4" hidden="1">#REF!</definedName>
    <definedName name="XRefPaste63Row" localSheetId="16" hidden="1">#REF!</definedName>
    <definedName name="XRefPaste63Row" hidden="1">#REF!</definedName>
    <definedName name="XRefPaste64" localSheetId="4" hidden="1">'[35].3 법인세부담액계산'!#REF!</definedName>
    <definedName name="XRefPaste64" localSheetId="16" hidden="1">'[35].3 법인세부담액계산'!#REF!</definedName>
    <definedName name="XRefPaste64" hidden="1">'[35].3 법인세부담액계산'!#REF!</definedName>
    <definedName name="XRefPaste64Row" localSheetId="4" hidden="1">#REF!</definedName>
    <definedName name="XRefPaste64Row" localSheetId="16" hidden="1">#REF!</definedName>
    <definedName name="XRefPaste64Row" hidden="1">#REF!</definedName>
    <definedName name="XRefPaste65" localSheetId="4" hidden="1">'[35].3 법인세부담액계산'!#REF!</definedName>
    <definedName name="XRefPaste65" localSheetId="16" hidden="1">'[35].3 법인세부담액계산'!#REF!</definedName>
    <definedName name="XRefPaste65" hidden="1">'[35].3 법인세부담액계산'!#REF!</definedName>
    <definedName name="XRefPaste65Row" localSheetId="4" hidden="1">#REF!</definedName>
    <definedName name="XRefPaste65Row" localSheetId="16" hidden="1">#REF!</definedName>
    <definedName name="XRefPaste65Row" hidden="1">#REF!</definedName>
    <definedName name="XRefPaste66Row" localSheetId="4" hidden="1">#REF!</definedName>
    <definedName name="XRefPaste66Row" localSheetId="16" hidden="1">#REF!</definedName>
    <definedName name="XRefPaste66Row" hidden="1">#REF!</definedName>
    <definedName name="XRefPaste67" localSheetId="4" hidden="1">'[35].3 법인세부담액계산'!#REF!</definedName>
    <definedName name="XRefPaste67" localSheetId="16" hidden="1">'[35].3 법인세부담액계산'!#REF!</definedName>
    <definedName name="XRefPaste67" hidden="1">'[35].3 법인세부담액계산'!#REF!</definedName>
    <definedName name="XRefPaste67Row" localSheetId="4" hidden="1">#REF!</definedName>
    <definedName name="XRefPaste67Row" localSheetId="16" hidden="1">#REF!</definedName>
    <definedName name="XRefPaste67Row" hidden="1">#REF!</definedName>
    <definedName name="XRefPaste68Row" localSheetId="4" hidden="1">#REF!</definedName>
    <definedName name="XRefPaste68Row" localSheetId="16" hidden="1">#REF!</definedName>
    <definedName name="XRefPaste68Row" hidden="1">#REF!</definedName>
    <definedName name="XRefPaste69" localSheetId="4" hidden="1">'[35].3 법인세부담액계산'!#REF!</definedName>
    <definedName name="XRefPaste69" localSheetId="16" hidden="1">'[35].3 법인세부담액계산'!#REF!</definedName>
    <definedName name="XRefPaste69" hidden="1">'[35].3 법인세부담액계산'!#REF!</definedName>
    <definedName name="XRefPaste69Row" localSheetId="4" hidden="1">#REF!</definedName>
    <definedName name="XRefPaste69Row" localSheetId="16" hidden="1">#REF!</definedName>
    <definedName name="XRefPaste69Row" hidden="1">#REF!</definedName>
    <definedName name="XRefPaste6Row" localSheetId="4" hidden="1">#REF!</definedName>
    <definedName name="XRefPaste6Row" localSheetId="16" hidden="1">#REF!</definedName>
    <definedName name="XRefPaste6Row" hidden="1">#REF!</definedName>
    <definedName name="XRefPaste7" localSheetId="4" hidden="1">#REF!</definedName>
    <definedName name="XRefPaste7" localSheetId="16" hidden="1">#REF!</definedName>
    <definedName name="XRefPaste7" hidden="1">#REF!</definedName>
    <definedName name="XRefPaste70" localSheetId="4" hidden="1">'[35].3 법인세부담액계산'!#REF!</definedName>
    <definedName name="XRefPaste70" localSheetId="16" hidden="1">'[35].3 법인세부담액계산'!#REF!</definedName>
    <definedName name="XRefPaste70" hidden="1">'[35].3 법인세부담액계산'!#REF!</definedName>
    <definedName name="XRefPaste70Row" localSheetId="4" hidden="1">#REF!</definedName>
    <definedName name="XRefPaste70Row" localSheetId="16" hidden="1">#REF!</definedName>
    <definedName name="XRefPaste70Row" hidden="1">#REF!</definedName>
    <definedName name="XRefPaste71" localSheetId="4" hidden="1">'[35].3 법인세부담액계산'!#REF!</definedName>
    <definedName name="XRefPaste71" localSheetId="16" hidden="1">'[35].3 법인세부담액계산'!#REF!</definedName>
    <definedName name="XRefPaste71" hidden="1">'[35].3 법인세부담액계산'!#REF!</definedName>
    <definedName name="XRefPaste71Row" localSheetId="4" hidden="1">#REF!</definedName>
    <definedName name="XRefPaste71Row" localSheetId="16" hidden="1">#REF!</definedName>
    <definedName name="XRefPaste71Row" hidden="1">#REF!</definedName>
    <definedName name="XRefPaste72" localSheetId="4" hidden="1">'[35].3 법인세부담액계산'!#REF!</definedName>
    <definedName name="XRefPaste72" localSheetId="16" hidden="1">'[35].3 법인세부담액계산'!#REF!</definedName>
    <definedName name="XRefPaste72" hidden="1">'[35].3 법인세부담액계산'!#REF!</definedName>
    <definedName name="XRefPaste72Row" localSheetId="4" hidden="1">#REF!</definedName>
    <definedName name="XRefPaste72Row" localSheetId="16" hidden="1">#REF!</definedName>
    <definedName name="XRefPaste72Row" hidden="1">#REF!</definedName>
    <definedName name="XRefPaste73" localSheetId="4" hidden="1">'[35].3 법인세부담액계산'!#REF!</definedName>
    <definedName name="XRefPaste73" localSheetId="16" hidden="1">'[35].3 법인세부담액계산'!#REF!</definedName>
    <definedName name="XRefPaste73" hidden="1">'[35].3 법인세부담액계산'!#REF!</definedName>
    <definedName name="XRefPaste73Row" localSheetId="4" hidden="1">#REF!</definedName>
    <definedName name="XRefPaste73Row" localSheetId="16" hidden="1">#REF!</definedName>
    <definedName name="XRefPaste73Row" hidden="1">#REF!</definedName>
    <definedName name="XRefPaste74" localSheetId="4" hidden="1">'[35].3 법인세부담액계산'!#REF!</definedName>
    <definedName name="XRefPaste74" localSheetId="16" hidden="1">'[35].3 법인세부담액계산'!#REF!</definedName>
    <definedName name="XRefPaste74" hidden="1">'[35].3 법인세부담액계산'!#REF!</definedName>
    <definedName name="XRefPaste74Row" localSheetId="4" hidden="1">#REF!</definedName>
    <definedName name="XRefPaste74Row" localSheetId="16" hidden="1">#REF!</definedName>
    <definedName name="XRefPaste74Row" hidden="1">#REF!</definedName>
    <definedName name="XRefPaste75" localSheetId="4" hidden="1">'[35].3 법인세부담액계산'!#REF!</definedName>
    <definedName name="XRefPaste75" localSheetId="16" hidden="1">'[35].3 법인세부담액계산'!#REF!</definedName>
    <definedName name="XRefPaste75" hidden="1">'[35].3 법인세부담액계산'!#REF!</definedName>
    <definedName name="XRefPaste75Row" localSheetId="4" hidden="1">#REF!</definedName>
    <definedName name="XRefPaste75Row" localSheetId="16" hidden="1">#REF!</definedName>
    <definedName name="XRefPaste75Row" hidden="1">#REF!</definedName>
    <definedName name="XRefPaste76" localSheetId="4" hidden="1">'[35].3 법인세부담액계산'!#REF!</definedName>
    <definedName name="XRefPaste76" localSheetId="16" hidden="1">'[35].3 법인세부담액계산'!#REF!</definedName>
    <definedName name="XRefPaste76" hidden="1">'[35].3 법인세부담액계산'!#REF!</definedName>
    <definedName name="XRefPaste76Row" localSheetId="4" hidden="1">#REF!</definedName>
    <definedName name="XRefPaste76Row" localSheetId="16" hidden="1">#REF!</definedName>
    <definedName name="XRefPaste76Row" hidden="1">#REF!</definedName>
    <definedName name="XRefPaste77" localSheetId="4" hidden="1">'[35].3 법인세부담액계산'!#REF!</definedName>
    <definedName name="XRefPaste77" localSheetId="16" hidden="1">'[35].3 법인세부담액계산'!#REF!</definedName>
    <definedName name="XRefPaste77" hidden="1">'[35].3 법인세부담액계산'!#REF!</definedName>
    <definedName name="XRefPaste77Row" localSheetId="4" hidden="1">#REF!</definedName>
    <definedName name="XRefPaste77Row" localSheetId="16" hidden="1">#REF!</definedName>
    <definedName name="XRefPaste77Row" hidden="1">#REF!</definedName>
    <definedName name="XRefPaste78" localSheetId="4" hidden="1">'[35].3 법인세부담액계산'!#REF!</definedName>
    <definedName name="XRefPaste78" localSheetId="16" hidden="1">'[35].3 법인세부담액계산'!#REF!</definedName>
    <definedName name="XRefPaste78" hidden="1">'[35].3 법인세부담액계산'!#REF!</definedName>
    <definedName name="XRefPaste78Row" localSheetId="4" hidden="1">#REF!</definedName>
    <definedName name="XRefPaste78Row" localSheetId="16" hidden="1">#REF!</definedName>
    <definedName name="XRefPaste78Row" hidden="1">#REF!</definedName>
    <definedName name="XRefPaste79" localSheetId="4" hidden="1">'[35].3 법인세부담액계산'!#REF!</definedName>
    <definedName name="XRefPaste79" localSheetId="16" hidden="1">'[35].3 법인세부담액계산'!#REF!</definedName>
    <definedName name="XRefPaste79" hidden="1">'[35].3 법인세부담액계산'!#REF!</definedName>
    <definedName name="XRefPaste79Row" localSheetId="4" hidden="1">#REF!</definedName>
    <definedName name="XRefPaste79Row" localSheetId="16" hidden="1">#REF!</definedName>
    <definedName name="XRefPaste79Row" hidden="1">#REF!</definedName>
    <definedName name="XRefPaste7Row" localSheetId="4" hidden="1">#REF!</definedName>
    <definedName name="XRefPaste7Row" localSheetId="16" hidden="1">#REF!</definedName>
    <definedName name="XRefPaste7Row" hidden="1">#REF!</definedName>
    <definedName name="XRefPaste8" localSheetId="4" hidden="1">#REF!</definedName>
    <definedName name="XRefPaste8" localSheetId="16" hidden="1">#REF!</definedName>
    <definedName name="XRefPaste8" hidden="1">#REF!</definedName>
    <definedName name="XRefPaste80" localSheetId="4" hidden="1">'[35].3 법인세부담액계산'!#REF!</definedName>
    <definedName name="XRefPaste80" localSheetId="16" hidden="1">'[35].3 법인세부담액계산'!#REF!</definedName>
    <definedName name="XRefPaste80" hidden="1">'[35].3 법인세부담액계산'!#REF!</definedName>
    <definedName name="XRefPaste80Row" localSheetId="4" hidden="1">#REF!</definedName>
    <definedName name="XRefPaste80Row" localSheetId="16" hidden="1">#REF!</definedName>
    <definedName name="XRefPaste80Row" hidden="1">#REF!</definedName>
    <definedName name="XRefPaste81" localSheetId="4" hidden="1">'[35].3 법인세부담액계산'!#REF!</definedName>
    <definedName name="XRefPaste81" localSheetId="16" hidden="1">'[35].3 법인세부담액계산'!#REF!</definedName>
    <definedName name="XRefPaste81" hidden="1">'[35].3 법인세부담액계산'!#REF!</definedName>
    <definedName name="XRefPaste81Row" localSheetId="4" hidden="1">#REF!</definedName>
    <definedName name="XRefPaste81Row" localSheetId="16" hidden="1">#REF!</definedName>
    <definedName name="XRefPaste81Row" hidden="1">#REF!</definedName>
    <definedName name="XRefPaste82" localSheetId="4" hidden="1">'[35].3 법인세부담액계산'!#REF!</definedName>
    <definedName name="XRefPaste82" localSheetId="16" hidden="1">'[35].3 법인세부담액계산'!#REF!</definedName>
    <definedName name="XRefPaste82" hidden="1">'[35].3 법인세부담액계산'!#REF!</definedName>
    <definedName name="XRefPaste82Row" localSheetId="4" hidden="1">#REF!</definedName>
    <definedName name="XRefPaste82Row" localSheetId="16" hidden="1">#REF!</definedName>
    <definedName name="XRefPaste82Row" hidden="1">#REF!</definedName>
    <definedName name="XRefPaste83" localSheetId="4" hidden="1">'[35].3 법인세부담액계산'!#REF!</definedName>
    <definedName name="XRefPaste83" localSheetId="16" hidden="1">'[35].3 법인세부담액계산'!#REF!</definedName>
    <definedName name="XRefPaste83" hidden="1">'[35].3 법인세부담액계산'!#REF!</definedName>
    <definedName name="XRefPaste83Row" localSheetId="4" hidden="1">#REF!</definedName>
    <definedName name="XRefPaste83Row" localSheetId="16" hidden="1">#REF!</definedName>
    <definedName name="XRefPaste83Row" hidden="1">#REF!</definedName>
    <definedName name="XRefPaste84Row" localSheetId="4" hidden="1">[35]XREF!#REF!</definedName>
    <definedName name="XRefPaste84Row" localSheetId="16" hidden="1">[35]XREF!#REF!</definedName>
    <definedName name="XRefPaste84Row" hidden="1">[35]XREF!#REF!</definedName>
    <definedName name="XRefPaste85Row" localSheetId="4" hidden="1">[35]XREF!#REF!</definedName>
    <definedName name="XRefPaste85Row" localSheetId="16" hidden="1">[35]XREF!#REF!</definedName>
    <definedName name="XRefPaste85Row" hidden="1">[35]XREF!#REF!</definedName>
    <definedName name="XRefPaste86Row" localSheetId="4" hidden="1">[35]XREF!#REF!</definedName>
    <definedName name="XRefPaste86Row" localSheetId="16" hidden="1">[35]XREF!#REF!</definedName>
    <definedName name="XRefPaste86Row" hidden="1">[35]XREF!#REF!</definedName>
    <definedName name="XRefPaste87Row" localSheetId="4" hidden="1">[35]XREF!#REF!</definedName>
    <definedName name="XRefPaste87Row" localSheetId="16" hidden="1">[35]XREF!#REF!</definedName>
    <definedName name="XRefPaste87Row" hidden="1">[35]XREF!#REF!</definedName>
    <definedName name="XRefPaste88Row" localSheetId="4" hidden="1">[35]XREF!#REF!</definedName>
    <definedName name="XRefPaste88Row" localSheetId="16" hidden="1">[35]XREF!#REF!</definedName>
    <definedName name="XRefPaste88Row" hidden="1">[35]XREF!#REF!</definedName>
    <definedName name="XRefPaste89" localSheetId="4" hidden="1">#REF!</definedName>
    <definedName name="XRefPaste89" localSheetId="16" hidden="1">#REF!</definedName>
    <definedName name="XRefPaste89" hidden="1">#REF!</definedName>
    <definedName name="XRefPaste89Row" localSheetId="4" hidden="1">[35]XREF!#REF!</definedName>
    <definedName name="XRefPaste89Row" localSheetId="16" hidden="1">[35]XREF!#REF!</definedName>
    <definedName name="XRefPaste89Row" hidden="1">[35]XREF!#REF!</definedName>
    <definedName name="XRefPaste8Row" localSheetId="4" hidden="1">#REF!</definedName>
    <definedName name="XRefPaste8Row" localSheetId="16" hidden="1">#REF!</definedName>
    <definedName name="XRefPaste8Row" hidden="1">#REF!</definedName>
    <definedName name="XRefPaste9" localSheetId="4" hidden="1">#REF!</definedName>
    <definedName name="XRefPaste9" localSheetId="16" hidden="1">#REF!</definedName>
    <definedName name="XRefPaste9" hidden="1">#REF!</definedName>
    <definedName name="XRefPaste90" localSheetId="4" hidden="1">#REF!</definedName>
    <definedName name="XRefPaste90" localSheetId="16" hidden="1">#REF!</definedName>
    <definedName name="XRefPaste90" hidden="1">#REF!</definedName>
    <definedName name="XRefPaste90Row" localSheetId="4" hidden="1">[35]XREF!#REF!</definedName>
    <definedName name="XRefPaste90Row" localSheetId="16" hidden="1">[35]XREF!#REF!</definedName>
    <definedName name="XRefPaste90Row" hidden="1">[35]XREF!#REF!</definedName>
    <definedName name="XRefPaste91" localSheetId="4" hidden="1">#REF!</definedName>
    <definedName name="XRefPaste91" localSheetId="16" hidden="1">#REF!</definedName>
    <definedName name="XRefPaste91" hidden="1">#REF!</definedName>
    <definedName name="XRefPaste91Row" localSheetId="4" hidden="1">[35]XREF!#REF!</definedName>
    <definedName name="XRefPaste91Row" localSheetId="16" hidden="1">[35]XREF!#REF!</definedName>
    <definedName name="XRefPaste91Row" hidden="1">[35]XREF!#REF!</definedName>
    <definedName name="XRefPaste92" localSheetId="4" hidden="1">#REF!</definedName>
    <definedName name="XRefPaste92" localSheetId="16" hidden="1">#REF!</definedName>
    <definedName name="XRefPaste92" hidden="1">#REF!</definedName>
    <definedName name="XRefPaste92Row" localSheetId="4" hidden="1">[35]XREF!#REF!</definedName>
    <definedName name="XRefPaste92Row" localSheetId="16" hidden="1">[35]XREF!#REF!</definedName>
    <definedName name="XRefPaste92Row" hidden="1">[35]XREF!#REF!</definedName>
    <definedName name="XRefPaste93" localSheetId="4" hidden="1">#REF!</definedName>
    <definedName name="XRefPaste93" localSheetId="16" hidden="1">#REF!</definedName>
    <definedName name="XRefPaste93" hidden="1">#REF!</definedName>
    <definedName name="XRefPaste93Row" localSheetId="4" hidden="1">[35]XREF!#REF!</definedName>
    <definedName name="XRefPaste93Row" localSheetId="16" hidden="1">[35]XREF!#REF!</definedName>
    <definedName name="XRefPaste93Row" hidden="1">[35]XREF!#REF!</definedName>
    <definedName name="XRefPaste94" localSheetId="4" hidden="1">#REF!</definedName>
    <definedName name="XRefPaste94" localSheetId="16" hidden="1">#REF!</definedName>
    <definedName name="XRefPaste94" hidden="1">#REF!</definedName>
    <definedName name="XRefPaste94Row" localSheetId="4" hidden="1">[35]XREF!#REF!</definedName>
    <definedName name="XRefPaste94Row" localSheetId="16" hidden="1">[35]XREF!#REF!</definedName>
    <definedName name="XRefPaste94Row" hidden="1">[35]XREF!#REF!</definedName>
    <definedName name="XRefPaste95" localSheetId="4" hidden="1">#REF!</definedName>
    <definedName name="XRefPaste95" localSheetId="16" hidden="1">#REF!</definedName>
    <definedName name="XRefPaste95" hidden="1">#REF!</definedName>
    <definedName name="XRefPaste95Row" localSheetId="4" hidden="1">[35]XREF!#REF!</definedName>
    <definedName name="XRefPaste95Row" localSheetId="16" hidden="1">[35]XREF!#REF!</definedName>
    <definedName name="XRefPaste95Row" hidden="1">[35]XREF!#REF!</definedName>
    <definedName name="XRefPaste96" localSheetId="4" hidden="1">#REF!</definedName>
    <definedName name="XRefPaste96" localSheetId="16" hidden="1">#REF!</definedName>
    <definedName name="XRefPaste96" hidden="1">#REF!</definedName>
    <definedName name="XRefPaste96Row" localSheetId="4" hidden="1">[35]XREF!#REF!</definedName>
    <definedName name="XRefPaste96Row" localSheetId="16" hidden="1">[35]XREF!#REF!</definedName>
    <definedName name="XRefPaste96Row" hidden="1">[35]XREF!#REF!</definedName>
    <definedName name="XRefPaste97" localSheetId="4" hidden="1">#REF!</definedName>
    <definedName name="XRefPaste97" localSheetId="16" hidden="1">#REF!</definedName>
    <definedName name="XRefPaste97" hidden="1">#REF!</definedName>
    <definedName name="XRefPaste97Row" localSheetId="4" hidden="1">[35]XREF!#REF!</definedName>
    <definedName name="XRefPaste97Row" localSheetId="16" hidden="1">[35]XREF!#REF!</definedName>
    <definedName name="XRefPaste97Row" hidden="1">[35]XREF!#REF!</definedName>
    <definedName name="XRefPaste98" localSheetId="4" hidden="1">#REF!</definedName>
    <definedName name="XRefPaste98" localSheetId="16" hidden="1">#REF!</definedName>
    <definedName name="XRefPaste98" hidden="1">#REF!</definedName>
    <definedName name="XRefPaste98Row" localSheetId="4" hidden="1">[35]XREF!#REF!</definedName>
    <definedName name="XRefPaste98Row" localSheetId="16" hidden="1">[35]XREF!#REF!</definedName>
    <definedName name="XRefPaste98Row" hidden="1">[35]XREF!#REF!</definedName>
    <definedName name="XRefPaste99" localSheetId="4" hidden="1">#REF!</definedName>
    <definedName name="XRefPaste99" localSheetId="16" hidden="1">#REF!</definedName>
    <definedName name="XRefPaste99" hidden="1">#REF!</definedName>
    <definedName name="XRefPaste99Row" localSheetId="4" hidden="1">[35]XREF!#REF!</definedName>
    <definedName name="XRefPaste99Row" localSheetId="16" hidden="1">[35]XREF!#REF!</definedName>
    <definedName name="XRefPaste99Row" hidden="1">[35]XREF!#REF!</definedName>
    <definedName name="XRefPaste9Row" localSheetId="4" hidden="1">#REF!</definedName>
    <definedName name="XRefPaste9Row" localSheetId="16" hidden="1">#REF!</definedName>
    <definedName name="XRefPaste9Row" hidden="1">#REF!</definedName>
    <definedName name="XRefPasteRangeCount" hidden="1">4</definedName>
    <definedName name="xx" localSheetId="6" hidden="1">#REF!</definedName>
    <definedName name="y" localSheetId="16" hidden="1">{#N/A,#N/A,FALSE,"PART-1234-8-12-9(41)";#N/A,#N/A,FALSE,"PARTS-2(3)";#N/A,#N/A,FALSE,"VAN SYSTEM";#N/A,#N/A,FALSE,"PARTS-10(26)";#N/A,#N/A,FALSE,"PART-5-6-7-11(14)";#N/A,#N/A,FALSE,"PARTS-4(3)";#N/A,#N/A,FALSE,"PCLASS"}</definedName>
    <definedName name="y" hidden="1">{#N/A,#N/A,FALSE,"PART-1234-8-12-9(41)";#N/A,#N/A,FALSE,"PARTS-2(3)";#N/A,#N/A,FALSE,"VAN SYSTEM";#N/A,#N/A,FALSE,"PARTS-10(26)";#N/A,#N/A,FALSE,"PART-5-6-7-11(14)";#N/A,#N/A,FALSE,"PARTS-4(3)";#N/A,#N/A,FALSE,"PCLASS"}</definedName>
    <definedName name="YH" localSheetId="16" hidden="1">{#N/A,#N/A,FALSE,"PART-1234-8-12-9(41)";#N/A,#N/A,FALSE,"PARTS-2(3)";#N/A,#N/A,FALSE,"VAN SYSTEM";#N/A,#N/A,FALSE,"PARTS-10(26)";#N/A,#N/A,FALSE,"PART-5-6-7-11(14)";#N/A,#N/A,FALSE,"PARTS-4(3)";#N/A,#N/A,FALSE,"PCLASS"}</definedName>
    <definedName name="YH" hidden="1">{#N/A,#N/A,FALSE,"PART-1234-8-12-9(41)";#N/A,#N/A,FALSE,"PARTS-2(3)";#N/A,#N/A,FALSE,"VAN SYSTEM";#N/A,#N/A,FALSE,"PARTS-10(26)";#N/A,#N/A,FALSE,"PART-5-6-7-11(14)";#N/A,#N/A,FALSE,"PARTS-4(3)";#N/A,#N/A,FALSE,"PCLASS"}</definedName>
    <definedName name="YU" localSheetId="16"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YU" hidden="1">{#N/A,#N/A,FALSE,"B-001";#N/A,#N/A,FALSE,"B-002";#N/A,#N/A,FALSE,"B-003";#N/A,#N/A,FALSE,"B-004";#N/A,#N/A,FALSE,"B-005";#N/A,#N/A,FALSE,"B-010";#N/A,#N/A,FALSE,"C-001";#N/A,#N/A,FALSE,"C-002";#N/A,#N/A,FALSE,"C-003";#N/A,#N/A,FALSE,"C-004";#N/A,#N/A,FALSE,"C-005";#N/A,#N/A,FALSE,"C-010";#N/A,#N/A,FALSE,"D-001";#N/A,#N/A,FALSE,"D-003";#N/A,#N/A,FALSE,"E-001";#N/A,#N/A,FALSE,"E-002";#N/A,#N/A,FALSE,"E-011";#N/A,#N/A,FALSE,"E-012";#N/A,#N/A,FALSE,"F-001";#N/A,#N/A,FALSE,"F-005";#N/A,#N/A,FALSE,"J-001";#N/A,#N/A,FALSE,"J-002";#N/A,#N/A,FALSE,"J-003";#N/A,#N/A,FALSE,"J-004";#N/A,#N/A,FALSE,"J-005";#N/A,#N/A,FALSE,"J-006";#N/A,#N/A,FALSE,"J-008";#N/A,#N/A,FALSE,"J-009";#N/A,#N/A,FALSE,"J-011";#N/A,#N/A,FALSE,"J-012";#N/A,#N/A,FALSE,"J-014";#N/A,#N/A,FALSE,"J-017";#N/A,#N/A,FALSE,"L-001";#N/A,#N/A,FALSE,"L-002";#N/A,#N/A,FALSE,"L-003";#N/A,#N/A,FALSE,"L-004";#N/A,#N/A,FALSE,"L-005";#N/A,#N/A,FALSE,"L-006";#N/A,#N/A,FALSE,"L-007";#N/A,#N/A,FALSE,"L-051";#N/A,#N/A,FALSE,"L-052";#N/A,#N/A,FALSE,"L-053";#N/A,#N/A,FALSE,"L-054";#N/A,#N/A,FALSE,"L-058";#N/A,#N/A,FALSE,"LR-001";#N/A,#N/A,FALSE,"U-001";#N/A,#N/A,FALSE,"U-002";#N/A,#N/A,FALSE,"U-010";#N/A,#N/A,FALSE,"U-051";#N/A,#N/A,FALSE,"UC-001";#N/A,#N/A,FALSE,"SIDE FILTER";#N/A,#N/A,FALSE,"CI-001-3";#N/A,#N/A,FALSE,"Load Arm"}</definedName>
    <definedName name="YUYUY" localSheetId="16" hidden="1">{#N/A,#N/A,FALSE,"혼합골재"}</definedName>
    <definedName name="YUYUY" hidden="1">{#N/A,#N/A,FALSE,"혼합골재"}</definedName>
    <definedName name="yyy" localSheetId="16" hidden="1">{#N/A,#N/A,FALSE,"지침";#N/A,#N/A,FALSE,"환경분석";#N/A,#N/A,FALSE,"Sheet16"}</definedName>
    <definedName name="yyy" hidden="1">{#N/A,#N/A,FALSE,"지침";#N/A,#N/A,FALSE,"환경분석";#N/A,#N/A,FALSE,"Sheet16"}</definedName>
    <definedName name="yyyy"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yyyy"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Z_18B7B7A5_CB81_11D4_B8D9_00D0B79CFA38_.wvu.FilterData" localSheetId="6" hidden="1">#REF!</definedName>
    <definedName name="Z_18B7B7A5_CB81_11D4_B8D9_00D0B79CFA38_.wvu.FilterData" localSheetId="3" hidden="1">#REF!</definedName>
    <definedName name="Z_18B7B7A5_CB81_11D4_B8D9_00D0B79CFA38_.wvu.FilterData" localSheetId="4" hidden="1">#REF!</definedName>
    <definedName name="Z_18B7B7A5_CB81_11D4_B8D9_00D0B79CFA38_.wvu.FilterData" localSheetId="5" hidden="1">#REF!</definedName>
    <definedName name="Z_18B7B7A5_CB81_11D4_B8D9_00D0B79CFA38_.wvu.FilterData" localSheetId="16" hidden="1">#REF!</definedName>
    <definedName name="Z_18B7B7A5_CB81_11D4_B8D9_00D0B79CFA38_.wvu.FilterData" localSheetId="0" hidden="1">#REF!</definedName>
    <definedName name="Z_18B7B7A5_CB81_11D4_B8D9_00D0B79CFA38_.wvu.FilterData" hidden="1">#REF!</definedName>
    <definedName name="Z_1E68EE86_CB81_11D4_8D98_0008C73BAB8A_.wvu.FilterData" localSheetId="6" hidden="1">#REF!</definedName>
    <definedName name="Z_1E68EE86_CB81_11D4_8D98_0008C73BAB8A_.wvu.FilterData" localSheetId="3" hidden="1">#REF!</definedName>
    <definedName name="Z_1E68EE86_CB81_11D4_8D98_0008C73BAB8A_.wvu.FilterData" localSheetId="4" hidden="1">#REF!</definedName>
    <definedName name="Z_1E68EE86_CB81_11D4_8D98_0008C73BAB8A_.wvu.FilterData" localSheetId="5" hidden="1">#REF!</definedName>
    <definedName name="Z_1E68EE86_CB81_11D4_8D98_0008C73BAB8A_.wvu.FilterData" localSheetId="16" hidden="1">#REF!</definedName>
    <definedName name="Z_1E68EE86_CB81_11D4_8D98_0008C73BAB8A_.wvu.FilterData" localSheetId="0" hidden="1">#REF!</definedName>
    <definedName name="Z_1E68EE86_CB81_11D4_8D98_0008C73BAB8A_.wvu.FilterData" hidden="1">#REF!</definedName>
    <definedName name="Z_1F713D72_E6F4_11D3_8E1E_00A0244E179B_.wvu.Cols" localSheetId="4" hidden="1">#REF!</definedName>
    <definedName name="Z_1F713D72_E6F4_11D3_8E1E_00A0244E179B_.wvu.Cols" localSheetId="16" hidden="1">#REF!</definedName>
    <definedName name="Z_1F713D72_E6F4_11D3_8E1E_00A0244E179B_.wvu.Cols" hidden="1">#REF!</definedName>
    <definedName name="Z_1F713D72_E6F4_11D3_8E1E_00A0244E179B_.wvu.PrintArea" localSheetId="4" hidden="1">#REF!</definedName>
    <definedName name="Z_1F713D72_E6F4_11D3_8E1E_00A0244E179B_.wvu.PrintArea" localSheetId="16" hidden="1">#REF!</definedName>
    <definedName name="Z_1F713D72_E6F4_11D3_8E1E_00A0244E179B_.wvu.PrintArea" hidden="1">#REF!</definedName>
    <definedName name="Z_6332A1C3_4451_11D5_8DF3_00C026000EEF_.wvu.PrintTitles" localSheetId="4" hidden="1">#REF!</definedName>
    <definedName name="Z_6332A1C3_4451_11D5_8DF3_00C026000EEF_.wvu.PrintTitles" localSheetId="16" hidden="1">#REF!</definedName>
    <definedName name="Z_6332A1C3_4451_11D5_8DF3_00C026000EEF_.wvu.PrintTitles" hidden="1">#REF!</definedName>
    <definedName name="Z_6C188702_CB61_11D4_8F58_00508BF61DE6_.wvu.FilterData" localSheetId="6" hidden="1">#REF!</definedName>
    <definedName name="Z_6C188702_CB61_11D4_8F58_00508BF61DE6_.wvu.FilterData" localSheetId="3" hidden="1">#REF!</definedName>
    <definedName name="Z_6C188702_CB61_11D4_8F58_00508BF61DE6_.wvu.FilterData" localSheetId="4" hidden="1">#REF!</definedName>
    <definedName name="Z_6C188702_CB61_11D4_8F58_00508BF61DE6_.wvu.FilterData" localSheetId="5" hidden="1">#REF!</definedName>
    <definedName name="Z_6C188702_CB61_11D4_8F58_00508BF61DE6_.wvu.FilterData" localSheetId="16" hidden="1">#REF!</definedName>
    <definedName name="Z_6C188702_CB61_11D4_8F58_00508BF61DE6_.wvu.FilterData" localSheetId="0" hidden="1">#REF!</definedName>
    <definedName name="Z_6C188702_CB61_11D4_8F58_00508BF61DE6_.wvu.FilterData" hidden="1">#REF!</definedName>
    <definedName name="Z_A56863A1_CC32_11D4_8E20_00D0B79C982E_.wvu.FilterData" localSheetId="6" hidden="1">#REF!</definedName>
    <definedName name="Z_A56863A1_CC32_11D4_8E20_00D0B79C982E_.wvu.FilterData" localSheetId="3" hidden="1">#REF!</definedName>
    <definedName name="Z_A56863A1_CC32_11D4_8E20_00D0B79C982E_.wvu.FilterData" localSheetId="4" hidden="1">#REF!</definedName>
    <definedName name="Z_A56863A1_CC32_11D4_8E20_00D0B79C982E_.wvu.FilterData" localSheetId="5" hidden="1">#REF!</definedName>
    <definedName name="Z_A56863A1_CC32_11D4_8E20_00D0B79C982E_.wvu.FilterData" localSheetId="16" hidden="1">#REF!</definedName>
    <definedName name="Z_A56863A1_CC32_11D4_8E20_00D0B79C982E_.wvu.FilterData" localSheetId="0" hidden="1">#REF!</definedName>
    <definedName name="Z_A56863A1_CC32_11D4_8E20_00D0B79C982E_.wvu.FilterData" hidden="1">#REF!</definedName>
    <definedName name="Z_BFEEB821_E6AD_11D3_88E4_00E09870C276_.wvu.PrintArea" localSheetId="4" hidden="1">#REF!</definedName>
    <definedName name="Z_BFEEB821_E6AD_11D3_88E4_00E09870C276_.wvu.PrintArea" localSheetId="16" hidden="1">#REF!</definedName>
    <definedName name="Z_BFEEB821_E6AD_11D3_88E4_00E09870C276_.wvu.PrintArea" hidden="1">#REF!</definedName>
    <definedName name="Z_DB8AC590_3D3A_11D5_BCB0_000021EC112A_.wvu.Cols" localSheetId="4" hidden="1">#REF!</definedName>
    <definedName name="Z_DB8AC590_3D3A_11D5_BCB0_000021EC112A_.wvu.Cols" localSheetId="16" hidden="1">#REF!</definedName>
    <definedName name="Z_DB8AC590_3D3A_11D5_BCB0_000021EC112A_.wvu.Cols" hidden="1">#REF!</definedName>
    <definedName name="Z_DB8AC590_3D3A_11D5_BCB0_000021EC112A_.wvu.PrintArea" localSheetId="4" hidden="1">#REF!</definedName>
    <definedName name="Z_DB8AC590_3D3A_11D5_BCB0_000021EC112A_.wvu.PrintArea" localSheetId="16" hidden="1">#REF!</definedName>
    <definedName name="Z_DB8AC590_3D3A_11D5_BCB0_000021EC112A_.wvu.PrintArea" hidden="1">#REF!</definedName>
    <definedName name="Z_DB8AC590_3D3A_11D5_BCB0_000021EC112A_.wvu.PrintTitles" localSheetId="4" hidden="1">#REF!</definedName>
    <definedName name="Z_DB8AC590_3D3A_11D5_BCB0_000021EC112A_.wvu.PrintTitles" localSheetId="16" hidden="1">#REF!</definedName>
    <definedName name="Z_DB8AC590_3D3A_11D5_BCB0_000021EC112A_.wvu.PrintTitles" hidden="1">#REF!</definedName>
    <definedName name="Z_DB8AC590_3D3A_11D5_BCB0_000021EC112A_.wvu.Rows" localSheetId="4" hidden="1">#REF!,#REF!</definedName>
    <definedName name="Z_DB8AC590_3D3A_11D5_BCB0_000021EC112A_.wvu.Rows" localSheetId="16" hidden="1">#REF!,#REF!</definedName>
    <definedName name="Z_DB8AC590_3D3A_11D5_BCB0_000021EC112A_.wvu.Rows" hidden="1">#REF!,#REF!</definedName>
    <definedName name="Z_F6AB6A24_E5D5_11D3_B573_00104BA1686B_.wvu.Cols" localSheetId="4" hidden="1">#REF!,#REF!,#REF!</definedName>
    <definedName name="Z_F6AB6A24_E5D5_11D3_B573_00104BA1686B_.wvu.Cols" localSheetId="16" hidden="1">#REF!,#REF!,#REF!</definedName>
    <definedName name="Z_F6AB6A24_E5D5_11D3_B573_00104BA1686B_.wvu.Cols" hidden="1">#REF!,#REF!,#REF!</definedName>
    <definedName name="zb" localSheetId="4" hidden="1">#REF!</definedName>
    <definedName name="zb" localSheetId="16" hidden="1">#REF!</definedName>
    <definedName name="zb" hidden="1">#REF!</definedName>
    <definedName name="zc" localSheetId="4" hidden="1">'[1]TOWER 10TON'!#REF!</definedName>
    <definedName name="zc" localSheetId="16" hidden="1">'[1]TOWER 10TON'!#REF!</definedName>
    <definedName name="zc" hidden="1">'[1]TOWER 10TON'!#REF!</definedName>
    <definedName name="zn" localSheetId="4" hidden="1">#REF!</definedName>
    <definedName name="zn" localSheetId="16" hidden="1">#REF!</definedName>
    <definedName name="zn" hidden="1">#REF!</definedName>
    <definedName name="zv" localSheetId="4" hidden="1">#REF!</definedName>
    <definedName name="zv" localSheetId="16" hidden="1">#REF!</definedName>
    <definedName name="zv" hidden="1">#REF!</definedName>
    <definedName name="zx" localSheetId="4" hidden="1">'[1]TOWER 10TON'!#REF!</definedName>
    <definedName name="zx" localSheetId="16" hidden="1">'[1]TOWER 10TON'!#REF!</definedName>
    <definedName name="zx" hidden="1">'[1]TOWER 10TON'!#REF!</definedName>
    <definedName name="ZXC" localSheetId="16" hidden="1">{#N/A,#N/A,FALSE,"이태원철근"}</definedName>
    <definedName name="ZXC" hidden="1">{#N/A,#N/A,FALSE,"이태원철근"}</definedName>
    <definedName name="ZZZ"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ZZZ"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ㄱ" localSheetId="16" hidden="1">{#N/A,#N/A,FALSE,"이태원철근"}</definedName>
    <definedName name="ㄱ" hidden="1">{#N/A,#N/A,FALSE,"이태원철근"}</definedName>
    <definedName name="ㄱㄱ" localSheetId="16" hidden="1">{#N/A,#N/A,FALSE,"이태원철근"}</definedName>
    <definedName name="ㄱㄱ" hidden="1">{#N/A,#N/A,FALSE,"이태원철근"}</definedName>
    <definedName name="ㄱㄱㄱ"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ㄱㄱㄱ" hidden="1">{#N/A,#N/A,FALSE,"손익표지";#N/A,#N/A,FALSE,"손익계산";#N/A,#N/A,FALSE,"일반관리비";#N/A,#N/A,FALSE,"영업외수익";#N/A,#N/A,FALSE,"영업외비용";#N/A,#N/A,FALSE,"매출액";#N/A,#N/A,FALSE,"요약손익";#N/A,#N/A,FALSE,"요약대차";#N/A,#N/A,FALSE,"매출채권현황";#N/A,#N/A,FALSE,"매출채권명세"}</definedName>
    <definedName name="ㄱㄱㄱㄱ" localSheetId="16" hidden="1">{#N/A,#N/A,FALSE,"지침";#N/A,#N/A,FALSE,"환경분석";#N/A,#N/A,FALSE,"Sheet16"}</definedName>
    <definedName name="ㄱㄱㄱㄱ" hidden="1">{#N/A,#N/A,FALSE,"지침";#N/A,#N/A,FALSE,"환경분석";#N/A,#N/A,FALSE,"Sheet16"}</definedName>
    <definedName name="ㄱㄷㅈㄷㄱ"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ㄱㄷㅈㄷㄱ"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ㄱㄷㅈㅅㅈㄷ" hidden="1">{#N/A,#N/A,FALSE,"손익표지";#N/A,#N/A,FALSE,"손익계산";#N/A,#N/A,FALSE,"일반관리비";#N/A,#N/A,FALSE,"영업외수익";#N/A,#N/A,FALSE,"영업외비용";#N/A,#N/A,FALSE,"매출액";#N/A,#N/A,FALSE,"요약손익";#N/A,#N/A,FALSE,"요약대차";#N/A,#N/A,FALSE,"매출채권현황";#N/A,#N/A,FALSE,"매출채권명세"}</definedName>
    <definedName name="ㄱ쇽숏교" localSheetId="16" hidden="1">{#N/A,#N/A,FALSE,"이태원철근"}</definedName>
    <definedName name="ㄱ쇽숏교" hidden="1">{#N/A,#N/A,FALSE,"이태원철근"}</definedName>
    <definedName name="ㄱ숏ㄱ요오헐" localSheetId="16" hidden="1">{#N/A,#N/A,FALSE,"이태원철근"}</definedName>
    <definedName name="ㄱ숏ㄱ요오헐" hidden="1">{#N/A,#N/A,FALSE,"이태원철근"}</definedName>
    <definedName name="ㄱㅈㅎ" localSheetId="4" hidden="1">#REF!</definedName>
    <definedName name="ㄱㅈㅎ" localSheetId="16" hidden="1">#REF!</definedName>
    <definedName name="ㄱㅈㅎ" hidden="1">#REF!</definedName>
    <definedName name="가" localSheetId="4" hidden="1">#REF!</definedName>
    <definedName name="가" localSheetId="16" hidden="1">#REF!</definedName>
    <definedName name="가" hidden="1">#REF!</definedName>
    <definedName name="가가" localSheetId="16" hidden="1">{#N/A,#N/A,FALSE,"Sheet5"}</definedName>
    <definedName name="가가" hidden="1">{#N/A,#N/A,FALSE,"Sheet5"}</definedName>
    <definedName name="가갸" localSheetId="16" hidden="1">{#N/A,#N/A,FALSE,"이태원철근"}</definedName>
    <definedName name="가갸" hidden="1">{#N/A,#N/A,FALSE,"이태원철근"}</definedName>
    <definedName name="가설재" localSheetId="16" hidden="1">{#N/A,#N/A,FALSE,"혼합골재"}</definedName>
    <definedName name="가설재" hidden="1">{#N/A,#N/A,FALSE,"혼합골재"}</definedName>
    <definedName name="감" localSheetId="1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감"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갑지" localSheetId="6" hidden="1">[42]내역서!#REF!</definedName>
    <definedName name="강관" localSheetId="16" hidden="1">{#N/A,#N/A,FALSE,"부대1"}</definedName>
    <definedName name="강관" hidden="1">{#N/A,#N/A,FALSE,"부대1"}</definedName>
    <definedName name="강관파일" localSheetId="16" hidden="1">{#N/A,#N/A,FALSE,"부대1"}</definedName>
    <definedName name="강관파일" hidden="1">{#N/A,#N/A,FALSE,"부대1"}</definedName>
    <definedName name="강릉교동" localSheetId="4" hidden="1">#REF!</definedName>
    <definedName name="강릉교동" localSheetId="16" hidden="1">#REF!</definedName>
    <definedName name="강릉교동" hidden="1">#REF!</definedName>
    <definedName name="강릉교동터파기" localSheetId="4" hidden="1">#REF!</definedName>
    <definedName name="강릉교동터파기" localSheetId="16" hidden="1">#REF!</definedName>
    <definedName name="강릉교동터파기" hidden="1">#REF!</definedName>
    <definedName name="강릉교동토목" localSheetId="4" hidden="1">#REF!</definedName>
    <definedName name="강릉교동토목" localSheetId="16" hidden="1">#REF!</definedName>
    <definedName name="강릉교동토목" hidden="1">#REF!</definedName>
    <definedName name="강릉교동흙막이" localSheetId="4" hidden="1">#REF!</definedName>
    <definedName name="강릉교동흙막이" localSheetId="16" hidden="1">#REF!</definedName>
    <definedName name="강릉교동흙막이" hidden="1">#REF!</definedName>
    <definedName name="강릉토공사" localSheetId="4" hidden="1">#REF!</definedName>
    <definedName name="강릉토공사" localSheetId="16" hidden="1">#REF!</definedName>
    <definedName name="강릉토공사" hidden="1">#REF!</definedName>
    <definedName name="강릉토목공사" localSheetId="4" hidden="1">#REF!</definedName>
    <definedName name="강릉토목공사" localSheetId="16" hidden="1">#REF!</definedName>
    <definedName name="강릉토목공사" hidden="1">#REF!</definedName>
    <definedName name="강릉토목임" localSheetId="4" hidden="1">#REF!</definedName>
    <definedName name="강릉토목임" localSheetId="16" hidden="1">#REF!</definedName>
    <definedName name="강릉토목임" hidden="1">#REF!</definedName>
    <definedName name="강재" localSheetId="16" hidden="1">{#N/A,#N/A,FALSE,"혼합골재"}</definedName>
    <definedName name="강재" hidden="1">{#N/A,#N/A,FALSE,"혼합골재"}</definedName>
    <definedName name="거눛" localSheetId="16" hidden="1">{#N/A,#N/A,FALSE,"기안지";#N/A,#N/A,FALSE,"통신지"}</definedName>
    <definedName name="거눛" hidden="1">{#N/A,#N/A,FALSE,"기안지";#N/A,#N/A,FALSE,"통신지"}</definedName>
    <definedName name="거루라" localSheetId="4" hidden="1">[43]경비!#REF!</definedName>
    <definedName name="거루라" localSheetId="16" hidden="1">[43]경비!#REF!</definedName>
    <definedName name="거루라" hidden="1">[43]경비!#REF!</definedName>
    <definedName name="거르ㅓㄹ" localSheetId="4" hidden="1">[44]경비!#REF!</definedName>
    <definedName name="거르ㅓㄹ" localSheetId="16" hidden="1">[44]경비!#REF!</definedName>
    <definedName name="거르ㅓㄹ" hidden="1">[44]경비!#REF!</definedName>
    <definedName name="거제" localSheetId="16" hidden="1">{#N/A,#N/A,FALSE,"이태원철근"}</definedName>
    <definedName name="거제" hidden="1">{#N/A,#N/A,FALSE,"이태원철근"}</definedName>
    <definedName name="거제2" localSheetId="16" hidden="1">{#N/A,#N/A,FALSE,"이태원철근"}</definedName>
    <definedName name="거제2" hidden="1">{#N/A,#N/A,FALSE,"이태원철근"}</definedName>
    <definedName name="거제현장" localSheetId="16" hidden="1">{#N/A,#N/A,FALSE,"이태원철근"}</definedName>
    <definedName name="거제현장" hidden="1">{#N/A,#N/A,FALSE,"이태원철근"}</definedName>
    <definedName name="건물임." localSheetId="16" hidden="1">{"'손익현황'!$A$1:$J$29"}</definedName>
    <definedName name="건물임." hidden="1">{"'손익현황'!$A$1:$J$29"}</definedName>
    <definedName name="건축" localSheetId="16" hidden="1">{"'별표'!$N$220"}</definedName>
    <definedName name="건축" hidden="1">{"'별표'!$N$220"}</definedName>
    <definedName name="건축물" localSheetId="4" hidden="1">#REF!</definedName>
    <definedName name="건축물" localSheetId="16" hidden="1">#REF!</definedName>
    <definedName name="건축물" hidden="1">#REF!</definedName>
    <definedName name="건축토공" localSheetId="16" hidden="1">{#N/A,#N/A,FALSE,"기안지";#N/A,#N/A,FALSE,"통신지"}</definedName>
    <definedName name="건축토공" hidden="1">{#N/A,#N/A,FALSE,"기안지";#N/A,#N/A,FALSE,"통신지"}</definedName>
    <definedName name="건축팀별" localSheetId="16" hidden="1">{#N/A,#N/A,FALSE,"지침";#N/A,#N/A,FALSE,"환경분석";#N/A,#N/A,FALSE,"Sheet16"}</definedName>
    <definedName name="건축팀별" hidden="1">{#N/A,#N/A,FALSE,"지침";#N/A,#N/A,FALSE,"환경분석";#N/A,#N/A,FALSE,"Sheet16"}</definedName>
    <definedName name="건축평단가" localSheetId="16" hidden="1">{"'별표'!$N$220"}</definedName>
    <definedName name="건축평단가" hidden="1">{"'별표'!$N$220"}</definedName>
    <definedName name="검토의뢰서" localSheetId="16" hidden="1">{#N/A,#N/A,FALSE,"이태원철근"}</definedName>
    <definedName name="검토의뢰서" hidden="1">{#N/A,#N/A,FALSE,"이태원철근"}</definedName>
    <definedName name="검토의뢰서2" localSheetId="16" hidden="1">{#N/A,#N/A,FALSE,"이태원철근"}</definedName>
    <definedName name="검토의뢰서2" hidden="1">{#N/A,#N/A,FALSE,"이태원철근"}</definedName>
    <definedName name="겡오" localSheetId="16" hidden="1">{#N/A,#N/A,FALSE,"CCTV"}</definedName>
    <definedName name="겡오" hidden="1">{#N/A,#N/A,FALSE,"CCTV"}</definedName>
    <definedName name="견적" localSheetId="6" hidden="1">{#N/A,#N/A,FALSE,"CCTV"}</definedName>
    <definedName name="견적2"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3"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견적SHEET" localSheetId="16" hidden="1">{#N/A,#N/A,FALSE,"CCTV"}</definedName>
    <definedName name="견적SHEET" hidden="1">{#N/A,#N/A,FALSE,"CCTV"}</definedName>
    <definedName name="견적조건" localSheetId="4" hidden="1">[45]산근!#REF!</definedName>
    <definedName name="견적조건" localSheetId="16" hidden="1">[45]산근!#REF!</definedName>
    <definedName name="견적조건" hidden="1">[45]산근!#REF!</definedName>
    <definedName name="결산" localSheetId="16" hidden="1">{#N/A,#N/A,FALSE,"BS";#N/A,#N/A,FALSE,"IS";#N/A,#N/A,FALSE,"결손금처리";#N/A,#N/A,FALSE,"cashflow"}</definedName>
    <definedName name="결산" hidden="1">{#N/A,#N/A,FALSE,"BS";#N/A,#N/A,FALSE,"IS";#N/A,#N/A,FALSE,"결손금처리";#N/A,#N/A,FALSE,"cashflow"}</definedName>
    <definedName name="결재양식" localSheetId="16" hidden="1">{#N/A,#N/A,FALSE,"이태원철근"}</definedName>
    <definedName name="결재양식" hidden="1">{#N/A,#N/A,FALSE,"이태원철근"}</definedName>
    <definedName name="경비1" localSheetId="4" hidden="1">#REF!</definedName>
    <definedName name="경비1" localSheetId="16" hidden="1">#REF!</definedName>
    <definedName name="경비1" hidden="1">#REF!</definedName>
    <definedName name="경사"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계단"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계단"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계단기초"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계단기초"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구조"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구조"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기초"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기초"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로계단구조"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로계단구조"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부"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사부"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경영지표" localSheetId="16" hidden="1">{#N/A,#N/A,FALSE,"BS";#N/A,#N/A,FALSE,"PL";#N/A,#N/A,FALSE,"처분";#N/A,#N/A,FALSE,"현금";#N/A,#N/A,FALSE,"매출";#N/A,#N/A,FALSE,"원가";#N/A,#N/A,FALSE,"경영"}</definedName>
    <definedName name="경영지표" hidden="1">{#N/A,#N/A,FALSE,"BS";#N/A,#N/A,FALSE,"PL";#N/A,#N/A,FALSE,"처분";#N/A,#N/A,FALSE,"현금";#N/A,#N/A,FALSE,"매출";#N/A,#N/A,FALSE,"원가";#N/A,#N/A,FALSE,"경영"}</definedName>
    <definedName name="경위내용" localSheetId="16" hidden="1">{#N/A,#N/A,FALSE,"이태원철근"}</definedName>
    <definedName name="경위내용" hidden="1">{#N/A,#N/A,FALSE,"이태원철근"}</definedName>
    <definedName name="계속"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계속"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계수" localSheetId="16" hidden="1">{#N/A,#N/A,FALSE,"지침";#N/A,#N/A,FALSE,"환경분석";#N/A,#N/A,FALSE,"Sheet16"}</definedName>
    <definedName name="계수" hidden="1">{#N/A,#N/A,FALSE,"지침";#N/A,#N/A,FALSE,"환경분석";#N/A,#N/A,FALSE,"Sheet16"}</definedName>
    <definedName name="계장공사" localSheetId="16" hidden="1">{#N/A,#N/A,FALSE,"CCTV"}</definedName>
    <definedName name="계장공사" hidden="1">{#N/A,#N/A,FALSE,"CCTV"}</definedName>
    <definedName name="계전2" localSheetId="4" hidden="1">#REF!</definedName>
    <definedName name="계전2" localSheetId="16" hidden="1">#REF!</definedName>
    <definedName name="계전2" hidden="1">#REF!</definedName>
    <definedName name="계정명세서" localSheetId="16" hidden="1">{#N/A,#N/A,FALSE,"Sheet5"}</definedName>
    <definedName name="계정명세서" hidden="1">{#N/A,#N/A,FALSE,"Sheet5"}</definedName>
    <definedName name="고"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고"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고가5개년"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고가5개년"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고인" localSheetId="16" hidden="1">{#N/A,#N/A,FALSE,"PART-1234-8-12-9(41)";#N/A,#N/A,FALSE,"PARTS-2(3)";#N/A,#N/A,FALSE,"VAN SYSTEM";#N/A,#N/A,FALSE,"PARTS-10(26)";#N/A,#N/A,FALSE,"PART-5-6-7-11(14)";#N/A,#N/A,FALSE,"PARTS-4(3)";#N/A,#N/A,FALSE,"PCLASS"}</definedName>
    <definedName name="고인" hidden="1">{#N/A,#N/A,FALSE,"PART-1234-8-12-9(41)";#N/A,#N/A,FALSE,"PARTS-2(3)";#N/A,#N/A,FALSE,"VAN SYSTEM";#N/A,#N/A,FALSE,"PARTS-10(26)";#N/A,#N/A,FALSE,"PART-5-6-7-11(14)";#N/A,#N/A,FALSE,"PARTS-4(3)";#N/A,#N/A,FALSE,"PCLASS"}</definedName>
    <definedName name="곡동" localSheetId="16" hidden="1">{"'Firr(선)'!$AS$1:$AY$62","'Firr(사)'!$AS$1:$AY$62","'Firr(회)'!$AS$1:$AY$62","'Firr(선)'!$L$1:$V$62","'Firr(사)'!$L$1:$V$62","'Firr(회)'!$L$1:$V$62"}</definedName>
    <definedName name="곡동" hidden="1">{"'Firr(선)'!$AS$1:$AY$62","'Firr(사)'!$AS$1:$AY$62","'Firr(회)'!$AS$1:$AY$62","'Firr(선)'!$L$1:$V$62","'Firr(사)'!$L$1:$V$62","'Firr(회)'!$L$1:$V$62"}</definedName>
    <definedName name="공" localSheetId="6" hidden="1">{"'손익현황'!$A$1:$J$29"}</definedName>
    <definedName name="공구" localSheetId="6" hidden="1">{"'손익현황'!$A$1:$J$29"}</definedName>
    <definedName name="공구기구" localSheetId="16" hidden="1">{"'손익현황'!$A$1:$J$29"}</definedName>
    <definedName name="공구기구" hidden="1">{"'손익현황'!$A$1:$J$29"}</definedName>
    <definedName name="공구분할" localSheetId="16" hidden="1">{#N/A,#N/A,FALSE,"이태원철근"}</definedName>
    <definedName name="공구분할" hidden="1">{#N/A,#N/A,FALSE,"이태원철근"}</definedName>
    <definedName name="공기1" localSheetId="4" hidden="1">'[46]II. CF'!#REF!</definedName>
    <definedName name="공기1" localSheetId="16" hidden="1">'[46]II. CF'!#REF!</definedName>
    <definedName name="공기1" hidden="1">'[46]II. CF'!#REF!</definedName>
    <definedName name="공동구토공" localSheetId="16" hidden="1">{#N/A,#N/A,FALSE,"기안지";#N/A,#N/A,FALSE,"통신지"}</definedName>
    <definedName name="공동구토공" hidden="1">{#N/A,#N/A,FALSE,"기안지";#N/A,#N/A,FALSE,"통신지"}</definedName>
    <definedName name="공사" localSheetId="16" hidden="1">{#N/A,#N/A,FALSE,"이태원철근"}</definedName>
    <definedName name="공사" hidden="1">{#N/A,#N/A,FALSE,"이태원철근"}</definedName>
    <definedName name="공사1" localSheetId="16" hidden="1">{#N/A,#N/A,FALSE,"이태원철근"}</definedName>
    <definedName name="공사1" hidden="1">{#N/A,#N/A,FALSE,"이태원철근"}</definedName>
    <definedName name="공사개요최종" localSheetId="16" hidden="1">{#N/A,#N/A,FALSE,"이태원철근"}</definedName>
    <definedName name="공사개요최종" hidden="1">{#N/A,#N/A,FALSE,"이태원철근"}</definedName>
    <definedName name="공사기간">총괄장!$P$6</definedName>
    <definedName name="공사원가계산서" localSheetId="16" hidden="1">{#N/A,#N/A,TRUE,"토적및재료집계";#N/A,#N/A,TRUE,"토적및재료집계";#N/A,#N/A,TRUE,"단위량"}</definedName>
    <definedName name="공사원가계산서" hidden="1">{#N/A,#N/A,TRUE,"토적및재료집계";#N/A,#N/A,TRUE,"토적및재료집계";#N/A,#N/A,TRUE,"단위량"}</definedName>
    <definedName name="공임표1" localSheetId="16" hidden="1">{#N/A,#N/A,FALSE,"PART-1234-8-12-9(41)";#N/A,#N/A,FALSE,"PARTS-2(3)";#N/A,#N/A,FALSE,"VAN SYSTEM";#N/A,#N/A,FALSE,"PARTS-10(26)";#N/A,#N/A,FALSE,"PART-5-6-7-11(14)";#N/A,#N/A,FALSE,"PARTS-4(3)";#N/A,#N/A,FALSE,"PCLASS"}</definedName>
    <definedName name="공임표1" hidden="1">{#N/A,#N/A,FALSE,"PART-1234-8-12-9(41)";#N/A,#N/A,FALSE,"PARTS-2(3)";#N/A,#N/A,FALSE,"VAN SYSTEM";#N/A,#N/A,FALSE,"PARTS-10(26)";#N/A,#N/A,FALSE,"PART-5-6-7-11(14)";#N/A,#N/A,FALSE,"PARTS-4(3)";#N/A,#N/A,FALSE,"PCLASS"}</definedName>
    <definedName name="공정계획" localSheetId="16" hidden="1">{#N/A,#N/A,FALSE,"이태원철근"}</definedName>
    <definedName name="공정계획" hidden="1">{#N/A,#N/A,FALSE,"이태원철근"}</definedName>
    <definedName name="공통매입" localSheetId="4" hidden="1">[47]공통매입원장!#REF!</definedName>
    <definedName name="공통매입" localSheetId="16" hidden="1">[47]공통매입원장!#REF!</definedName>
    <definedName name="공통매입" hidden="1">[47]공통매입원장!#REF!</definedName>
    <definedName name="공통비" localSheetId="4" hidden="1">[48]유림골조!#REF!</definedName>
    <definedName name="공통비" localSheetId="16" hidden="1">[48]유림골조!#REF!</definedName>
    <definedName name="공통비" hidden="1">[48]유림골조!#REF!</definedName>
    <definedName name="공통비코아" localSheetId="4" hidden="1">[15]Sheet2!#REF!</definedName>
    <definedName name="공통비코아" localSheetId="16" hidden="1">[15]Sheet2!#REF!</definedName>
    <definedName name="공통비코아" hidden="1">[15]Sheet2!#REF!</definedName>
    <definedName name="곽동준" localSheetId="16" hidden="1">{"'Firr(선)'!$AS$1:$AY$62","'Firr(사)'!$AS$1:$AY$62","'Firr(회)'!$AS$1:$AY$62","'Firr(선)'!$L$1:$V$62","'Firr(사)'!$L$1:$V$62","'Firr(회)'!$L$1:$V$62"}</definedName>
    <definedName name="곽동준" hidden="1">{"'Firr(선)'!$AS$1:$AY$62","'Firr(사)'!$AS$1:$AY$62","'Firr(회)'!$AS$1:$AY$62","'Firr(선)'!$L$1:$V$62","'Firr(사)'!$L$1:$V$62","'Firr(회)'!$L$1:$V$62"}</definedName>
    <definedName name="곽동중" localSheetId="16" hidden="1">{"'Firr(선)'!$AS$1:$AY$62","'Firr(사)'!$AS$1:$AY$62","'Firr(회)'!$AS$1:$AY$62","'Firr(선)'!$L$1:$V$62","'Firr(사)'!$L$1:$V$62","'Firr(회)'!$L$1:$V$62"}</definedName>
    <definedName name="곽동중" hidden="1">{"'Firr(선)'!$AS$1:$AY$62","'Firr(사)'!$AS$1:$AY$62","'Firr(회)'!$AS$1:$AY$62","'Firr(선)'!$L$1:$V$62","'Firr(사)'!$L$1:$V$62","'Firr(회)'!$L$1:$V$62"}</definedName>
    <definedName name="곽윤식" localSheetId="16" hidden="1">{#N/A,#N/A,FALSE,"Sheet5"}</definedName>
    <definedName name="곽윤식" hidden="1">{#N/A,#N/A,FALSE,"Sheet5"}</definedName>
    <definedName name="교굑"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교대펄근집계" localSheetId="16" hidden="1">{#N/A,#N/A,FALSE,"배수1"}</definedName>
    <definedName name="교대펄근집계" hidden="1">{#N/A,#N/A,FALSE,"배수1"}</definedName>
    <definedName name="교동토" localSheetId="4" hidden="1">#REF!</definedName>
    <definedName name="교동토" localSheetId="16" hidden="1">#REF!</definedName>
    <definedName name="교동토" hidden="1">#REF!</definedName>
    <definedName name="교동토목" localSheetId="16" hidden="1">{#N/A,#N/A,FALSE,"이태원철근"}</definedName>
    <definedName name="교동토목" hidden="1">{#N/A,#N/A,FALSE,"이태원철근"}</definedName>
    <definedName name="교동토목공사" localSheetId="16" hidden="1">{#N/A,#N/A,FALSE,"이태원철근"}</definedName>
    <definedName name="교동토목공사" hidden="1">{#N/A,#N/A,FALSE,"이태원철근"}</definedName>
    <definedName name="구매가"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구매가"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구미" localSheetId="16" hidden="1">{#N/A,#N/A,FALSE,"손익표지";#N/A,#N/A,FALSE,"손익계산";#N/A,#N/A,FALSE,"일반관리비";#N/A,#N/A,FALSE,"영업외수익";#N/A,#N/A,FALSE,"영업외비용";#N/A,#N/A,FALSE,"매출액";#N/A,#N/A,FALSE,"요약손익";#N/A,#N/A,FALSE,"요약대차";#N/A,#N/A,FALSE,"매출채권현황";#N/A,#N/A,FALSE,"매출채권명세"}</definedName>
    <definedName name="구미" hidden="1">{#N/A,#N/A,FALSE,"손익표지";#N/A,#N/A,FALSE,"손익계산";#N/A,#N/A,FALSE,"일반관리비";#N/A,#N/A,FALSE,"영업외수익";#N/A,#N/A,FALSE,"영업외비용";#N/A,#N/A,FALSE,"매출액";#N/A,#N/A,FALSE,"요약손익";#N/A,#N/A,FALSE,"요약대차";#N/A,#N/A,FALSE,"매출채권현황";#N/A,#N/A,FALSE,"매출채권명세"}</definedName>
    <definedName name="구산갑지" localSheetId="6" hidden="1">[22]Summary!#REF!</definedName>
    <definedName name="구산갑지" localSheetId="3" hidden="1">#REF!</definedName>
    <definedName name="구산갑지" localSheetId="4" hidden="1">#REF!</definedName>
    <definedName name="구산갑지" localSheetId="5" hidden="1">#REF!</definedName>
    <definedName name="구산갑지" localSheetId="16" hidden="1">#REF!</definedName>
    <definedName name="구산갑지" localSheetId="0" hidden="1">#REF!</definedName>
    <definedName name="구산갑지" hidden="1">#REF!</definedName>
    <definedName name="구축물임" localSheetId="16" hidden="1">{"'손익현황'!$A$1:$J$29"}</definedName>
    <definedName name="구축물임" hidden="1">{"'손익현황'!$A$1:$J$29"}</definedName>
    <definedName name="국제거래"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국제거래"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규남이"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규남이"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그럼" localSheetId="4" hidden="1">[49]경비!#REF!</definedName>
    <definedName name="그럼" localSheetId="16" hidden="1">[49]경비!#REF!</definedName>
    <definedName name="그럼" hidden="1">[49]경비!#REF!</definedName>
    <definedName name="금액대비"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금액대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기" localSheetId="16" hidden="1">{#N/A,#N/A,FALSE,"이태원철근"}</definedName>
    <definedName name="기" hidden="1">{#N/A,#N/A,FALSE,"이태원철근"}</definedName>
    <definedName name="기반시설" localSheetId="16" hidden="1">{#N/A,#N/A,FALSE,"표지";#N/A,#N/A,FALSE,"조직표";#N/A,#N/A,FALSE,"정직원인원";#N/A,#N/A,FALSE,"사업계획";#N/A,#N/A,FALSE,"부동산";#N/A,#N/A,FALSE,"장비현황";#N/A,#N/A,FALSE,"장비가동";#N/A,#N/A,FALSE,"매각장비";#N/A,#N/A,FALSE,"철구제작";#N/A,#N/A,FALSE,"철구수주";#N/A,#N/A,FALSE,"철구시설";#N/A,#N/A,FALSE,"준설장비";#N/A,#N/A,FALSE,"준설수량";#N/A,#N/A,FALSE,"골재인원";#N/A,#N/A,FALSE,"골재손익";#N/A,#N/A,FALSE,"노조현황"}</definedName>
    <definedName name="기반시설" hidden="1">{#N/A,#N/A,FALSE,"표지";#N/A,#N/A,FALSE,"조직표";#N/A,#N/A,FALSE,"정직원인원";#N/A,#N/A,FALSE,"사업계획";#N/A,#N/A,FALSE,"부동산";#N/A,#N/A,FALSE,"장비현황";#N/A,#N/A,FALSE,"장비가동";#N/A,#N/A,FALSE,"매각장비";#N/A,#N/A,FALSE,"철구제작";#N/A,#N/A,FALSE,"철구수주";#N/A,#N/A,FALSE,"철구시설";#N/A,#N/A,FALSE,"준설장비";#N/A,#N/A,FALSE,"준설수량";#N/A,#N/A,FALSE,"골재인원";#N/A,#N/A,FALSE,"골재손익";#N/A,#N/A,FALSE,"노조현황"}</definedName>
    <definedName name="기본" localSheetId="4" hidden="1">#REF!</definedName>
    <definedName name="기본" localSheetId="16" hidden="1">#REF!</definedName>
    <definedName name="기본" hidden="1">#REF!</definedName>
    <definedName name="기성" localSheetId="6" hidden="1">{#N/A,#N/A,FALSE,"손익표지";#N/A,#N/A,FALSE,"손익계산";#N/A,#N/A,FALSE,"일반관리비";#N/A,#N/A,FALSE,"영업외수익";#N/A,#N/A,FALSE,"영업외비용";#N/A,#N/A,FALSE,"매출액";#N/A,#N/A,FALSE,"요약손익";#N/A,#N/A,FALSE,"요약대차";#N/A,#N/A,FALSE,"매출채권현황";#N/A,#N/A,FALSE,"매출채권명세"}</definedName>
    <definedName name="기성분" localSheetId="16" hidden="1">{#N/A,#N/A,FALSE,"손익표지";#N/A,#N/A,FALSE,"손익계산";#N/A,#N/A,FALSE,"일반관리비";#N/A,#N/A,FALSE,"영업외수익";#N/A,#N/A,FALSE,"영업외비용";#N/A,#N/A,FALSE,"매출액";#N/A,#N/A,FALSE,"요약손익";#N/A,#N/A,FALSE,"요약대차";#N/A,#N/A,FALSE,"매출채권현황";#N/A,#N/A,FALSE,"매출채권명세"}</definedName>
    <definedName name="기성분" hidden="1">{#N/A,#N/A,FALSE,"손익표지";#N/A,#N/A,FALSE,"손익계산";#N/A,#N/A,FALSE,"일반관리비";#N/A,#N/A,FALSE,"영업외수익";#N/A,#N/A,FALSE,"영업외비용";#N/A,#N/A,FALSE,"매출액";#N/A,#N/A,FALSE,"요약손익";#N/A,#N/A,FALSE,"요약대차";#N/A,#N/A,FALSE,"매출채권현황";#N/A,#N/A,FALSE,"매출채권명세"}</definedName>
    <definedName name="기획" localSheetId="16" hidden="1">{#N/A,#N/A,FALSE,"손익표지";#N/A,#N/A,FALSE,"손익계산";#N/A,#N/A,FALSE,"일반관리비";#N/A,#N/A,FALSE,"영업외수익";#N/A,#N/A,FALSE,"영업외비용";#N/A,#N/A,FALSE,"매출액";#N/A,#N/A,FALSE,"요약손익";#N/A,#N/A,FALSE,"요약대차";#N/A,#N/A,FALSE,"매출채권현황";#N/A,#N/A,FALSE,"매출채권명세"}</definedName>
    <definedName name="기획" hidden="1">{#N/A,#N/A,FALSE,"손익표지";#N/A,#N/A,FALSE,"손익계산";#N/A,#N/A,FALSE,"일반관리비";#N/A,#N/A,FALSE,"영업외수익";#N/A,#N/A,FALSE,"영업외비용";#N/A,#N/A,FALSE,"매출액";#N/A,#N/A,FALSE,"요약손익";#N/A,#N/A,FALSE,"요약대차";#N/A,#N/A,FALSE,"매출채권현황";#N/A,#N/A,FALSE,"매출채권명세"}</definedName>
    <definedName name="김" localSheetId="6" hidden="1">{#N/A,#N/A,FALSE,"이태원철근"}</definedName>
    <definedName name="김" localSheetId="3" hidden="1">[50]대비!#REF!</definedName>
    <definedName name="김" localSheetId="4" hidden="1">[50]대비!#REF!</definedName>
    <definedName name="김" localSheetId="5" hidden="1">[50]대비!#REF!</definedName>
    <definedName name="김" localSheetId="16" hidden="1">[50]대비!#REF!</definedName>
    <definedName name="김" localSheetId="0" hidden="1">[50]대비!#REF!</definedName>
    <definedName name="김" hidden="1">[50]대비!#REF!</definedName>
    <definedName name="김권수" localSheetId="16" hidden="1">{#N/A,#N/A,FALSE,"Sheet5"}</definedName>
    <definedName name="김권수" hidden="1">{#N/A,#N/A,FALSE,"Sheet5"}</definedName>
    <definedName name="김도형" localSheetId="16" hidden="1">{#N/A,#N/A,FALSE,"Sheet5"}</definedName>
    <definedName name="김도형" hidden="1">{#N/A,#N/A,FALSE,"Sheet5"}</definedName>
    <definedName name="김동" localSheetId="16" hidden="1">{"'Firr(선)'!$AS$1:$AY$62","'Firr(사)'!$AS$1:$AY$62","'Firr(회)'!$AS$1:$AY$62","'Firr(선)'!$L$1:$V$62","'Firr(사)'!$L$1:$V$62","'Firr(회)'!$L$1:$V$62"}</definedName>
    <definedName name="김동" hidden="1">{"'Firr(선)'!$AS$1:$AY$62","'Firr(사)'!$AS$1:$AY$62","'Firr(회)'!$AS$1:$AY$62","'Firr(선)'!$L$1:$V$62","'Firr(사)'!$L$1:$V$62","'Firr(회)'!$L$1:$V$62"}</definedName>
    <definedName name="김동준" localSheetId="16" hidden="1">{"'Firr(선)'!$AS$1:$AY$62","'Firr(사)'!$AS$1:$AY$62","'Firr(회)'!$AS$1:$AY$62","'Firr(선)'!$L$1:$V$62","'Firr(사)'!$L$1:$V$62","'Firr(회)'!$L$1:$V$62"}</definedName>
    <definedName name="김동준" hidden="1">{"'Firr(선)'!$AS$1:$AY$62","'Firr(사)'!$AS$1:$AY$62","'Firr(회)'!$AS$1:$AY$62","'Firr(선)'!$L$1:$V$62","'Firr(사)'!$L$1:$V$62","'Firr(회)'!$L$1:$V$62"}</definedName>
    <definedName name="김영철" localSheetId="16" hidden="1">{#N/A,#N/A,FALSE,"손익표지";#N/A,#N/A,FALSE,"손익계산";#N/A,#N/A,FALSE,"일반관리비";#N/A,#N/A,FALSE,"영업외수익";#N/A,#N/A,FALSE,"영업외비용";#N/A,#N/A,FALSE,"매출액";#N/A,#N/A,FALSE,"요약손익";#N/A,#N/A,FALSE,"요약대차";#N/A,#N/A,FALSE,"매출채권현황";#N/A,#N/A,FALSE,"매출채권명세"}</definedName>
    <definedName name="김영철" hidden="1">{#N/A,#N/A,FALSE,"손익표지";#N/A,#N/A,FALSE,"손익계산";#N/A,#N/A,FALSE,"일반관리비";#N/A,#N/A,FALSE,"영업외수익";#N/A,#N/A,FALSE,"영업외비용";#N/A,#N/A,FALSE,"매출액";#N/A,#N/A,FALSE,"요약손익";#N/A,#N/A,FALSE,"요약대차";#N/A,#N/A,FALSE,"매출채권현황";#N/A,#N/A,FALSE,"매출채권명세"}</definedName>
    <definedName name="김은정" localSheetId="16" hidden="1">{#N/A,#N/A,FALSE,"PART-1234-8-12-9(41)";#N/A,#N/A,FALSE,"PARTS-2(3)";#N/A,#N/A,FALSE,"VAN SYSTEM";#N/A,#N/A,FALSE,"PARTS-10(26)";#N/A,#N/A,FALSE,"PART-5-6-7-11(14)";#N/A,#N/A,FALSE,"PARTS-4(3)";#N/A,#N/A,FALSE,"PCLASS"}</definedName>
    <definedName name="김은정" hidden="1">{#N/A,#N/A,FALSE,"PART-1234-8-12-9(41)";#N/A,#N/A,FALSE,"PARTS-2(3)";#N/A,#N/A,FALSE,"VAN SYSTEM";#N/A,#N/A,FALSE,"PARTS-10(26)";#N/A,#N/A,FALSE,"PART-5-6-7-11(14)";#N/A,#N/A,FALSE,"PARTS-4(3)";#N/A,#N/A,FALSE,"PCLASS"}</definedName>
    <definedName name="김제욱" localSheetId="16" hidden="1">{#N/A,#N/A,FALSE,"지침";#N/A,#N/A,FALSE,"환경분석";#N/A,#N/A,FALSE,"Sheet16"}</definedName>
    <definedName name="김제욱" hidden="1">{#N/A,#N/A,FALSE,"지침";#N/A,#N/A,FALSE,"환경분석";#N/A,#N/A,FALSE,"Sheet16"}</definedName>
    <definedName name="김중규" localSheetId="16" hidden="1">{#N/A,#N/A,FALSE,"이태원철근"}</definedName>
    <definedName name="김중규" hidden="1">{#N/A,#N/A,FALSE,"이태원철근"}</definedName>
    <definedName name="김춘진" localSheetId="16" hidden="1">{#N/A,#N/A,FALSE,"Sheet5"}</definedName>
    <definedName name="김춘진" hidden="1">{#N/A,#N/A,FALSE,"Sheet5"}</definedName>
    <definedName name="김현영" localSheetId="16" hidden="1">{#N/A,#N/A,FALSE,"Sheet5"}</definedName>
    <definedName name="김현영" hidden="1">{#N/A,#N/A,FALSE,"Sheet5"}</definedName>
    <definedName name="끝에삽입" localSheetId="16" hidden="1">{#N/A,#N/A,FALSE,"이태원철근"}</definedName>
    <definedName name="끝에삽입" hidden="1">{#N/A,#N/A,FALSE,"이태원철근"}</definedName>
    <definedName name="ㄴ" localSheetId="6" hidden="1">{#N/A,#N/A,FALSE,"이태원철근"}</definedName>
    <definedName name="ㄴㄱㄹ" localSheetId="4" hidden="1">#REF!</definedName>
    <definedName name="ㄴㄱㄹ" localSheetId="16" hidden="1">#REF!</definedName>
    <definedName name="ㄴㄱㄹ" hidden="1">#REF!</definedName>
    <definedName name="ㄴㄴ"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ㄴㄴ"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ㄴㄴㄴ" localSheetId="16" hidden="1">{#N/A,#N/A,TRUE,"대 차 대 조 표"}</definedName>
    <definedName name="ㄴㄴㄴ" hidden="1">{#N/A,#N/A,TRUE,"대 차 대 조 표"}</definedName>
    <definedName name="ㄴㄴㄴㄴ"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ㄴㄴㄴㄴ"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ㄴㄹㄴㄹ"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ㄴㄹㄴㄹ"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ㄴㄹㅇㅎㅇㄴ"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ㄴㄹㅇㅎㅇㄴ" hidden="1">{#N/A,#N/A,FALSE,"손익표지";#N/A,#N/A,FALSE,"손익계산";#N/A,#N/A,FALSE,"일반관리비";#N/A,#N/A,FALSE,"영업외수익";#N/A,#N/A,FALSE,"영업외비용";#N/A,#N/A,FALSE,"매출액";#N/A,#N/A,FALSE,"요약손익";#N/A,#N/A,FALSE,"요약대차";#N/A,#N/A,FALSE,"매출채권현황";#N/A,#N/A,FALSE,"매출채권명세"}</definedName>
    <definedName name="ㄴㅁ" localSheetId="4" hidden="1">#REF!</definedName>
    <definedName name="ㄴㅁ" localSheetId="16" hidden="1">#REF!</definedName>
    <definedName name="ㄴㅁ" hidden="1">#REF!</definedName>
    <definedName name="ㄴㅁ논ㄹ홍" localSheetId="16" hidden="1">{#N/A,#N/A,FALSE,"이태원철근"}</definedName>
    <definedName name="ㄴㅁ논ㄹ홍" hidden="1">{#N/A,#N/A,FALSE,"이태원철근"}</definedName>
    <definedName name="ㄴㅁㅁㅁㅁㅁㅁ" localSheetId="16" hidden="1">{#N/A,#N/A,FALSE,"이태원철근"}</definedName>
    <definedName name="ㄴㅁㅁㅁㅁㅁㅁ" hidden="1">{#N/A,#N/A,FALSE,"이태원철근"}</definedName>
    <definedName name="ㄴㅁㅇㄹ" localSheetId="16" hidden="1">{#N/A,#N/A,FALSE,"BS";#N/A,#N/A,FALSE,"PL";#N/A,#N/A,FALSE,"처분";#N/A,#N/A,FALSE,"현금";#N/A,#N/A,FALSE,"매출";#N/A,#N/A,FALSE,"원가";#N/A,#N/A,FALSE,"경영"}</definedName>
    <definedName name="ㄴㅁㅇㄹ" hidden="1">{#N/A,#N/A,FALSE,"BS";#N/A,#N/A,FALSE,"PL";#N/A,#N/A,FALSE,"처분";#N/A,#N/A,FALSE,"현금";#N/A,#N/A,FALSE,"매출";#N/A,#N/A,FALSE,"원가";#N/A,#N/A,FALSE,"경영"}</definedName>
    <definedName name="ㄴㅁㅇㄹㄴㅁㅇ랴" localSheetId="4" hidden="1">#REF!</definedName>
    <definedName name="ㄴㅁㅇㄹㄴㅁㅇ랴" localSheetId="16" hidden="1">#REF!</definedName>
    <definedName name="ㄴㅁㅇㄹㄴㅁㅇ랴" hidden="1">#REF!</definedName>
    <definedName name="ㄴㅁㅇㄻㄴㅇ라" localSheetId="4" hidden="1">#REF!</definedName>
    <definedName name="ㄴㅁㅇㄻㄴㅇ라" localSheetId="16" hidden="1">#REF!</definedName>
    <definedName name="ㄴㅁㅇㄻㄴㅇ라" hidden="1">#REF!</definedName>
    <definedName name="ㄴㅁㅇㅂㅈㄷㅁㄴㅂㅈㄷ" localSheetId="16" hidden="1">{#N/A,#N/A,FALSE,"이태원철근"}</definedName>
    <definedName name="ㄴㅁㅇㅂㅈㄷㅁㄴㅂㅈㄷ" hidden="1">{#N/A,#N/A,FALSE,"이태원철근"}</definedName>
    <definedName name="ㄴㅁㅇㅎㅁㄴㅇㄻㄴㄷㅈㄹㄴㅇ" localSheetId="16" hidden="1">{#N/A,#N/A,FALSE,"이태원철근"}</definedName>
    <definedName name="ㄴㅁㅇㅎㅁㄴㅇㄻㄴㄷㅈㄹㄴㅇ" hidden="1">{#N/A,#N/A,FALSE,"이태원철근"}</definedName>
    <definedName name="ㄴㅁ아러ㅏㄴㅁㅇㄹ" localSheetId="4" hidden="1">#REF!</definedName>
    <definedName name="ㄴㅁ아러ㅏㄴㅁㅇㄹ" localSheetId="16" hidden="1">#REF!</definedName>
    <definedName name="ㄴㅁ아러ㅏㄴㅁㅇㄹ" hidden="1">#REF!</definedName>
    <definedName name="ㄴㅁ아ㅓ란얼" localSheetId="4" hidden="1">#REF!</definedName>
    <definedName name="ㄴㅁ아ㅓ란얼" localSheetId="16" hidden="1">#REF!</definedName>
    <definedName name="ㄴㅁ아ㅓ란얼" hidden="1">#REF!</definedName>
    <definedName name="ㄴㅁ얼ㄴ야" localSheetId="4" hidden="1">#REF!</definedName>
    <definedName name="ㄴㅁ얼ㄴ야" localSheetId="16" hidden="1">#REF!</definedName>
    <definedName name="ㄴㅁ얼ㄴ야" hidden="1">#REF!</definedName>
    <definedName name="ㄴㅁ얼ㅇㄴㅁ랴" localSheetId="4" hidden="1">#REF!</definedName>
    <definedName name="ㄴㅁ얼ㅇㄴㅁ랴" localSheetId="16" hidden="1">#REF!</definedName>
    <definedName name="ㄴㅁ얼ㅇㄴㅁ랴" hidden="1">#REF!</definedName>
    <definedName name="ㄴ멍라ㅓㄴㅁㅇ랴" localSheetId="4" hidden="1">#REF!</definedName>
    <definedName name="ㄴ멍라ㅓㄴㅁㅇ랴" localSheetId="16" hidden="1">#REF!</definedName>
    <definedName name="ㄴ멍라ㅓㄴㅁㅇ랴" hidden="1">#REF!</definedName>
    <definedName name="ㄴㅇㄹ" localSheetId="6" hidden="1">{#N/A,#N/A,FALSE,"CCTV"}</definedName>
    <definedName name="ㄴㅇㄹㄴㅇㄹ"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ㄴㅇㄹㄴㅇㄹ" hidden="1">{#N/A,#N/A,FALSE,"손익표지";#N/A,#N/A,FALSE,"손익계산";#N/A,#N/A,FALSE,"일반관리비";#N/A,#N/A,FALSE,"영업외수익";#N/A,#N/A,FALSE,"영업외비용";#N/A,#N/A,FALSE,"매출액";#N/A,#N/A,FALSE,"요약손익";#N/A,#N/A,FALSE,"요약대차";#N/A,#N/A,FALSE,"매출채권현황";#N/A,#N/A,FALSE,"매출채권명세"}</definedName>
    <definedName name="ㄴㅇㄹㄴㅇㄹㄴㅇㅁㄹㄴㄷㅈㄱㄹ" localSheetId="16" hidden="1">{#N/A,#N/A,FALSE,"이태원철근"}</definedName>
    <definedName name="ㄴㅇㄹㄴㅇㄹㄴㅇㅁㄹㄴㄷㅈㄱㄹ" hidden="1">{#N/A,#N/A,FALSE,"이태원철근"}</definedName>
    <definedName name="ㄴㅇㄹㄴㅇㄻㄴㅇㄹ" localSheetId="16" hidden="1">{#N/A,#N/A,FALSE,"이태원철근"}</definedName>
    <definedName name="ㄴㅇㄹㄴㅇㄻㄴㅇㄹ" hidden="1">{#N/A,#N/A,FALSE,"이태원철근"}</definedName>
    <definedName name="ㄴㅇㄹㅇㄴㄹㄷ" localSheetId="16" hidden="1">{#N/A,#N/A,FALSE,"이태원철근"}</definedName>
    <definedName name="ㄴㅇㄹㅇㄴㄹㄷ" hidden="1">{#N/A,#N/A,FALSE,"이태원철근"}</definedName>
    <definedName name="ㄴㅇ러ㅑㄴㅁㅇㄹ" localSheetId="4" hidden="1">#REF!</definedName>
    <definedName name="ㄴㅇ러ㅑㄴㅁㅇㄹ" localSheetId="16" hidden="1">#REF!</definedName>
    <definedName name="ㄴㅇ러ㅑㄴㅁㅇㄹ" hidden="1">#REF!</definedName>
    <definedName name="ㄴㅇ러ㅑㄴㅁㅇ러ㅑㅇㄴㅁ" localSheetId="4" hidden="1">#REF!</definedName>
    <definedName name="ㄴㅇ러ㅑㄴㅁㅇ러ㅑㅇㄴㅁ" localSheetId="16" hidden="1">#REF!</definedName>
    <definedName name="ㄴㅇ러ㅑㄴㅁㅇ러ㅑㅇㄴㅁ" hidden="1">#REF!</definedName>
    <definedName name="ㄴㅇ러ㅑㅇㄴㅁ러" localSheetId="4" hidden="1">#REF!</definedName>
    <definedName name="ㄴㅇ러ㅑㅇㄴㅁ러" localSheetId="16" hidden="1">#REF!</definedName>
    <definedName name="ㄴㅇ러ㅑㅇㄴㅁ러" hidden="1">#REF!</definedName>
    <definedName name="ㄴㅇ런ㅇ랴" localSheetId="4" hidden="1">#REF!</definedName>
    <definedName name="ㄴㅇ런ㅇ랴" localSheetId="16" hidden="1">#REF!</definedName>
    <definedName name="ㄴㅇ런ㅇ랴" hidden="1">#REF!</definedName>
    <definedName name="ㄴㅇ렁날" localSheetId="4" hidden="1">#REF!</definedName>
    <definedName name="ㄴㅇ렁날" localSheetId="16" hidden="1">#REF!</definedName>
    <definedName name="ㄴㅇ렁날" hidden="1">#REF!</definedName>
    <definedName name="ㄴㅇ로ㅠㅎ" localSheetId="16" hidden="1">{#N/A,#N/A,FALSE,"구조2"}</definedName>
    <definedName name="ㄴㅇ로ㅠㅎ" hidden="1">{#N/A,#N/A,FALSE,"구조2"}</definedName>
    <definedName name="ㄴㅇㄻ" localSheetId="4" hidden="1">#REF!</definedName>
    <definedName name="ㄴㅇㄻ" localSheetId="16" hidden="1">#REF!</definedName>
    <definedName name="ㄴㅇㄻ" hidden="1">#REF!</definedName>
    <definedName name="ㄴㅇㄻㄴㅇㄹ" localSheetId="16" hidden="1">{#N/A,#N/A,FALSE,"이태원철근"}</definedName>
    <definedName name="ㄴㅇㄻㄴㅇㄹ" hidden="1">{#N/A,#N/A,FALSE,"이태원철근"}</definedName>
    <definedName name="ㄴㅇㄻㄴㅇㄻ"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ㄴㅇㄻㄴㅇㄻ" hidden="1">{#N/A,#N/A,FALSE,"손익표지";#N/A,#N/A,FALSE,"손익계산";#N/A,#N/A,FALSE,"일반관리비";#N/A,#N/A,FALSE,"영업외수익";#N/A,#N/A,FALSE,"영업외비용";#N/A,#N/A,FALSE,"매출액";#N/A,#N/A,FALSE,"요약손익";#N/A,#N/A,FALSE,"요약대차";#N/A,#N/A,FALSE,"매출채권현황";#N/A,#N/A,FALSE,"매출채권명세"}</definedName>
    <definedName name="ㄴㅇㄻㄴㅇㄻㄴㅇㄻㄴㅇ" localSheetId="16" hidden="1">{#N/A,#N/A,FALSE,"이태원철근"}</definedName>
    <definedName name="ㄴㅇㄻㄴㅇㄻㄴㅇㄻㄴㅇ" hidden="1">{#N/A,#N/A,FALSE,"이태원철근"}</definedName>
    <definedName name="ㄴㅇㅀ" localSheetId="16" hidden="1">{#N/A,#N/A,FALSE,"토공2"}</definedName>
    <definedName name="ㄴㅇㅀ" hidden="1">{#N/A,#N/A,FALSE,"토공2"}</definedName>
    <definedName name="ㄴㅇㅁㄴㅇㅂㅈㄷㅁㄴ" localSheetId="16" hidden="1">{#N/A,#N/A,FALSE,"이태원철근"}</definedName>
    <definedName name="ㄴㅇㅁㄴㅇㅂㅈㄷㅁㄴ" hidden="1">{#N/A,#N/A,FALSE,"이태원철근"}</definedName>
    <definedName name="ㄴㅇㅁㄹㄴㅇㄹㄴㅇㅁㄹㄴㅇㅁ" localSheetId="16" hidden="1">{#N/A,#N/A,FALSE,"이태원철근"}</definedName>
    <definedName name="ㄴㅇㅁㄹㄴㅇㄹㄴㅇㅁㄹㄴㅇㅁ" hidden="1">{#N/A,#N/A,FALSE,"이태원철근"}</definedName>
    <definedName name="ㄴㅇㅁㄹㄴㅇㄻㄴㅇㄹ" localSheetId="16" hidden="1">{#N/A,#N/A,FALSE,"이태원철근"}</definedName>
    <definedName name="ㄴㅇㅁㄹㄴㅇㄻㄴㅇㄹ" hidden="1">{#N/A,#N/A,FALSE,"이태원철근"}</definedName>
    <definedName name="ㄴㅇㅁㄻㄴㅇㅎㅁㄴㅇㅎ" localSheetId="16" hidden="1">{#N/A,#N/A,FALSE,"이태원철근"}</definedName>
    <definedName name="ㄴㅇㅁㄻㄴㅇㅎㅁㄴㅇㅎ" hidden="1">{#N/A,#N/A,FALSE,"이태원철근"}</definedName>
    <definedName name="ㄴㅇㅁㅎㄴㅇㅁㄻㄴㅇㅎㅁㄴㅇㅎ" localSheetId="16" hidden="1">{#N/A,#N/A,FALSE,"이태원철근"}</definedName>
    <definedName name="ㄴㅇㅁㅎㄴㅇㅁㄻㄴㅇㅎㅁㄴㅇㅎ" hidden="1">{#N/A,#N/A,FALSE,"이태원철근"}</definedName>
    <definedName name="ㄴㅇㅂㅈㄷㅇㅁㄴㅇㅁㅈㄷ" localSheetId="16" hidden="1">{#N/A,#N/A,FALSE,"이태원철근"}</definedName>
    <definedName name="ㄴㅇㅂㅈㄷㅇㅁㄴㅇㅁㅈㄷ" hidden="1">{#N/A,#N/A,FALSE,"이태원철근"}</definedName>
    <definedName name="ㄴㅇㅇㄴ" localSheetId="16" hidden="1">{#N/A,#N/A,FALSE,"동부"}</definedName>
    <definedName name="ㄴㅇㅇㄴ" hidden="1">{#N/A,#N/A,FALSE,"동부"}</definedName>
    <definedName name="ㄴㅇㅇㄴㅁㄴㅇㅁ" localSheetId="16" hidden="1">{#N/A,#N/A,FALSE,"CCTV"}</definedName>
    <definedName name="ㄴㅇㅇㄴㅁㄴㅇㅁ" hidden="1">{#N/A,#N/A,FALSE,"CCTV"}</definedName>
    <definedName name="ㄴㅇㅇㅇㅇ" localSheetId="4" hidden="1">#REF!</definedName>
    <definedName name="ㄴㅇㅇㅇㅇ" localSheetId="16" hidden="1">#REF!</definedName>
    <definedName name="ㄴㅇㅇㅇㅇ" hidden="1">#REF!</definedName>
    <definedName name="ㄴㅇㅎㄻㄴㄻㄴㅇ" localSheetId="16" hidden="1">{#N/A,#N/A,FALSE,"이태원철근"}</definedName>
    <definedName name="ㄴㅇㅎㄻㄴㄻㄴㅇ" hidden="1">{#N/A,#N/A,FALSE,"이태원철근"}</definedName>
    <definedName name="ㄴ아ㅓㄹㅇㄴㄹ" localSheetId="4" hidden="1">#REF!</definedName>
    <definedName name="ㄴ아ㅓㄹㅇㄴㄹ" localSheetId="16" hidden="1">#REF!</definedName>
    <definedName name="ㄴ아ㅓㄹㅇㄴㄹ" hidden="1">#REF!</definedName>
    <definedName name="ㄴ아ㅓㄹㅇㄴ랴" localSheetId="4" hidden="1">#REF!</definedName>
    <definedName name="ㄴ아ㅓㄹㅇㄴ랴" localSheetId="16" hidden="1">#REF!</definedName>
    <definedName name="ㄴ아ㅓㄹㅇㄴ랴" hidden="1">#REF!</definedName>
    <definedName name="ㄴ어량ㄴㅁㄹ" localSheetId="4" hidden="1">#REF!</definedName>
    <definedName name="ㄴ어량ㄴㅁㄹ" localSheetId="16" hidden="1">#REF!</definedName>
    <definedName name="ㄴ어량ㄴㅁㄹ" hidden="1">#REF!</definedName>
    <definedName name="ㄴ얼ㄴㄹ야" localSheetId="4" hidden="1">#REF!</definedName>
    <definedName name="ㄴ얼ㄴㄹ야" localSheetId="16" hidden="1">#REF!</definedName>
    <definedName name="ㄴ얼ㄴㄹ야" hidden="1">#REF!</definedName>
    <definedName name="ㄴ흂" localSheetId="16" hidden="1">{#N/A,#N/A,FALSE,"단가표지"}</definedName>
    <definedName name="ㄴ흂" hidden="1">{#N/A,#N/A,FALSE,"단가표지"}</definedName>
    <definedName name="나" localSheetId="6" hidden="1">[51]경비!#REF!</definedName>
    <definedName name="나얼댜" localSheetId="4" hidden="1">#REF!</definedName>
    <definedName name="나얼댜" localSheetId="16" hidden="1">#REF!</definedName>
    <definedName name="나얼댜" hidden="1">#REF!</definedName>
    <definedName name="나ㅏㅓㄹ"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나ㅏㅓ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낙산1" localSheetId="16" hidden="1">{"'별표'!$N$220"}</definedName>
    <definedName name="낙산1" hidden="1">{"'별표'!$N$220"}</definedName>
    <definedName name="내부거래당기" localSheetId="16" hidden="1">{#N/A,#N/A,FALSE,"BS";#N/A,#N/A,FALSE,"PL";#N/A,#N/A,FALSE,"처분";#N/A,#N/A,FALSE,"현금";#N/A,#N/A,FALSE,"매출";#N/A,#N/A,FALSE,"원가";#N/A,#N/A,FALSE,"경영"}</definedName>
    <definedName name="내부거래당기" hidden="1">{#N/A,#N/A,FALSE,"BS";#N/A,#N/A,FALSE,"PL";#N/A,#N/A,FALSE,"처분";#N/A,#N/A,FALSE,"현금";#N/A,#N/A,FALSE,"매출";#N/A,#N/A,FALSE,"원가";#N/A,#N/A,FALSE,"경영"}</definedName>
    <definedName name="내역" localSheetId="16" hidden="1">{#N/A,#N/A,FALSE,"CCTV"}</definedName>
    <definedName name="내역" hidden="1">{#N/A,#N/A,FALSE,"CCTV"}</definedName>
    <definedName name="내작품"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내작품"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내장"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내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너" localSheetId="4" hidden="1">[52]경비!#REF!</definedName>
    <definedName name="너" localSheetId="16" hidden="1">[52]경비!#REF!</definedName>
    <definedName name="너" hidden="1">[52]경비!#REF!</definedName>
    <definedName name="넌" localSheetId="4" hidden="1">[23]경비!#REF!</definedName>
    <definedName name="넌" localSheetId="16" hidden="1">[23]경비!#REF!</definedName>
    <definedName name="넌" hidden="1">[23]경비!#REF!</definedName>
    <definedName name="노원문화"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원문화1"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노재현" localSheetId="16" hidden="1">{#N/A,#N/A,FALSE,"Sheet5"}</definedName>
    <definedName name="노재현" hidden="1">{#N/A,#N/A,FALSE,"Sheet5"}</definedName>
    <definedName name="논현동외" localSheetId="16" hidden="1">{#N/A,#N/A,FALSE,"Sheet6"}</definedName>
    <definedName name="논현동외" hidden="1">{#N/A,#N/A,FALSE,"Sheet6"}</definedName>
    <definedName name="놀ㄴ홀옿ㅇ" localSheetId="16" hidden="1">{#N/A,#N/A,FALSE,"이태원철근"}</definedName>
    <definedName name="놀ㄴ홀옿ㅇ" hidden="1">{#N/A,#N/A,FALSE,"이태원철근"}</definedName>
    <definedName name="놓롢론ㄹ" localSheetId="16" hidden="1">{#N/A,#N/A,FALSE,"이태원철근"}</definedName>
    <definedName name="놓롢론ㄹ" hidden="1">{#N/A,#N/A,FALSE,"이태원철근"}</definedName>
    <definedName name="뉴셀" localSheetId="16" hidden="1">{#N/A,#N/A,FALSE,"손익표지";#N/A,#N/A,FALSE,"손익계산";#N/A,#N/A,FALSE,"일반관리비";#N/A,#N/A,FALSE,"영업외수익";#N/A,#N/A,FALSE,"영업외비용";#N/A,#N/A,FALSE,"매출액";#N/A,#N/A,FALSE,"요약손익";#N/A,#N/A,FALSE,"요약대차";#N/A,#N/A,FALSE,"매출채권현황";#N/A,#N/A,FALSE,"매출채권명세"}</definedName>
    <definedName name="뉴셀" hidden="1">{#N/A,#N/A,FALSE,"손익표지";#N/A,#N/A,FALSE,"손익계산";#N/A,#N/A,FALSE,"일반관리비";#N/A,#N/A,FALSE,"영업외수익";#N/A,#N/A,FALSE,"영업외비용";#N/A,#N/A,FALSE,"매출액";#N/A,#N/A,FALSE,"요약손익";#N/A,#N/A,FALSE,"요약대차";#N/A,#N/A,FALSE,"매출채권현황";#N/A,#N/A,FALSE,"매출채권명세"}</definedName>
    <definedName name="능금" localSheetId="16" hidden="1">{#N/A,#N/A,FALSE,"이태원철근"}</definedName>
    <definedName name="능금" hidden="1">{#N/A,#N/A,FALSE,"이태원철근"}</definedName>
    <definedName name="니미럴" localSheetId="4" hidden="1">#REF!</definedName>
    <definedName name="니미럴" localSheetId="16" hidden="1">#REF!</definedName>
    <definedName name="니미럴" hidden="1">#REF!</definedName>
    <definedName name="ㄶㅇㅁㄶㅇㅎㅇㅁㄶㅁㄶㅇ" localSheetId="16" hidden="1">{#N/A,#N/A,FALSE,"이태원철근"}</definedName>
    <definedName name="ㄶㅇㅁㄶㅇㅎㅇㅁㄶㅁㄶㅇ" hidden="1">{#N/A,#N/A,FALSE,"이태원철근"}</definedName>
    <definedName name="ㄷ" localSheetId="16" hidden="1">{#N/A,#N/A,FALSE,"이태원철근"}</definedName>
    <definedName name="ㄷ" hidden="1">{#N/A,#N/A,FALSE,"이태원철근"}</definedName>
    <definedName name="ㄷㄱㄹㄷㄱㅎ"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ㄷㄱㄹㄷㄱㅎ"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ㄷㄱㅁㅅㅂ34ㅁㅁㄴㅇㄻㅈㄷㄱ" localSheetId="4" hidden="1">#REF!</definedName>
    <definedName name="ㄷㄱㅁㅅㅂ34ㅁㅁㄴㅇㄻㅈㄷㄱ" localSheetId="16" hidden="1">#REF!</definedName>
    <definedName name="ㄷㄱㅁㅅㅂ34ㅁㅁㄴㅇㄻㅈㄷㄱ" hidden="1">#REF!</definedName>
    <definedName name="ㄷㄱㅈㄱㄷㅈ" localSheetId="16" hidden="1">{#N/A,#N/A,FALSE,"이태원철근"}</definedName>
    <definedName name="ㄷㄱㅈㄱㄷㅈ" hidden="1">{#N/A,#N/A,FALSE,"이태원철근"}</definedName>
    <definedName name="ㄷ굦ㄷ굗ㄱㅈ" localSheetId="16" hidden="1">{#N/A,#N/A,FALSE,"이태원철근"}</definedName>
    <definedName name="ㄷ굦ㄷ굗ㄱㅈ" hidden="1">{#N/A,#N/A,FALSE,"이태원철근"}</definedName>
    <definedName name="ㄷㄷ" localSheetId="16" hidden="1">{#N/A,#N/A,FALSE,"BS";#N/A,#N/A,FALSE,"PL";#N/A,#N/A,FALSE,"처분";#N/A,#N/A,FALSE,"현금";#N/A,#N/A,FALSE,"매출";#N/A,#N/A,FALSE,"원가";#N/A,#N/A,FALSE,"경영"}</definedName>
    <definedName name="ㄷㄷ" hidden="1">{#N/A,#N/A,FALSE,"BS";#N/A,#N/A,FALSE,"PL";#N/A,#N/A,FALSE,"처분";#N/A,#N/A,FALSE,"현금";#N/A,#N/A,FALSE,"매출";#N/A,#N/A,FALSE,"원가";#N/A,#N/A,FALSE,"경영"}</definedName>
    <definedName name="ㄷㄷㄷ" localSheetId="4" hidden="1">#REF!</definedName>
    <definedName name="ㄷㄷㄷ" localSheetId="16" hidden="1">#REF!</definedName>
    <definedName name="ㄷㄷㄷ" hidden="1">#REF!</definedName>
    <definedName name="ㄷㄷㄷㄷ"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ㄷㄷㄷㄷㄷ" localSheetId="16" hidden="1">{#N/A,#N/A,FALSE,"동부"}</definedName>
    <definedName name="ㄷㄷㄷㄷㄷ" hidden="1">{#N/A,#N/A,FALSE,"동부"}</definedName>
    <definedName name="ㄷ러ㅑㅂㅈㄷㄹ" localSheetId="4" hidden="1">#REF!</definedName>
    <definedName name="ㄷ러ㅑㅂㅈㄷㄹ" localSheetId="16" hidden="1">#REF!</definedName>
    <definedName name="ㄷ러ㅑㅂㅈㄷㄹ" hidden="1">#REF!</definedName>
    <definedName name="ㄷㅅ"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ㄷㅅ"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ㄷㅈㄱㅈ"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ㄷㅈㄱㅈ"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ㄷㅈㄱㅈㄱ" hidden="1">{#N/A,#N/A,FALSE,"손익표지";#N/A,#N/A,FALSE,"손익계산";#N/A,#N/A,FALSE,"일반관리비";#N/A,#N/A,FALSE,"영업외수익";#N/A,#N/A,FALSE,"영업외비용";#N/A,#N/A,FALSE,"매출액";#N/A,#N/A,FALSE,"요약손익";#N/A,#N/A,FALSE,"요약대차";#N/A,#N/A,FALSE,"매출채권현황";#N/A,#N/A,FALSE,"매출채권명세"}</definedName>
    <definedName name="ㄷㅈㄱㅈㄷㄱㅈㄱ주" localSheetId="16" hidden="1">{#N/A,#N/A,FALSE,"이태원철근"}</definedName>
    <definedName name="ㄷㅈㄱㅈㄷㄱㅈㄱ주" hidden="1">{#N/A,#N/A,FALSE,"이태원철근"}</definedName>
    <definedName name="ㄷㅈㄷㅇㄻ" localSheetId="16" hidden="1">{#N/A,#N/A,FALSE,"2~8번"}</definedName>
    <definedName name="ㄷㅈㄷㅇㄻ" hidden="1">{#N/A,#N/A,FALSE,"2~8번"}</definedName>
    <definedName name="ㄷㅈㄻㄴㅇㄹ" localSheetId="4" hidden="1">#REF!</definedName>
    <definedName name="ㄷㅈㄻㄴㅇㄹ" localSheetId="16" hidden="1">#REF!</definedName>
    <definedName name="ㄷㅈㄻㄴㅇㄹ" hidden="1">#REF!</definedName>
    <definedName name="ㄷㅎ"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ㄷㅎ"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ㄷㅎㄹㅇ" localSheetId="4" hidden="1">#REF!</definedName>
    <definedName name="ㄷㅎㄹㅇ" localSheetId="16" hidden="1">#REF!</definedName>
    <definedName name="ㄷㅎㄹㅇ" hidden="1">#REF!</definedName>
    <definedName name="다" localSheetId="6" hidden="1">[53]Sheet4!#REF!</definedName>
    <definedName name="당기내부거래" localSheetId="16" hidden="1">{#N/A,#N/A,FALSE,"BS";#N/A,#N/A,FALSE,"PL";#N/A,#N/A,FALSE,"처분";#N/A,#N/A,FALSE,"현금";#N/A,#N/A,FALSE,"매출";#N/A,#N/A,FALSE,"원가";#N/A,#N/A,FALSE,"경영"}</definedName>
    <definedName name="당기내부거래" hidden="1">{#N/A,#N/A,FALSE,"BS";#N/A,#N/A,FALSE,"PL";#N/A,#N/A,FALSE,"처분";#N/A,#N/A,FALSE,"현금";#N/A,#N/A,FALSE,"매출";#N/A,#N/A,FALSE,"원가";#N/A,#N/A,FALSE,"경영"}</definedName>
    <definedName name="당기내부거래1" localSheetId="16" hidden="1">{#N/A,#N/A,FALSE,"BS";#N/A,#N/A,FALSE,"PL";#N/A,#N/A,FALSE,"처분";#N/A,#N/A,FALSE,"현금";#N/A,#N/A,FALSE,"매출";#N/A,#N/A,FALSE,"원가";#N/A,#N/A,FALSE,"경영"}</definedName>
    <definedName name="당기내부거래1" hidden="1">{#N/A,#N/A,FALSE,"BS";#N/A,#N/A,FALSE,"PL";#N/A,#N/A,FALSE,"처분";#N/A,#N/A,FALSE,"현금";#N/A,#N/A,FALSE,"매출";#N/A,#N/A,FALSE,"원가";#N/A,#N/A,FALSE,"경영"}</definedName>
    <definedName name="당믐"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당믐"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당사수지복리4" localSheetId="4" hidden="1">#REF!</definedName>
    <definedName name="당사수지복리4" localSheetId="16" hidden="1">#REF!</definedName>
    <definedName name="당사수지복리4" hidden="1">#REF!</definedName>
    <definedName name="당초계획" localSheetId="4" hidden="1">#REF!</definedName>
    <definedName name="당초계획" localSheetId="16" hidden="1">#REF!</definedName>
    <definedName name="당초계획" hidden="1">#REF!</definedName>
    <definedName name="대관공사비" localSheetId="16" hidden="1">{"'건축내역'!$A$1:$L$413"}</definedName>
    <definedName name="대관공사비" hidden="1">{"'건축내역'!$A$1:$L$413"}</definedName>
    <definedName name="대구" localSheetId="16" hidden="1">{#N/A,#N/A,TRUE,"대 차 대 조 표"}</definedName>
    <definedName name="대구" hidden="1">{#N/A,#N/A,TRUE,"대 차 대 조 표"}</definedName>
    <definedName name="대구200203빌딩별임차현황" localSheetId="16" hidden="1">{#N/A,#N/A,FALSE,"동부"}</definedName>
    <definedName name="대구200203빌딩별임차현황" hidden="1">{#N/A,#N/A,FALSE,"동부"}</definedName>
    <definedName name="대구200207" localSheetId="16" hidden="1">{#N/A,#N/A,FALSE,"동부"}</definedName>
    <definedName name="대구200207" hidden="1">{#N/A,#N/A,FALSE,"동부"}</definedName>
    <definedName name="대구대구" localSheetId="16" hidden="1">{#N/A,#N/A,FALSE,"동부"}</definedName>
    <definedName name="대구대구" hidden="1">{#N/A,#N/A,FALSE,"동부"}</definedName>
    <definedName name="대구신당동" localSheetId="16" hidden="1">{"'별표'!$N$220"}</definedName>
    <definedName name="대구신당동" hidden="1">{"'별표'!$N$220"}</definedName>
    <definedName name="대상" localSheetId="16" hidden="1">{#N/A,#N/A,FALSE,"2~8번"}</definedName>
    <definedName name="대상" hidden="1">{#N/A,#N/A,FALSE,"2~8번"}</definedName>
    <definedName name="대손상각" localSheetId="16" hidden="1">{#N/A,#N/A,FALSE,"BS";#N/A,#N/A,FALSE,"PL";#N/A,#N/A,FALSE,"처분";#N/A,#N/A,FALSE,"현금";#N/A,#N/A,FALSE,"매출";#N/A,#N/A,FALSE,"원가";#N/A,#N/A,FALSE,"경영"}</definedName>
    <definedName name="대손상각" hidden="1">{#N/A,#N/A,FALSE,"BS";#N/A,#N/A,FALSE,"PL";#N/A,#N/A,FALSE,"처분";#N/A,#N/A,FALSE,"현금";#N/A,#N/A,FALSE,"매출";#N/A,#N/A,FALSE,"원가";#N/A,#N/A,FALSE,"경영"}</definedName>
    <definedName name="대여금" localSheetId="16" hidden="1">{#N/A,#N/A,FALSE,"이태원철근"}</definedName>
    <definedName name="대여금" hidden="1">{#N/A,#N/A,FALSE,"이태원철근"}</definedName>
    <definedName name="대우부지" localSheetId="16" hidden="1">{#N/A,#N/A,FALSE,"이태원철근"}</definedName>
    <definedName name="대우부지" hidden="1">{#N/A,#N/A,FALSE,"이태원철근"}</definedName>
    <definedName name="대일" localSheetId="16" hidden="1">{#N/A,#N/A,FALSE,"손익표지";#N/A,#N/A,FALSE,"손익계산";#N/A,#N/A,FALSE,"일반관리비";#N/A,#N/A,FALSE,"영업외수익";#N/A,#N/A,FALSE,"영업외비용";#N/A,#N/A,FALSE,"매출액";#N/A,#N/A,FALSE,"요약손익";#N/A,#N/A,FALSE,"요약대차";#N/A,#N/A,FALSE,"매출채권현황";#N/A,#N/A,FALSE,"매출채권명세"}</definedName>
    <definedName name="대일" hidden="1">{#N/A,#N/A,FALSE,"손익표지";#N/A,#N/A,FALSE,"손익계산";#N/A,#N/A,FALSE,"일반관리비";#N/A,#N/A,FALSE,"영업외수익";#N/A,#N/A,FALSE,"영업외비용";#N/A,#N/A,FALSE,"매출액";#N/A,#N/A,FALSE,"요약손익";#N/A,#N/A,FALSE,"요약대차";#N/A,#N/A,FALSE,"매출채권현황";#N/A,#N/A,FALSE,"매출채권명세"}</definedName>
    <definedName name="대일1" localSheetId="16" hidden="1">{#N/A,#N/A,FALSE,"손익표지";#N/A,#N/A,FALSE,"손익계산";#N/A,#N/A,FALSE,"일반관리비";#N/A,#N/A,FALSE,"영업외수익";#N/A,#N/A,FALSE,"영업외비용";#N/A,#N/A,FALSE,"매출액";#N/A,#N/A,FALSE,"요약손익";#N/A,#N/A,FALSE,"요약대차";#N/A,#N/A,FALSE,"매출채권현황";#N/A,#N/A,FALSE,"매출채권명세"}</definedName>
    <definedName name="대일1" hidden="1">{#N/A,#N/A,FALSE,"손익표지";#N/A,#N/A,FALSE,"손익계산";#N/A,#N/A,FALSE,"일반관리비";#N/A,#N/A,FALSE,"영업외수익";#N/A,#N/A,FALSE,"영업외비용";#N/A,#N/A,FALSE,"매출액";#N/A,#N/A,FALSE,"요약손익";#N/A,#N/A,FALSE,"요약대차";#N/A,#N/A,FALSE,"매출채권현황";#N/A,#N/A,FALSE,"매출채권명세"}</definedName>
    <definedName name="대차대조표.." localSheetId="4" hidden="1">#REF!</definedName>
    <definedName name="대차대조표.." localSheetId="16" hidden="1">#REF!</definedName>
    <definedName name="대차대조표.." hidden="1">#REF!</definedName>
    <definedName name="대흥" localSheetId="16" hidden="1">{#N/A,#N/A,TRUE,"대 차 대 조 표"}</definedName>
    <definedName name="대흥" hidden="1">{#N/A,#N/A,TRUE,"대 차 대 조 표"}</definedName>
    <definedName name="더"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더"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덕1" localSheetId="16" hidden="1">{#N/A,#N/A,FALSE,"CCTV"}</definedName>
    <definedName name="덕1" hidden="1">{#N/A,#N/A,FALSE,"CCTV"}</definedName>
    <definedName name="도급4"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급444"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도입시설" localSheetId="16" hidden="1">{#N/A,#N/A,FALSE,"이태원철근"}</definedName>
    <definedName name="도입시설" hidden="1">{#N/A,#N/A,FALSE,"이태원철근"}</definedName>
    <definedName name="도입시설제안1" localSheetId="16" hidden="1">{#N/A,#N/A,FALSE,"이태원철근"}</definedName>
    <definedName name="도입시설제안1" hidden="1">{#N/A,#N/A,FALSE,"이태원철근"}</definedName>
    <definedName name="도장일정"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도장일정"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독립기초" localSheetId="16" hidden="1">{#N/A,#N/A,FALSE,"기안지";#N/A,#N/A,FALSE,"통신지"}</definedName>
    <definedName name="독립기초" hidden="1">{#N/A,#N/A,FALSE,"기안지";#N/A,#N/A,FALSE,"통신지"}</definedName>
    <definedName name="독립기초토공수량산출" localSheetId="16" hidden="1">{#N/A,#N/A,FALSE,"기안지";#N/A,#N/A,FALSE,"통신지"}</definedName>
    <definedName name="독립기초토공수량산출" hidden="1">{#N/A,#N/A,FALSE,"기안지";#N/A,#N/A,FALSE,"통신지"}</definedName>
    <definedName name="동" localSheetId="16" hidden="1">{#N/A,#N/A,FALSE,"이태원철근"}</definedName>
    <definedName name="동" hidden="1">{#N/A,#N/A,FALSE,"이태원철근"}</definedName>
    <definedName name="동방" localSheetId="16" hidden="1">{#N/A,#N/A,FALSE,"BS";#N/A,#N/A,FALSE,"PL";#N/A,#N/A,FALSE,"처분";#N/A,#N/A,FALSE,"현금";#N/A,#N/A,FALSE,"매출";#N/A,#N/A,FALSE,"원가";#N/A,#N/A,FALSE,"경영"}</definedName>
    <definedName name="동방" hidden="1">{#N/A,#N/A,FALSE,"BS";#N/A,#N/A,FALSE,"PL";#N/A,#N/A,FALSE,"처분";#N/A,#N/A,FALSE,"현금";#N/A,#N/A,FALSE,"매출";#N/A,#N/A,FALSE,"원가";#N/A,#N/A,FALSE,"경영"}</definedName>
    <definedName name="동방1" localSheetId="16" hidden="1">{#N/A,#N/A,FALSE,"BS";#N/A,#N/A,FALSE,"PL";#N/A,#N/A,FALSE,"A";#N/A,#N/A,FALSE,"B";#N/A,#N/A,FALSE,"B1";#N/A,#N/A,FALSE,"C";#N/A,#N/A,FALSE,"C1";#N/A,#N/A,FALSE,"C2";#N/A,#N/A,FALSE,"D";#N/A,#N/A,FALSE,"E";#N/A,#N/A,FALSE,"F";#N/A,#N/A,FALSE,"AA";#N/A,#N/A,FALSE,"BB";#N/A,#N/A,FALSE,"CC";#N/A,#N/A,FALSE,"DD";#N/A,#N/A,FALSE,"EE";#N/A,#N/A,FALSE,"FF";#N/A,#N/A,FALSE,"PL10";#N/A,#N/A,FALSE,"PL20";#N/A,#N/A,FALSE,"PL30"}</definedName>
    <definedName name="동방1" hidden="1">{#N/A,#N/A,FALSE,"BS";#N/A,#N/A,FALSE,"PL";#N/A,#N/A,FALSE,"A";#N/A,#N/A,FALSE,"B";#N/A,#N/A,FALSE,"B1";#N/A,#N/A,FALSE,"C";#N/A,#N/A,FALSE,"C1";#N/A,#N/A,FALSE,"C2";#N/A,#N/A,FALSE,"D";#N/A,#N/A,FALSE,"E";#N/A,#N/A,FALSE,"F";#N/A,#N/A,FALSE,"AA";#N/A,#N/A,FALSE,"BB";#N/A,#N/A,FALSE,"CC";#N/A,#N/A,FALSE,"DD";#N/A,#N/A,FALSE,"EE";#N/A,#N/A,FALSE,"FF";#N/A,#N/A,FALSE,"PL10";#N/A,#N/A,FALSE,"PL20";#N/A,#N/A,FALSE,"PL30"}</definedName>
    <definedName name="동은"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동준" localSheetId="16" hidden="1">{"'Firr(선)'!$AS$1:$AY$62","'Firr(사)'!$AS$1:$AY$62","'Firr(회)'!$AS$1:$AY$62","'Firr(선)'!$L$1:$V$62","'Firr(사)'!$L$1:$V$62","'Firr(회)'!$L$1:$V$62"}</definedName>
    <definedName name="동준" hidden="1">{"'Firr(선)'!$AS$1:$AY$62","'Firr(사)'!$AS$1:$AY$62","'Firr(회)'!$AS$1:$AY$62","'Firr(선)'!$L$1:$V$62","'Firr(사)'!$L$1:$V$62","'Firr(회)'!$L$1:$V$62"}</definedName>
    <definedName name="돼지" localSheetId="16" hidden="1">{#N/A,#N/A,TRUE,"대 차 대 조 표"}</definedName>
    <definedName name="돼지" hidden="1">{#N/A,#N/A,TRUE,"대 차 대 조 표"}</definedName>
    <definedName name="두랴먕ㄴㄻㄴㅇ라" localSheetId="4" hidden="1">#REF!</definedName>
    <definedName name="두랴먕ㄴㄻㄴㅇ라" localSheetId="16" hidden="1">#REF!</definedName>
    <definedName name="두랴먕ㄴㄻㄴㅇ라" hidden="1">#REF!</definedName>
    <definedName name="두호" localSheetId="16" hidden="1">{#N/A,#N/A,FALSE,"2~8번"}</definedName>
    <definedName name="두호" hidden="1">{#N/A,#N/A,FALSE,"2~8번"}</definedName>
    <definedName name="둘ㄷㅈㅂ럊ㄷㄹ" localSheetId="4" hidden="1">#REF!</definedName>
    <definedName name="둘ㄷㅈㅂ럊ㄷㄹ" localSheetId="16" hidden="1">#REF!</definedName>
    <definedName name="둘ㄷㅈㅂ럊ㄷㄹ" hidden="1">#REF!</definedName>
    <definedName name="들" localSheetId="16" hidden="1">{#N/A,#N/A,FALSE,"이태원철근"}</definedName>
    <definedName name="들" hidden="1">{#N/A,#N/A,FALSE,"이태원철근"}</definedName>
    <definedName name="ㄹ" localSheetId="6" hidden="1">{#N/A,#N/A,FALSE,"이태원철근"}</definedName>
    <definedName name="ㄹㄴㅇㄹㄴㅇㄹㄴㄱㄴㅇ" localSheetId="16" hidden="1">{#N/A,#N/A,FALSE,"지침";#N/A,#N/A,FALSE,"환경분석";#N/A,#N/A,FALSE,"Sheet16"}</definedName>
    <definedName name="ㄹㄴㅇㄹㄴㅇㄹㄴㄱㄴㅇ" hidden="1">{#N/A,#N/A,FALSE,"지침";#N/A,#N/A,FALSE,"환경분석";#N/A,#N/A,FALSE,"Sheet16"}</definedName>
    <definedName name="ㄹㄷ"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ㄹㄷ"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ㄹㄹㄷㄹ" localSheetId="16" hidden="1">{#N/A,#N/A,TRUE,"대 차 대 조 표"}</definedName>
    <definedName name="ㄹㄹㄷㄹ" hidden="1">{#N/A,#N/A,TRUE,"대 차 대 조 표"}</definedName>
    <definedName name="ㄹㄹㄹ" localSheetId="4" hidden="1">#REF!</definedName>
    <definedName name="ㄹㄹㄹ" localSheetId="16" hidden="1">#REF!</definedName>
    <definedName name="ㄹㄹㄹ" hidden="1">#REF!</definedName>
    <definedName name="ㄹㄹㄹㄹ" localSheetId="16" hidden="1">{"'Firr(선)'!$AS$1:$AY$62","'Firr(사)'!$AS$1:$AY$62","'Firr(회)'!$AS$1:$AY$62","'Firr(선)'!$L$1:$V$62","'Firr(사)'!$L$1:$V$62","'Firr(회)'!$L$1:$V$62"}</definedName>
    <definedName name="ㄹㄹㄹㄹ" hidden="1">{"'Firr(선)'!$AS$1:$AY$62","'Firr(사)'!$AS$1:$AY$62","'Firr(회)'!$AS$1:$AY$62","'Firr(선)'!$L$1:$V$62","'Firr(사)'!$L$1:$V$62","'Firr(회)'!$L$1:$V$62"}</definedName>
    <definedName name="ㄹㄹㄹㄹㄹㄹㄹㄹㄹㄹ하ㅗㄹ" localSheetId="16" hidden="1">{#N/A,#N/A,FALSE,"이태원철근"}</definedName>
    <definedName name="ㄹㄹㄹㄹㄹㄹㄹㄹㄹㄹ하ㅗㄹ" hidden="1">{#N/A,#N/A,FALSE,"이태원철근"}</definedName>
    <definedName name="ㄹㄹㅇㄴ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ㄹㅇㄴ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쇼룟룟ㄹ" localSheetId="16" hidden="1">{#N/A,#N/A,FALSE,"이태원철근"}</definedName>
    <definedName name="ㄹ쇼룟룟ㄹ" hidden="1">{#N/A,#N/A,FALSE,"이태원철근"}</definedName>
    <definedName name="ㄹㅇ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ㄹㅇㅇ" localSheetId="16" hidden="1">{#N/A,#N/A,FALSE,"이태원철근"}</definedName>
    <definedName name="ㄹㅇㅇ" hidden="1">{#N/A,#N/A,FALSE,"이태원철근"}</definedName>
    <definedName name="ㄹㅇㅇㅇ" localSheetId="16" hidden="1">{#N/A,#N/A,FALSE,"이태원철근"}</definedName>
    <definedName name="ㄹㅇㅇㅇ" hidden="1">{#N/A,#N/A,FALSE,"이태원철근"}</definedName>
    <definedName name="ㄹㅇ퓨ㅓㅜㅏㅗㅜㅠㅅ퐇휴ㅗㅎ" localSheetId="16" hidden="1">{#N/A,#N/A,FALSE,"조골재"}</definedName>
    <definedName name="ㄹㅇ퓨ㅓㅜㅏㅗㅜㅠㅅ퐇휴ㅗㅎ" hidden="1">{#N/A,#N/A,FALSE,"조골재"}</definedName>
    <definedName name="ㄹ혀ㅛㅛㅕ쇼" localSheetId="16" hidden="1">{#N/A,#N/A,FALSE,"이태원철근"}</definedName>
    <definedName name="ㄹ혀ㅛㅛㅕ쇼" hidden="1">{#N/A,#N/A,FALSE,"이태원철근"}</definedName>
    <definedName name="ㄹ호" localSheetId="6" hidden="1">#REF!</definedName>
    <definedName name="ㄹ홓로"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ㄹ홓로" hidden="1">{#N/A,#N/A,FALSE,"손익표지";#N/A,#N/A,FALSE,"손익계산";#N/A,#N/A,FALSE,"일반관리비";#N/A,#N/A,FALSE,"영업외수익";#N/A,#N/A,FALSE,"영업외비용";#N/A,#N/A,FALSE,"매출액";#N/A,#N/A,FALSE,"요약손익";#N/A,#N/A,FALSE,"요약대차";#N/A,#N/A,FALSE,"매출채권현황";#N/A,#N/A,FALSE,"매출채권명세"}</definedName>
    <definedName name="라" localSheetId="4" hidden="1">[53]Sheet4!#REF!</definedName>
    <definedName name="라" localSheetId="16" hidden="1">[53]Sheet4!#REF!</definedName>
    <definedName name="라" hidden="1">[53]Sheet4!#REF!</definedName>
    <definedName name="라ㅓㅇ"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라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래그" localSheetId="16" hidden="1">{#N/A,#N/A,FALSE,"CCTV"}</definedName>
    <definedName name="래그" hidden="1">{#N/A,#N/A,FALSE,"CCTV"}</definedName>
    <definedName name="랴8ㅓㄹㄷ잼ㄹㄷㅈ" localSheetId="4" hidden="1">#REF!</definedName>
    <definedName name="랴8ㅓㄹㄷ잼ㄹㄷㅈ" localSheetId="16" hidden="1">#REF!</definedName>
    <definedName name="랴8ㅓㄹㄷ잼ㄹㄷㅈ" hidden="1">#REF!</definedName>
    <definedName name="러ㅏㅣㅇ람라ㅣㅁㄹㅇㅁㄹㅇ" localSheetId="16" hidden="1">{#N/A,#N/A,FALSE,"이태원철근"}</definedName>
    <definedName name="러ㅏㅣㅇ람라ㅣㅁㄹㅇㅁㄹㅇ" hidden="1">{#N/A,#N/A,FALSE,"이태원철근"}</definedName>
    <definedName name="로하ㅗㅎ러ㅏㅓㅗㅎ려" localSheetId="16" hidden="1">{#N/A,#N/A,FALSE,"이태원철근"}</definedName>
    <definedName name="로하ㅗㅎ러ㅏㅓㅗㅎ려" hidden="1">{#N/A,#N/A,FALSE,"이태원철근"}</definedName>
    <definedName name="로허ㅗㅎ러ㅗㅎ러" localSheetId="16" hidden="1">{#N/A,#N/A,FALSE,"이태원철근"}</definedName>
    <definedName name="로허ㅗㅎ러ㅗㅎ러" hidden="1">{#N/A,#N/A,FALSE,"이태원철근"}</definedName>
    <definedName name="로허ㅗㅎ렁호ㅓ" localSheetId="16" hidden="1">{#N/A,#N/A,FALSE,"이태원철근"}</definedName>
    <definedName name="로허ㅗㅎ렁호ㅓ" hidden="1">{#N/A,#N/A,FALSE,"이태원철근"}</definedName>
    <definedName name="롷럻" localSheetId="16" hidden="1">{#N/A,#N/A,FALSE,"이태원철근"}</definedName>
    <definedName name="롷럻" hidden="1">{#N/A,#N/A,FALSE,"이태원철근"}</definedName>
    <definedName name="류효정" localSheetId="16" hidden="1">{"'Firr(선)'!$AS$1:$AY$62","'Firr(사)'!$AS$1:$AY$62","'Firr(회)'!$AS$1:$AY$62","'Firr(선)'!$L$1:$V$62","'Firr(사)'!$L$1:$V$62","'Firr(회)'!$L$1:$V$62"}</definedName>
    <definedName name="류효정" hidden="1">{"'Firr(선)'!$AS$1:$AY$62","'Firr(사)'!$AS$1:$AY$62","'Firr(회)'!$AS$1:$AY$62","'Firr(선)'!$L$1:$V$62","'Firr(사)'!$L$1:$V$62","'Firr(회)'!$L$1:$V$62"}</definedName>
    <definedName name="ㅀ" localSheetId="4" hidden="1">#REF!</definedName>
    <definedName name="ㅀ" localSheetId="16" hidden="1">#REF!</definedName>
    <definedName name="ㅀ" hidden="1">#REF!</definedName>
    <definedName name="ㅁ" localSheetId="6" hidden="1">{#N/A,#N/A,FALSE,"이태원철근"}</definedName>
    <definedName name="ㅁㄴ" localSheetId="6" hidden="1">#REF!</definedName>
    <definedName name="ㅁㄴㄹㅈㄷ"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ㅁㄴㄹㅈㄷ" hidden="1">{#N/A,#N/A,FALSE,"손익표지";#N/A,#N/A,FALSE,"손익계산";#N/A,#N/A,FALSE,"일반관리비";#N/A,#N/A,FALSE,"영업외수익";#N/A,#N/A,FALSE,"영업외비용";#N/A,#N/A,FALSE,"매출액";#N/A,#N/A,FALSE,"요약손익";#N/A,#N/A,FALSE,"요약대차";#N/A,#N/A,FALSE,"매출채권현황";#N/A,#N/A,FALSE,"매출채권명세"}</definedName>
    <definedName name="ㅁㄴ루ㅑㄷㄹ" localSheetId="4" hidden="1">#REF!</definedName>
    <definedName name="ㅁㄴ루ㅑㄷㄹ" localSheetId="16" hidden="1">#REF!</definedName>
    <definedName name="ㅁㄴ루ㅑㄷㄹ" hidden="1">#REF!</definedName>
    <definedName name="ㅁㄴㅁㅇ" localSheetId="4" hidden="1">[54]유림골조!#REF!</definedName>
    <definedName name="ㅁㄴㅁㅇ" localSheetId="16" hidden="1">[54]유림골조!#REF!</definedName>
    <definedName name="ㅁㄴㅁㅇ" hidden="1">[54]유림골조!#REF!</definedName>
    <definedName name="ㅁㄴㅇ" localSheetId="16" hidden="1">{#N/A,#N/A,FALSE,"배수1"}</definedName>
    <definedName name="ㅁㄴㅇ" hidden="1">{#N/A,#N/A,FALSE,"배수1"}</definedName>
    <definedName name="ㅁㄴㅇㄷㅂㅈㄷㅇㅂㅈㄷ" localSheetId="16" hidden="1">{#N/A,#N/A,FALSE,"이태원철근"}</definedName>
    <definedName name="ㅁㄴㅇㄷㅂㅈㄷㅇㅂㅈㄷ" hidden="1">{#N/A,#N/A,FALSE,"이태원철근"}</definedName>
    <definedName name="ㅁㄴㅇㄹ" localSheetId="16" hidden="1">{#N/A,#N/A,FALSE,"속도"}</definedName>
    <definedName name="ㅁㄴㅇㄹ" hidden="1">{#N/A,#N/A,FALSE,"속도"}</definedName>
    <definedName name="ㅁㄴㅇㄹㄴㅁㅇㄹ" localSheetId="4" hidden="1">#REF!</definedName>
    <definedName name="ㅁㄴㅇㄹㄴㅁㅇㄹ" localSheetId="16" hidden="1">#REF!</definedName>
    <definedName name="ㅁㄴㅇㄹㄴㅁㅇㄹ" hidden="1">#REF!</definedName>
    <definedName name="ㅁㄴㅇㄹㄴㅇㄹ" localSheetId="16" hidden="1">{#N/A,#N/A,FALSE,"이태원철근"}</definedName>
    <definedName name="ㅁㄴㅇㄹㄴㅇㄹ" hidden="1">{#N/A,#N/A,FALSE,"이태원철근"}</definedName>
    <definedName name="ㅁㄴㅇㄹㄴㅇㄻㄴㅇㄹㄴ" localSheetId="16" hidden="1">{#N/A,#N/A,FALSE,"이태원철근"}</definedName>
    <definedName name="ㅁㄴㅇㄹㄴㅇㄻㄴㅇㄹㄴ" hidden="1">{#N/A,#N/A,FALSE,"이태원철근"}</definedName>
    <definedName name="ㅁㄴㅇㄹㄴㅇㅁㄹㄴㅇㅁㄻ누" localSheetId="16" hidden="1">{#N/A,#N/A,FALSE,"이태원철근"}</definedName>
    <definedName name="ㅁㄴㅇㄹㄴㅇㅁㄹㄴㅇㅁㄻ누" hidden="1">{#N/A,#N/A,FALSE,"이태원철근"}</definedName>
    <definedName name="ㅁㄴㅇㄹㄴㅇㅁㄻㄴㅇㄻ" localSheetId="16" hidden="1">{#N/A,#N/A,FALSE,"이태원철근"}</definedName>
    <definedName name="ㅁㄴㅇㄹㄴㅇㅁㄻㄴㅇㄻ" hidden="1">{#N/A,#N/A,FALSE,"이태원철근"}</definedName>
    <definedName name="ㅁㄴㅇㄹㄴㅇㅁㅎㄷㅈㅅㅎㄻㄴ" localSheetId="16" hidden="1">{#N/A,#N/A,FALSE,"이태원철근"}</definedName>
    <definedName name="ㅁㄴㅇㄹㄴㅇㅁㅎㄷㅈㅅㅎㄻㄴ" hidden="1">{#N/A,#N/A,FALSE,"이태원철근"}</definedName>
    <definedName name="ㅁㄴㅇㄹ댜" localSheetId="4" hidden="1">#REF!</definedName>
    <definedName name="ㅁㄴㅇㄹ댜" localSheetId="16" hidden="1">#REF!</definedName>
    <definedName name="ㅁㄴㅇㄹ댜" hidden="1">#REF!</definedName>
    <definedName name="ㅁㄴㅇㄹ댜ㅕ롭ㅈㄷㄹ" localSheetId="4" hidden="1">#REF!</definedName>
    <definedName name="ㅁㄴㅇㄹ댜ㅕ롭ㅈㄷㄹ" localSheetId="16" hidden="1">#REF!</definedName>
    <definedName name="ㅁㄴㅇㄹ댜ㅕ롭ㅈㄷㄹ" hidden="1">#REF!</definedName>
    <definedName name="ㅁㄴㅇㄹ렁나" localSheetId="4" hidden="1">#REF!</definedName>
    <definedName name="ㅁㄴㅇㄹ렁나" localSheetId="16" hidden="1">#REF!</definedName>
    <definedName name="ㅁㄴㅇㄹ렁나" hidden="1">#REF!</definedName>
    <definedName name="ㅁㄴㅇㄹㄻㄴ" localSheetId="16" hidden="1">{#N/A,#N/A,FALSE,"이태원철근"}</definedName>
    <definedName name="ㅁㄴㅇㄹㄻㄴ" hidden="1">{#N/A,#N/A,FALSE,"이태원철근"}</definedName>
    <definedName name="ㅁㄴㅇㄹ먈ㄷㄴ" localSheetId="4" hidden="1">#REF!</definedName>
    <definedName name="ㅁㄴㅇㄹ먈ㄷㄴ" localSheetId="16" hidden="1">#REF!</definedName>
    <definedName name="ㅁㄴㅇㄹ먈ㄷㄴ" hidden="1">#REF!</definedName>
    <definedName name="ㅁㄴㅇㄹㅇㄴㅁㄹ" localSheetId="4" hidden="1">#REF!</definedName>
    <definedName name="ㅁㄴㅇㄹㅇㄴㅁㄹ" localSheetId="16" hidden="1">#REF!</definedName>
    <definedName name="ㅁㄴㅇㄹㅇㄴㅁㄹ" hidden="1">#REF!</definedName>
    <definedName name="ㅁㄴㅇ라ㅓㄹㅇㄴㅁㄴ알" localSheetId="4" hidden="1">#REF!</definedName>
    <definedName name="ㅁㄴㅇ라ㅓㄹㅇㄴㅁㄴ알" localSheetId="16" hidden="1">#REF!</definedName>
    <definedName name="ㅁㄴㅇ라ㅓㄹㅇㄴㅁㄴ알" hidden="1">#REF!</definedName>
    <definedName name="ㅁㄴㅇ란ㅁㅇ럼ㄴ얄" localSheetId="4" hidden="1">#REF!</definedName>
    <definedName name="ㅁㄴㅇ란ㅁㅇ럼ㄴ얄" localSheetId="16" hidden="1">#REF!</definedName>
    <definedName name="ㅁㄴㅇ란ㅁㅇ럼ㄴ얄" hidden="1">#REF!</definedName>
    <definedName name="ㅁㄴㅇ러ㅏㅁ넝ㄹ" localSheetId="4" hidden="1">#REF!</definedName>
    <definedName name="ㅁㄴㅇ러ㅏㅁ넝ㄹ" localSheetId="16" hidden="1">#REF!</definedName>
    <definedName name="ㅁㄴㅇ러ㅏㅁ넝ㄹ" hidden="1">#REF!</definedName>
    <definedName name="ㅁㄴㅇ러ㅑㅁㄴㅇㄹ" localSheetId="4" hidden="1">#REF!</definedName>
    <definedName name="ㅁㄴㅇ러ㅑㅁㄴㅇㄹ" localSheetId="16" hidden="1">#REF!</definedName>
    <definedName name="ㅁㄴㅇ러ㅑㅁㄴㅇㄹ" hidden="1">#REF!</definedName>
    <definedName name="ㅁㄴㅇ러ㅑㅁㅇㄴ랴" localSheetId="4" hidden="1">#REF!</definedName>
    <definedName name="ㅁㄴㅇ러ㅑㅁㅇㄴ랴" localSheetId="16" hidden="1">#REF!</definedName>
    <definedName name="ㅁㄴㅇ러ㅑㅁㅇㄴ랴" hidden="1">#REF!</definedName>
    <definedName name="ㅁㄴㅇ러ㅑㅓㄹㅇ냔ㅁㅇ" localSheetId="4" hidden="1">#REF!</definedName>
    <definedName name="ㅁㄴㅇ러ㅑㅓㄹㅇ냔ㅁㅇ" localSheetId="16" hidden="1">#REF!</definedName>
    <definedName name="ㅁㄴㅇ러ㅑㅓㄹㅇ냔ㅁㅇ" hidden="1">#REF!</definedName>
    <definedName name="ㅁㄴㅇ럼ㄴㅇ랴" localSheetId="4" hidden="1">#REF!</definedName>
    <definedName name="ㅁㄴㅇ럼ㄴㅇ랴" localSheetId="16" hidden="1">#REF!</definedName>
    <definedName name="ㅁㄴㅇ럼ㄴㅇ랴" hidden="1">#REF!</definedName>
    <definedName name="ㅁㄴㅇ럼ㄴ야" localSheetId="4" hidden="1">#REF!</definedName>
    <definedName name="ㅁㄴㅇ럼ㄴ야" localSheetId="16" hidden="1">#REF!</definedName>
    <definedName name="ㅁㄴㅇ럼ㄴ야" hidden="1">#REF!</definedName>
    <definedName name="ㅁㄴㅇ럼낭ㄹ" localSheetId="4" hidden="1">#REF!</definedName>
    <definedName name="ㅁㄴㅇ럼낭ㄹ" localSheetId="16" hidden="1">#REF!</definedName>
    <definedName name="ㅁㄴㅇ럼낭ㄹ" hidden="1">#REF!</definedName>
    <definedName name="ㅁㄴㅇㄻㄴ"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ㅁㄴㅇㄻㄴ" hidden="1">{#N/A,#N/A,FALSE,"손익표지";#N/A,#N/A,FALSE,"손익계산";#N/A,#N/A,FALSE,"일반관리비";#N/A,#N/A,FALSE,"영업외수익";#N/A,#N/A,FALSE,"영업외비용";#N/A,#N/A,FALSE,"매출액";#N/A,#N/A,FALSE,"요약손익";#N/A,#N/A,FALSE,"요약대차";#N/A,#N/A,FALSE,"매출채권현황";#N/A,#N/A,FALSE,"매출채권명세"}</definedName>
    <definedName name="ㅁㄴㅇㄻㄴㄹㄴㅁㅇ" localSheetId="16" hidden="1">{#N/A,#N/A,FALSE,"이태원철근"}</definedName>
    <definedName name="ㅁㄴㅇㄻㄴㄹㄴㅁㅇ" hidden="1">{#N/A,#N/A,FALSE,"이태원철근"}</definedName>
    <definedName name="ㅁㄴㅇㄻㄴㅇㄹ" localSheetId="4" hidden="1">#REF!</definedName>
    <definedName name="ㅁㄴㅇㄻㄴㅇㄹ" localSheetId="16" hidden="1">#REF!</definedName>
    <definedName name="ㅁㄴㅇㄻㄴㅇㄹ" hidden="1">#REF!</definedName>
    <definedName name="ㅁㄴㅇㄻㄴㅇㄹㄴㅁㅇㄹ" localSheetId="16" hidden="1">{#N/A,#N/A,FALSE,"이태원철근"}</definedName>
    <definedName name="ㅁㄴㅇㄻㄴㅇㄹㄴㅁㅇㄹ" hidden="1">{#N/A,#N/A,FALSE,"이태원철근"}</definedName>
    <definedName name="ㅁㄴㅇㄻㄴㅇㄹㄷ" localSheetId="4" hidden="1">#REF!</definedName>
    <definedName name="ㅁㄴㅇㄻㄴㅇㄹㄷ" localSheetId="16" hidden="1">#REF!</definedName>
    <definedName name="ㅁㄴㅇㄻㄴㅇㄹㄷ" hidden="1">#REF!</definedName>
    <definedName name="ㅁㄴㅇㄻㄴㅇㄻㄴㅇ" localSheetId="16" hidden="1">{#N/A,#N/A,FALSE,"이태원철근"}</definedName>
    <definedName name="ㅁㄴㅇㄻㄴㅇㄻㄴㅇ" hidden="1">{#N/A,#N/A,FALSE,"이태원철근"}</definedName>
    <definedName name="ㅁㄴㅇㄻ나얼" localSheetId="4" hidden="1">#REF!</definedName>
    <definedName name="ㅁㄴㅇㄻ나얼" localSheetId="16" hidden="1">#REF!</definedName>
    <definedName name="ㅁㄴㅇㄻ나얼" hidden="1">#REF!</definedName>
    <definedName name="ㅁㄴㅇㄻ댜ㅕㄹㄷ" localSheetId="4" hidden="1">#REF!</definedName>
    <definedName name="ㅁㄴㅇㄻ댜ㅕㄹㄷ" localSheetId="16" hidden="1">#REF!</definedName>
    <definedName name="ㅁㄴㅇㄻ댜ㅕㄹㄷ" hidden="1">#REF!</definedName>
    <definedName name="ㅁㄴㅇㄻㄹ" localSheetId="16" hidden="1">{#N/A,#N/A,FALSE,"이태원철근"}</definedName>
    <definedName name="ㅁㄴㅇㄻㄹ" hidden="1">{#N/A,#N/A,FALSE,"이태원철근"}</definedName>
    <definedName name="ㅁㄴㅇㅀ" localSheetId="16" hidden="1">{#N/A,#N/A,FALSE,"Sheet5"}</definedName>
    <definedName name="ㅁㄴㅇㅀ" hidden="1">{#N/A,#N/A,FALSE,"Sheet5"}</definedName>
    <definedName name="ㅁㄴㅇㅁㄴㅇ" hidden="1">[22]Summary!$A$405:$M$2986</definedName>
    <definedName name="ㅁㄴㅇㅁㄶㅇㄶㅇㄶㅇㅁㅎㅇ" localSheetId="16" hidden="1">{#N/A,#N/A,FALSE,"이태원철근"}</definedName>
    <definedName name="ㅁㄴㅇㅁㄶㅇㄶㅇㄶㅇㅁㅎㅇ" hidden="1">{#N/A,#N/A,FALSE,"이태원철근"}</definedName>
    <definedName name="ㅁㄴㅇㅂㅈㄷㅁㄴㄷㅇㅁㄴ" localSheetId="16" hidden="1">{#N/A,#N/A,FALSE,"이태원철근"}</definedName>
    <definedName name="ㅁㄴㅇㅂㅈㄷㅁㄴㄷㅇㅁㄴ" hidden="1">{#N/A,#N/A,FALSE,"이태원철근"}</definedName>
    <definedName name="ㅁㄴㅇㅂㅈㄷㅁㄴㅇㅂㅈ" localSheetId="16" hidden="1">{#N/A,#N/A,FALSE,"이태원철근"}</definedName>
    <definedName name="ㅁㄴㅇㅂㅈㄷㅁㄴㅇㅂㅈ" hidden="1">{#N/A,#N/A,FALSE,"이태원철근"}</definedName>
    <definedName name="ㅁㄴㅇㅎㄴㅇㅁㄹㄷㅈㄹㄴㅇ" localSheetId="16" hidden="1">{#N/A,#N/A,FALSE,"이태원철근"}</definedName>
    <definedName name="ㅁㄴㅇㅎㄴㅇㅁㄹㄷㅈㄹㄴㅇ" hidden="1">{#N/A,#N/A,FALSE,"이태원철근"}</definedName>
    <definedName name="ㅁㄴㅇㅎㄴㅇㅁㄹㄷㅈㄹㄴㅇㄹ" localSheetId="16" hidden="1">{#N/A,#N/A,FALSE,"이태원철근"}</definedName>
    <definedName name="ㅁㄴㅇㅎㄴㅇㅁㄹㄷㅈㄹㄴㅇㄹ" hidden="1">{#N/A,#N/A,FALSE,"이태원철근"}</definedName>
    <definedName name="ㅁㄴㅇㅎㄴㅇㅁㅎㅁㄴㅇㄻㄴㅇ" localSheetId="16" hidden="1">{#N/A,#N/A,FALSE,"이태원철근"}</definedName>
    <definedName name="ㅁㄴㅇㅎㄴㅇㅁㅎㅁㄴㅇㄻㄴㅇ" hidden="1">{#N/A,#N/A,FALSE,"이태원철근"}</definedName>
    <definedName name="ㅁㄴㅇㅎㄴㅇㅁㅎㅁㄴㅇㅎㅁㄴㅇㄹ" localSheetId="16" hidden="1">{#N/A,#N/A,FALSE,"이태원철근"}</definedName>
    <definedName name="ㅁㄴㅇㅎㄴㅇㅁㅎㅁㄴㅇㅎㅁㄴㅇㄹ" hidden="1">{#N/A,#N/A,FALSE,"이태원철근"}</definedName>
    <definedName name="ㅁㄴㅇㅎㄴㅇㅎㄶㅇㄶㅇㅁ" localSheetId="16" hidden="1">{#N/A,#N/A,FALSE,"이태원철근"}</definedName>
    <definedName name="ㅁㄴㅇㅎㄴㅇㅎㄶㅇㄶㅇㅁ" hidden="1">{#N/A,#N/A,FALSE,"이태원철근"}</definedName>
    <definedName name="ㅁㄴㅇㅎㅁㄴㄷㅇㅎㄴㅇㅁㅎㅁㄴ" localSheetId="16" hidden="1">{#N/A,#N/A,FALSE,"이태원철근"}</definedName>
    <definedName name="ㅁㄴㅇㅎㅁㄴㄷㅇㅎㄴㅇㅁㅎㅁㄴ" hidden="1">{#N/A,#N/A,FALSE,"이태원철근"}</definedName>
    <definedName name="ㅁㄴㅇㅎㅁㄴㄷㅈㅎㄻㄴㅇㄻㄴㅇ" localSheetId="16" hidden="1">{#N/A,#N/A,FALSE,"이태원철근"}</definedName>
    <definedName name="ㅁㄴㅇㅎㅁㄴㄷㅈㅎㄻㄴㅇㄻㄴㅇ" hidden="1">{#N/A,#N/A,FALSE,"이태원철근"}</definedName>
    <definedName name="ㅁㄴㅇㅎㅁㄴㅇㅅㄷㅈㅁㄻㄴㅇㄹ" localSheetId="16" hidden="1">{#N/A,#N/A,FALSE,"이태원철근"}</definedName>
    <definedName name="ㅁㄴㅇㅎㅁㄴㅇㅅㄷㅈㅁㄻㄴㅇㄹ" hidden="1">{#N/A,#N/A,FALSE,"이태원철근"}</definedName>
    <definedName name="ㅁㄴㅇㅎㅁㄴㅇㅎㄻㄴㅇㄱㄹㄴㅇ" localSheetId="16" hidden="1">{#N/A,#N/A,FALSE,"이태원철근"}</definedName>
    <definedName name="ㅁㄴㅇㅎㅁㄴㅇㅎㄻㄴㅇㄱㄹㄴㅇ" hidden="1">{#N/A,#N/A,FALSE,"이태원철근"}</definedName>
    <definedName name="ㅁㄴㅇㅎㅁㄴㅇㅎㄻㄴㅇㅎㅁㄴㅇ" localSheetId="16" hidden="1">{#N/A,#N/A,FALSE,"이태원철근"}</definedName>
    <definedName name="ㅁㄴㅇㅎㅁㄴㅇㅎㄻㄴㅇㅎㅁㄴㅇ" hidden="1">{#N/A,#N/A,FALSE,"이태원철근"}</definedName>
    <definedName name="ㅁㄴㅇㅎㅁㄴㅇㅎㅁㄴㅇㄻㄴㅇㄹ" localSheetId="16" hidden="1">{#N/A,#N/A,FALSE,"이태원철근"}</definedName>
    <definedName name="ㅁㄴㅇㅎㅁㄴㅇㅎㅁㄴㅇㄻㄴㅇㄹ" hidden="1">{#N/A,#N/A,FALSE,"이태원철근"}</definedName>
    <definedName name="ㅁㄴㅇㅎㅁㄴㅇㅎㅁㄴㅇㅎ" localSheetId="16" hidden="1">{#N/A,#N/A,FALSE,"이태원철근"}</definedName>
    <definedName name="ㅁㄴㅇㅎㅁㄴㅇㅎㅁㄴㅇㅎ" hidden="1">{#N/A,#N/A,FALSE,"이태원철근"}</definedName>
    <definedName name="ㅁㄴㅇㅎㅁㄴㅇㅎㅁㄴㅇㅎㄴㅇㅁㅎ" localSheetId="16" hidden="1">{#N/A,#N/A,FALSE,"이태원철근"}</definedName>
    <definedName name="ㅁㄴㅇㅎㅁㄴㅇㅎㅁㄴㅇㅎㄴㅇㅁㅎ" hidden="1">{#N/A,#N/A,FALSE,"이태원철근"}</definedName>
    <definedName name="ㅁㄴㅇㅎㅁㄴㅇㅎㅁㄴㅇㅎㄹㄴㅇㅁㅎㄴ" localSheetId="16" hidden="1">{#N/A,#N/A,FALSE,"이태원철근"}</definedName>
    <definedName name="ㅁㄴㅇㅎㅁㄴㅇㅎㅁㄴㅇㅎㄹㄴㅇㅁㅎㄴ" hidden="1">{#N/A,#N/A,FALSE,"이태원철근"}</definedName>
    <definedName name="ㅁㄴㅇㅎㅁㄴㅇㅎㅁㄴㅇㅎㅁ" localSheetId="16" hidden="1">{#N/A,#N/A,FALSE,"이태원철근"}</definedName>
    <definedName name="ㅁㄴㅇㅎㅁㄴㅇㅎㅁㄴㅇㅎㅁ" hidden="1">{#N/A,#N/A,FALSE,"이태원철근"}</definedName>
    <definedName name="ㅁㄴㅇㅎㅁㄴㅇㅎㅁㄴㅇㅎㅁㄴ" localSheetId="16" hidden="1">{#N/A,#N/A,FALSE,"이태원철근"}</definedName>
    <definedName name="ㅁㄴㅇㅎㅁㄴㅇㅎㅁㄴㅇㅎㅁㄴ" hidden="1">{#N/A,#N/A,FALSE,"이태원철근"}</definedName>
    <definedName name="ㅁㄴㅇㅎㅁㄴㅇㅎㅁㄶㅇㅁㄶㅇ" localSheetId="16" hidden="1">{#N/A,#N/A,FALSE,"이태원철근"}</definedName>
    <definedName name="ㅁㄴㅇㅎㅁㄴㅇㅎㅁㄶㅇㅁㄶㅇ" hidden="1">{#N/A,#N/A,FALSE,"이태원철근"}</definedName>
    <definedName name="ㅁㄴㅇㅎㅁㄶㅇㅁㄶㅇㄶㅇㅁ" localSheetId="16" hidden="1">{#N/A,#N/A,FALSE,"이태원철근"}</definedName>
    <definedName name="ㅁㄴㅇㅎㅁㄶㅇㅁㄶㅇㄶㅇㅁ" hidden="1">{#N/A,#N/A,FALSE,"이태원철근"}</definedName>
    <definedName name="ㅁㄴㅇㅎㅁㄶㅇㅇㅁㄶ" localSheetId="16" hidden="1">{#N/A,#N/A,FALSE,"이태원철근"}</definedName>
    <definedName name="ㅁㄴㅇㅎㅁㄶㅇㅇㅁㄶ" hidden="1">{#N/A,#N/A,FALSE,"이태원철근"}</definedName>
    <definedName name="ㅁㄴㅇㅎㅁㄷㅈㅎㅁㄴㄷㄱㄻㄴㅇ" localSheetId="16" hidden="1">{#N/A,#N/A,FALSE,"이태원철근"}</definedName>
    <definedName name="ㅁㄴㅇㅎㅁㄷㅈㅎㅁㄴㄷㄱㄻㄴㅇ" hidden="1">{#N/A,#N/A,FALSE,"이태원철근"}</definedName>
    <definedName name="ㅁㄴㅇㅎㅁㅎㅇㅁㅎㅇ" localSheetId="16" hidden="1">{#N/A,#N/A,FALSE,"이태원철근"}</definedName>
    <definedName name="ㅁㄴㅇㅎㅁㅎㅇㅁㅎㅇ" hidden="1">{#N/A,#N/A,FALSE,"이태원철근"}</definedName>
    <definedName name="ㅁㄴ아러ㅏㄴㅁㅇ" localSheetId="4" hidden="1">#REF!</definedName>
    <definedName name="ㅁㄴ아러ㅏㄴㅁㅇ" localSheetId="16" hidden="1">#REF!</definedName>
    <definedName name="ㅁㄴ아러ㅏㄴㅁㅇ" hidden="1">#REF!</definedName>
    <definedName name="ㅁㄴ아러ㅏㄴㅁㅇㄹ" localSheetId="4" hidden="1">#REF!</definedName>
    <definedName name="ㅁㄴ아러ㅏㄴㅁㅇㄹ" localSheetId="16" hidden="1">#REF!</definedName>
    <definedName name="ㅁㄴ아러ㅏㄴㅁㅇㄹ" hidden="1">#REF!</definedName>
    <definedName name="ㅁㄴ아러ㅏㅁㄴㅇㄹ" localSheetId="4" hidden="1">#REF!</definedName>
    <definedName name="ㅁㄴ아러ㅏㅁㄴㅇㄹ" localSheetId="16" hidden="1">#REF!</definedName>
    <definedName name="ㅁㄴ아러ㅏㅁㄴㅇㄹ" hidden="1">#REF!</definedName>
    <definedName name="ㅁㄴ아럴ㅇ냐" localSheetId="4" hidden="1">#REF!</definedName>
    <definedName name="ㅁㄴ아럴ㅇ냐" localSheetId="16" hidden="1">#REF!</definedName>
    <definedName name="ㅁㄴ아럴ㅇ냐" hidden="1">#REF!</definedName>
    <definedName name="ㅁㄴ아렁냘" localSheetId="4" hidden="1">#REF!</definedName>
    <definedName name="ㅁㄴ아렁냘" localSheetId="16" hidden="1">#REF!</definedName>
    <definedName name="ㅁㄴ아렁냘" hidden="1">#REF!</definedName>
    <definedName name="ㅁㄴ아ㅓㄹㄹㅇ냐" localSheetId="4" hidden="1">#REF!</definedName>
    <definedName name="ㅁㄴ아ㅓㄹㄹㅇ냐" localSheetId="16" hidden="1">#REF!</definedName>
    <definedName name="ㅁㄴ아ㅓㄹㄹㅇ냐" hidden="1">#REF!</definedName>
    <definedName name="ㅁㄴ아ㅓㄹ만ㅇㄹ" localSheetId="4" hidden="1">#REF!</definedName>
    <definedName name="ㅁㄴ아ㅓㄹ만ㅇㄹ" localSheetId="16" hidden="1">#REF!</definedName>
    <definedName name="ㅁㄴ아ㅓㄹ만ㅇㄹ" hidden="1">#REF!</definedName>
    <definedName name="ㅁㄴ얄ㄷ" localSheetId="4" hidden="1">#REF!</definedName>
    <definedName name="ㅁㄴ얄ㄷ" localSheetId="16" hidden="1">#REF!</definedName>
    <definedName name="ㅁㄴ얄ㄷ" hidden="1">#REF!</definedName>
    <definedName name="ㅁㄴ어란ㅁ얼0" localSheetId="4" hidden="1">#REF!</definedName>
    <definedName name="ㅁㄴ어란ㅁ얼0" localSheetId="16" hidden="1">#REF!</definedName>
    <definedName name="ㅁㄴ어란ㅁ얼0" hidden="1">#REF!</definedName>
    <definedName name="ㅁㄴ어랑ㄴ멀" localSheetId="4" hidden="1">#REF!</definedName>
    <definedName name="ㅁㄴ어랑ㄴ멀" localSheetId="16" hidden="1">#REF!</definedName>
    <definedName name="ㅁㄴ어랑ㄴ멀" hidden="1">#REF!</definedName>
    <definedName name="ㅁㄴ어랸ㅁ어랴" localSheetId="4" hidden="1">#REF!</definedName>
    <definedName name="ㅁㄴ어랸ㅁ어랴" localSheetId="16" hidden="1">#REF!</definedName>
    <definedName name="ㅁㄴ어랸ㅁ어랴" hidden="1">#REF!</definedName>
    <definedName name="ㅁㄴ어럄ㄴㅇ러ㅑ" localSheetId="4" hidden="1">#REF!</definedName>
    <definedName name="ㅁㄴ어럄ㄴㅇ러ㅑ" localSheetId="16" hidden="1">#REF!</definedName>
    <definedName name="ㅁㄴ어럄ㄴㅇ러ㅑ" hidden="1">#REF!</definedName>
    <definedName name="ㅁㄴ어럄ㅇㄴㄹ" localSheetId="4" hidden="1">#REF!</definedName>
    <definedName name="ㅁㄴ어럄ㅇㄴㄹ" localSheetId="16" hidden="1">#REF!</definedName>
    <definedName name="ㅁㄴ어럄ㅇㄴㄹ" hidden="1">#REF!</definedName>
    <definedName name="ㅁㄴ어량ㄴㅁ러" localSheetId="4" hidden="1">#REF!</definedName>
    <definedName name="ㅁㄴ어량ㄴㅁ러" localSheetId="16" hidden="1">#REF!</definedName>
    <definedName name="ㅁㄴ어량ㄴㅁ러" hidden="1">#REF!</definedName>
    <definedName name="ㅁㄴ얼ㄴㅁ야럴ㅇㄴ먀" localSheetId="4" hidden="1">#REF!</definedName>
    <definedName name="ㅁㄴ얼ㄴㅁ야럴ㅇㄴ먀" localSheetId="16" hidden="1">#REF!</definedName>
    <definedName name="ㅁㄴ얼ㄴㅁ야럴ㅇㄴ먀" hidden="1">#REF!</definedName>
    <definedName name="ㅁㄴ얼ㄴ먈ㅇ" localSheetId="4" hidden="1">#REF!</definedName>
    <definedName name="ㅁㄴ얼ㄴ먈ㅇ" localSheetId="16" hidden="1">#REF!</definedName>
    <definedName name="ㅁㄴ얼ㄴ먈ㅇ" hidden="1">#REF!</definedName>
    <definedName name="ㅁㄴ얼ㄹㅇㄴ먀" localSheetId="4" hidden="1">#REF!</definedName>
    <definedName name="ㅁㄴ얼ㄹㅇㄴ먀" localSheetId="16" hidden="1">#REF!</definedName>
    <definedName name="ㅁㄴ얼ㄹㅇㄴ먀" hidden="1">#REF!</definedName>
    <definedName name="ㅁㄴ얼만ㅇ러ㅑ" localSheetId="4" hidden="1">#REF!</definedName>
    <definedName name="ㅁㄴ얼만ㅇ러ㅑ" localSheetId="16" hidden="1">#REF!</definedName>
    <definedName name="ㅁㄴ얼만ㅇ러ㅑ" hidden="1">#REF!</definedName>
    <definedName name="ㅁ나얼ㄴㅁㅇ러매ㅑ" localSheetId="4" hidden="1">#REF!</definedName>
    <definedName name="ㅁ나얼ㄴㅁㅇ러매ㅑ" localSheetId="16" hidden="1">#REF!</definedName>
    <definedName name="ㅁ나얼ㄴㅁㅇ러매ㅑ" hidden="1">#REF!</definedName>
    <definedName name="ㅁ나얾날언먕ㄹ" localSheetId="4" hidden="1">#REF!</definedName>
    <definedName name="ㅁ나얾날언먕ㄹ" localSheetId="16" hidden="1">#REF!</definedName>
    <definedName name="ㅁ나얾날언먕ㄹ" hidden="1">#REF!</definedName>
    <definedName name="ㅁ낭댭" localSheetId="4" hidden="1">#REF!</definedName>
    <definedName name="ㅁ낭댭" localSheetId="16" hidden="1">#REF!</definedName>
    <definedName name="ㅁ낭댭" hidden="1">#REF!</definedName>
    <definedName name="ㅁ널야ㅑㄷ" localSheetId="4" hidden="1">#REF!</definedName>
    <definedName name="ㅁ널야ㅑㄷ" localSheetId="16" hidden="1">#REF!</definedName>
    <definedName name="ㅁ널야ㅑㄷ" hidden="1">#REF!</definedName>
    <definedName name="ㅁ넝랴ㅓㄹ댣" localSheetId="4" hidden="1">#REF!</definedName>
    <definedName name="ㅁ넝랴ㅓㄹ댣" localSheetId="16" hidden="1">#REF!</definedName>
    <definedName name="ㅁ넝랴ㅓㄹ댣" hidden="1">#REF!</definedName>
    <definedName name="ㅁ뇬ㄱ쇿ㄴ" localSheetId="16" hidden="1">{#N/A,#N/A,FALSE,"이태원철근"}</definedName>
    <definedName name="ㅁ뇬ㄱ쇿ㄴ" hidden="1">{#N/A,#N/A,FALSE,"이태원철근"}</definedName>
    <definedName name="ㅁㄶㅇㄶㅇㄶㅇㄶㅇㅁ" localSheetId="16" hidden="1">{#N/A,#N/A,FALSE,"이태원철근"}</definedName>
    <definedName name="ㅁㄶㅇㄶㅇㄶㅇㄶㅇㅁ" hidden="1">{#N/A,#N/A,FALSE,"이태원철근"}</definedName>
    <definedName name="ㅁㄶㅇㄶㅇㄶㅇㅁㅁㄶㅇㅎㅇ" localSheetId="16" hidden="1">{#N/A,#N/A,FALSE,"이태원철근"}</definedName>
    <definedName name="ㅁㄶㅇㄶㅇㄶㅇㅁㅁㄶㅇㅎㅇ" hidden="1">{#N/A,#N/A,FALSE,"이태원철근"}</definedName>
    <definedName name="ㅁㄶㅇㄶㅇㅁㄶㅇㅁㄶㅇㄶㅇㅁ" localSheetId="16" hidden="1">{#N/A,#N/A,FALSE,"이태원철근"}</definedName>
    <definedName name="ㅁㄶㅇㄶㅇㅁㄶㅇㅁㄶㅇㄶㅇㅁ" hidden="1">{#N/A,#N/A,FALSE,"이태원철근"}</definedName>
    <definedName name="ㅁㄶㅇㄶㅇㅁㄶㅇㅁㄶㅇㅁㄶㅇ" localSheetId="16" hidden="1">{#N/A,#N/A,FALSE,"이태원철근"}</definedName>
    <definedName name="ㅁㄶㅇㄶㅇㅁㄶㅇㅁㄶㅇㅁㄶㅇ" hidden="1">{#N/A,#N/A,FALSE,"이태원철근"}</definedName>
    <definedName name="ㅁㄶㅇㅁㄶㅇㄶㅇㄶㅇㄶㅇ" localSheetId="16" hidden="1">{#N/A,#N/A,FALSE,"이태원철근"}</definedName>
    <definedName name="ㅁㄶㅇㅁㄶㅇㄶㅇㄶㅇㄶㅇ" hidden="1">{#N/A,#N/A,FALSE,"이태원철근"}</definedName>
    <definedName name="ㅁㄶㅇㅎㅎㅇㄴㄶㅇㅁㄶㅇ" localSheetId="16" hidden="1">{#N/A,#N/A,FALSE,"이태원철근"}</definedName>
    <definedName name="ㅁㄶㅇㅎㅎㅇㄴㄶㅇㅁㄶㅇ" hidden="1">{#N/A,#N/A,FALSE,"이태원철근"}</definedName>
    <definedName name="ㅁㄹ" localSheetId="16" hidden="1">{#N/A,#N/A,FALSE,"2~8번"}</definedName>
    <definedName name="ㅁㄹ" hidden="1">{#N/A,#N/A,FALSE,"2~8번"}</definedName>
    <definedName name="ㅁㄹㄴ" localSheetId="4" hidden="1">#REF!</definedName>
    <definedName name="ㅁㄹㄴ" localSheetId="16" hidden="1">#REF!</definedName>
    <definedName name="ㅁㄹㄴ" hidden="1">#REF!</definedName>
    <definedName name="ㅁㄹㄷㄹㄷㄹ" localSheetId="4" hidden="1">#REF!</definedName>
    <definedName name="ㅁㄹㄷㄹㄷㄹ" localSheetId="16" hidden="1">#REF!</definedName>
    <definedName name="ㅁㄹㄷㄹㄷㄹ" hidden="1">#REF!</definedName>
    <definedName name="ㅁㄹ댬ㅇ나러ㅏㅇㄴㅁㄹ" localSheetId="4" hidden="1">#REF!</definedName>
    <definedName name="ㅁㄹ댬ㅇ나러ㅏㅇㄴㅁㄹ" localSheetId="16" hidden="1">#REF!</definedName>
    <definedName name="ㅁㄹ댬ㅇ나러ㅏㅇㄴㅁㄹ" hidden="1">#REF!</definedName>
    <definedName name="ㅁㄹㄹ" localSheetId="16" hidden="1">{#N/A,#N/A,FALSE,"2~8번"}</definedName>
    <definedName name="ㅁㄹㄹ" hidden="1">{#N/A,#N/A,FALSE,"2~8번"}</definedName>
    <definedName name="ㅁㄹㅇㄴ" localSheetId="16" hidden="1">{#N/A,#N/A,FALSE,"이태원철근"}</definedName>
    <definedName name="ㅁㄹㅇㄴ" hidden="1">{#N/A,#N/A,FALSE,"이태원철근"}</definedName>
    <definedName name="ㅁㅀㅎ" localSheetId="16" hidden="1">{#N/A,#N/A,FALSE,"골재소요량";#N/A,#N/A,FALSE,"골재소요량"}</definedName>
    <definedName name="ㅁㅀㅎ" hidden="1">{#N/A,#N/A,FALSE,"골재소요량";#N/A,#N/A,FALSE,"골재소요량"}</definedName>
    <definedName name="ㅁㅁ" localSheetId="6" hidden="1">{#N/A,#N/A,FALSE,"이태원철근"}</definedName>
    <definedName name="ㅁㅁㄴㅇㄻㄷ" localSheetId="4" hidden="1">#REF!</definedName>
    <definedName name="ㅁㅁㄴㅇㄻㄷ" localSheetId="16" hidden="1">#REF!</definedName>
    <definedName name="ㅁㅁㄴㅇㄻㄷ" hidden="1">#REF!</definedName>
    <definedName name="ㅁㅁㅁㅁ"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ㅁㅁㅁㅁ"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ㅁㅁㅁㅁㅁ" localSheetId="16" hidden="1">{#N/A,#N/A,FALSE,"2~8번"}</definedName>
    <definedName name="ㅁㅁㅁㅁㅁ" hidden="1">{#N/A,#N/A,FALSE,"2~8번"}</definedName>
    <definedName name="ㅁㅁㅁㅁㅁㅁ" localSheetId="6" hidden="1">#REF!</definedName>
    <definedName name="ㅁㅁㅁㅁㅁㅁ" localSheetId="3" hidden="1">#REF!</definedName>
    <definedName name="ㅁㅁㅁㅁㅁㅁ" localSheetId="4" hidden="1">#REF!</definedName>
    <definedName name="ㅁㅁㅁㅁㅁㅁ" localSheetId="5" hidden="1">#REF!</definedName>
    <definedName name="ㅁㅁㅁㅁㅁㅁ" localSheetId="16" hidden="1">#REF!</definedName>
    <definedName name="ㅁㅁㅁㅁㅁㅁ" localSheetId="0" hidden="1">#REF!</definedName>
    <definedName name="ㅁㅁㅁㅁㅁㅁ" hidden="1">#REF!</definedName>
    <definedName name="ㅁㅁㅁㅁㅁㅁㅁ"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ㅁㅁㅁㅁㅁㅁㅁ" localSheetId="16" hidden="1">{#N/A,#N/A,FALSE,"배수1"}</definedName>
    <definedName name="ㅁㅁㅁㅁㅁㅁㅁㅁ" hidden="1">{#N/A,#N/A,FALSE,"배수1"}</definedName>
    <definedName name="ㅁㅁㅁㅁㅁㅁㅁㅁㅁㅁㅁ" localSheetId="16" hidden="1">{#N/A,#N/A,FALSE,"이태원철근"}</definedName>
    <definedName name="ㅁㅁㅁㅁㅁㅁㅁㅁㅁㅁㅁ" hidden="1">{#N/A,#N/A,FALSE,"이태원철근"}</definedName>
    <definedName name="ㅁㅁㅁㅁㅁㅁㅁㅁㅁㅁㅁㅁ" localSheetId="16" hidden="1">{#N/A,#N/A,FALSE,"이태원철근"}</definedName>
    <definedName name="ㅁㅁㅁㅁㅁㅁㅁㅁㅁㅁㅁㅁ" hidden="1">{#N/A,#N/A,FALSE,"이태원철근"}</definedName>
    <definedName name="ㅁㅁㅁㅁㅁㅁㅁㅁㅁㅁㅁㅁㅁ" localSheetId="16" hidden="1">{#N/A,#N/A,FALSE,"이태원철근"}</definedName>
    <definedName name="ㅁㅁㅁㅁㅁㅁㅁㅁㅁㅁㅁㅁㅁ" hidden="1">{#N/A,#N/A,FALSE,"이태원철근"}</definedName>
    <definedName name="ㅁㅁㅁㅁㅁㅁㅁㅁㅁㅁㅁㅁㅁㅁ" localSheetId="16" hidden="1">{#N/A,#N/A,FALSE,"이태원철근"}</definedName>
    <definedName name="ㅁㅁㅁㅁㅁㅁㅁㅁㅁㅁㅁㅁㅁㅁ" hidden="1">{#N/A,#N/A,FALSE,"이태원철근"}</definedName>
    <definedName name="ㅁㅅㅅㅁㄱㅈ"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ㅅㅅㅁㄱㅈ"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ㄴㄴ" localSheetId="16" hidden="1">{#N/A,#N/A,FALSE,"운반시간"}</definedName>
    <definedName name="ㅁㅇㄴㄴㄴ" hidden="1">{#N/A,#N/A,FALSE,"운반시간"}</definedName>
    <definedName name="ㅁㅇㄴㄻㄴㅇㄻㄴㅇㄹ" localSheetId="16" hidden="1">{#N/A,#N/A,FALSE,"이태원철근"}</definedName>
    <definedName name="ㅁㅇㄴㄻㄴㅇㄻㄴㅇㄹ" hidden="1">{#N/A,#N/A,FALSE,"이태원철근"}</definedName>
    <definedName name="ㅁㅇㄴㅁ"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ㄴ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ㅁㅇ너럄넝ㄹㅇㄴㅁㄹ" localSheetId="4" hidden="1">#REF!</definedName>
    <definedName name="ㅁㅇ너럄넝ㄹㅇㄴㅁㄹ" localSheetId="16" hidden="1">#REF!</definedName>
    <definedName name="ㅁㅇ너럄넝ㄹㅇㄴㅁㄹ" hidden="1">#REF!</definedName>
    <definedName name="ㅁㅇㄻㄴㄻ" localSheetId="16" hidden="1">{#N/A,#N/A,FALSE,"이태원철근"}</definedName>
    <definedName name="ㅁㅇㄻㄴㄻ" hidden="1">{#N/A,#N/A,FALSE,"이태원철근"}</definedName>
    <definedName name="ㅁㅇㅂㅈㄷㅇㅂㅈㄷㅁㄴ" localSheetId="16" hidden="1">{#N/A,#N/A,FALSE,"이태원철근"}</definedName>
    <definedName name="ㅁㅇㅂㅈㄷㅇㅂㅈㄷㅁㄴ" hidden="1">{#N/A,#N/A,FALSE,"이태원철근"}</definedName>
    <definedName name="ㅁㅇㅎㅁㄴㅇㅎㅇㅁㄶㄻㅇㄴ" localSheetId="16" hidden="1">{#N/A,#N/A,FALSE,"이태원철근"}</definedName>
    <definedName name="ㅁㅇㅎㅁㄴㅇㅎㅇㅁㄶㄻㅇㄴ" hidden="1">{#N/A,#N/A,FALSE,"이태원철근"}</definedName>
    <definedName name="ㅁㅇㅎㅁㄶㅇㅁㅎㅇㄶㅇ" localSheetId="16" hidden="1">{#N/A,#N/A,FALSE,"이태원철근"}</definedName>
    <definedName name="ㅁㅇㅎㅁㄶㅇㅁㅎㅇㄶㅇ" hidden="1">{#N/A,#N/A,FALSE,"이태원철근"}</definedName>
    <definedName name="ㅁㅈㄴㅇ" localSheetId="16" hidden="1">{#N/A,#N/A,FALSE,"조골재"}</definedName>
    <definedName name="ㅁㅈㄴㅇ" hidden="1">{#N/A,#N/A,FALSE,"조골재"}</definedName>
    <definedName name="ㅁㅈㅇㅁㅇㅇㅇ" localSheetId="16" hidden="1">{#N/A,#N/A,FALSE,"골재소요량";#N/A,#N/A,FALSE,"골재소요량"}</definedName>
    <definedName name="ㅁㅈㅇㅁㅇㅇㅇ" hidden="1">{#N/A,#N/A,FALSE,"골재소요량";#N/A,#N/A,FALSE,"골재소요량"}</definedName>
    <definedName name="ㅁㅈㅈㅈㅈ" localSheetId="16" hidden="1">{#N/A,#N/A,FALSE,"조골재"}</definedName>
    <definedName name="ㅁㅈㅈㅈㅈ" hidden="1">{#N/A,#N/A,FALSE,"조골재"}</definedName>
    <definedName name="ㅁㅍㅊ" localSheetId="16" hidden="1">{#N/A,#N/A,FALSE,"속도"}</definedName>
    <definedName name="ㅁㅍㅊ" hidden="1">{#N/A,#N/A,FALSE,"속도"}</definedName>
    <definedName name="마감"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마감"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마감공사비A3" localSheetId="4" hidden="1">[26]유림골조!#REF!</definedName>
    <definedName name="마감공사비A3" localSheetId="16" hidden="1">[26]유림골조!#REF!</definedName>
    <definedName name="마감공사비A3" hidden="1">[26]유림골조!#REF!</definedName>
    <definedName name="만득이" localSheetId="16" hidden="1">{#N/A,#N/A,FALSE,"2~8번"}</definedName>
    <definedName name="만득이" hidden="1">{#N/A,#N/A,FALSE,"2~8번"}</definedName>
    <definedName name="매출bogo" localSheetId="16" hidden="1">{#N/A,#N/A,FALSE,"손익표지";#N/A,#N/A,FALSE,"손익계산";#N/A,#N/A,FALSE,"일반관리비";#N/A,#N/A,FALSE,"영업외수익";#N/A,#N/A,FALSE,"영업외비용";#N/A,#N/A,FALSE,"매출액";#N/A,#N/A,FALSE,"요약손익";#N/A,#N/A,FALSE,"요약대차";#N/A,#N/A,FALSE,"매출채권현황";#N/A,#N/A,FALSE,"매출채권명세"}</definedName>
    <definedName name="매출bogo" hidden="1">{#N/A,#N/A,FALSE,"손익표지";#N/A,#N/A,FALSE,"손익계산";#N/A,#N/A,FALSE,"일반관리비";#N/A,#N/A,FALSE,"영업외수익";#N/A,#N/A,FALSE,"영업외비용";#N/A,#N/A,FALSE,"매출액";#N/A,#N/A,FALSE,"요약손익";#N/A,#N/A,FALSE,"요약대차";#N/A,#N/A,FALSE,"매출채권현황";#N/A,#N/A,FALSE,"매출채권명세"}</definedName>
    <definedName name="매출원가1" localSheetId="16" hidden="1">{#N/A,#N/A,FALSE,"Aging Summary";#N/A,#N/A,FALSE,"Ratio Analysis";#N/A,#N/A,FALSE,"Test 120 Day Accts";#N/A,#N/A,FALSE,"Tickmarks"}</definedName>
    <definedName name="매출원가1" hidden="1">{#N/A,#N/A,FALSE,"Aging Summary";#N/A,#N/A,FALSE,"Ratio Analysis";#N/A,#N/A,FALSE,"Test 120 Day Accts";#N/A,#N/A,FALSE,"Tickmarks"}</definedName>
    <definedName name="멍ㄴ랴멀ㅇ냗" localSheetId="4" hidden="1">#REF!</definedName>
    <definedName name="멍ㄴ랴멀ㅇ냗" localSheetId="16" hidden="1">#REF!</definedName>
    <definedName name="멍ㄴ랴멀ㅇ냗" hidden="1">#REF!</definedName>
    <definedName name="메롱" localSheetId="16" hidden="1">{#N/A,#N/A,FALSE,"동부"}</definedName>
    <definedName name="메롱" hidden="1">{#N/A,#N/A,FALSE,"동부"}</definedName>
    <definedName name="목차9" localSheetId="16" hidden="1">{#N/A,#N/A,FALSE,"이태원철근"}</definedName>
    <definedName name="목차9" hidden="1">{#N/A,#N/A,FALSE,"이태원철근"}</definedName>
    <definedName name="목표전개"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목표전개"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뫃ㄹ놓ㄴ오" localSheetId="16" hidden="1">{#N/A,#N/A,FALSE,"이태원철근"}</definedName>
    <definedName name="뫃ㄹ놓ㄴ오" hidden="1">{#N/A,#N/A,FALSE,"이태원철근"}</definedName>
    <definedName name="문성수" localSheetId="16" hidden="1">{#N/A,#N/A,FALSE,"손익표지";#N/A,#N/A,FALSE,"손익계산";#N/A,#N/A,FALSE,"일반관리비";#N/A,#N/A,FALSE,"영업외수익";#N/A,#N/A,FALSE,"영업외비용";#N/A,#N/A,FALSE,"매출액";#N/A,#N/A,FALSE,"요약손익";#N/A,#N/A,FALSE,"요약대차";#N/A,#N/A,FALSE,"매출채권현황";#N/A,#N/A,FALSE,"매출채권명세"}</definedName>
    <definedName name="문성수" hidden="1">{#N/A,#N/A,FALSE,"손익표지";#N/A,#N/A,FALSE,"손익계산";#N/A,#N/A,FALSE,"일반관리비";#N/A,#N/A,FALSE,"영업외수익";#N/A,#N/A,FALSE,"영업외비용";#N/A,#N/A,FALSE,"매출액";#N/A,#N/A,FALSE,"요약손익";#N/A,#N/A,FALSE,"요약대차";#N/A,#N/A,FALSE,"매출채권현황";#N/A,#N/A,FALSE,"매출채권명세"}</definedName>
    <definedName name="물" localSheetId="16" hidden="1">{#N/A,#N/A,FALSE,"이태원철근"}</definedName>
    <definedName name="물" hidden="1">{#N/A,#N/A,FALSE,"이태원철근"}</definedName>
    <definedName name="물가" localSheetId="16" hidden="1">{#N/A,#N/A,FALSE,"이태원철근"}</definedName>
    <definedName name="물가" hidden="1">{#N/A,#N/A,FALSE,"이태원철근"}</definedName>
    <definedName name="물가2" localSheetId="16" hidden="1">{#N/A,#N/A,FALSE,"이태원철근"}</definedName>
    <definedName name="물가2" hidden="1">{#N/A,#N/A,FALSE,"이태원철근"}</definedName>
    <definedName name="뭐가이태원이야" localSheetId="16" hidden="1">{#N/A,#N/A,FALSE,"이태원철근"}</definedName>
    <definedName name="뭐가이태원이야" hidden="1">{#N/A,#N/A,FALSE,"이태원철근"}</definedName>
    <definedName name="뮹ㅊ"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뮹ㅊ"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미"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미지" localSheetId="16" hidden="1">{#N/A,#N/A,FALSE,"BS";#N/A,#N/A,FALSE,"IS";#N/A,#N/A,FALSE,"결손금처리";#N/A,#N/A,FALSE,"cashflow"}</definedName>
    <definedName name="미지" hidden="1">{#N/A,#N/A,FALSE,"BS";#N/A,#N/A,FALSE,"IS";#N/A,#N/A,FALSE,"결손금처리";#N/A,#N/A,FALSE,"cashflow"}</definedName>
    <definedName name="미지급" localSheetId="16" hidden="1">{#N/A,#N/A,FALSE,"BS";#N/A,#N/A,FALSE,"IS";#N/A,#N/A,FALSE,"결손금처리";#N/A,#N/A,FALSE,"cashflow"}</definedName>
    <definedName name="미지급" hidden="1">{#N/A,#N/A,FALSE,"BS";#N/A,#N/A,FALSE,"IS";#N/A,#N/A,FALSE,"결손금처리";#N/A,#N/A,FALSE,"cashflow"}</definedName>
    <definedName name="미지급1" localSheetId="4" hidden="1">#REF!</definedName>
    <definedName name="미지급1" localSheetId="16" hidden="1">#REF!</definedName>
    <definedName name="미지급1" hidden="1">#REF!</definedName>
    <definedName name="미지급2"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미지급2"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미화" localSheetId="16" hidden="1">{#N/A,#N/A,FALSE,"이력서&amp;자기소개서"}</definedName>
    <definedName name="미화" hidden="1">{#N/A,#N/A,FALSE,"이력서&amp;자기소개서"}</definedName>
    <definedName name="민감" localSheetId="16" hidden="1">{#N/A,#N/A,TRUE,"대 차 대 조 표"}</definedName>
    <definedName name="민감" hidden="1">{#N/A,#N/A,TRUE,"대 차 대 조 표"}</definedName>
    <definedName name="민아러" localSheetId="4" hidden="1">#REF!</definedName>
    <definedName name="민아러" localSheetId="16" hidden="1">#REF!</definedName>
    <definedName name="민아러" hidden="1">#REF!</definedName>
    <definedName name="민자사업" localSheetId="16" hidden="1">{#N/A,#N/A,FALSE,"손익표지";#N/A,#N/A,FALSE,"손익계산";#N/A,#N/A,FALSE,"일반관리비";#N/A,#N/A,FALSE,"영업외수익";#N/A,#N/A,FALSE,"영업외비용";#N/A,#N/A,FALSE,"매출액";#N/A,#N/A,FALSE,"요약손익";#N/A,#N/A,FALSE,"요약대차";#N/A,#N/A,FALSE,"매출채권현황";#N/A,#N/A,FALSE,"매출채권명세"}</definedName>
    <definedName name="민자사업" hidden="1">{#N/A,#N/A,FALSE,"손익표지";#N/A,#N/A,FALSE,"손익계산";#N/A,#N/A,FALSE,"일반관리비";#N/A,#N/A,FALSE,"영업외수익";#N/A,#N/A,FALSE,"영업외비용";#N/A,#N/A,FALSE,"매출액";#N/A,#N/A,FALSE,"요약손익";#N/A,#N/A,FALSE,"요약대차";#N/A,#N/A,FALSE,"매출채권현황";#N/A,#N/A,FALSE,"매출채권명세"}</definedName>
    <definedName name="ㅂ" localSheetId="16" hidden="1">{#N/A,#N/A,FALSE,"이태원철근"}</definedName>
    <definedName name="ㅂ" hidden="1">{#N/A,#N/A,FALSE,"이태원철근"}</definedName>
    <definedName name="ㅂㄱㄷㅅㅂㄷ"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ㅂㄱㄷㅅㅂㄷ" hidden="1">{#N/A,#N/A,FALSE,"손익표지";#N/A,#N/A,FALSE,"손익계산";#N/A,#N/A,FALSE,"일반관리비";#N/A,#N/A,FALSE,"영업외수익";#N/A,#N/A,FALSE,"영업외비용";#N/A,#N/A,FALSE,"매출액";#N/A,#N/A,FALSE,"요약손익";#N/A,#N/A,FALSE,"요약대차";#N/A,#N/A,FALSE,"매출채권현황";#N/A,#N/A,FALSE,"매출채권명세"}</definedName>
    <definedName name="ㅂㄷ"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ㄷ"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ㄹ"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ㄹ"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ㅂ" localSheetId="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ㅂㅂㅂ" localSheetId="16" hidden="1">{#N/A,#N/A,FALSE,"배수2"}</definedName>
    <definedName name="ㅂㅂㅂ" hidden="1">{#N/A,#N/A,FALSE,"배수2"}</definedName>
    <definedName name="ㅂㅂㅂㅂ"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ㅂㅂㅂ"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ㅂㅂㅂㅂ"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ㅂㅂㅂㅂ"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ㅂㅂㅂㅂㅂㅂ" localSheetId="16" hidden="1">{#N/A,#N/A,FALSE,"이태원철근"}</definedName>
    <definedName name="ㅂㅂㅂㅂㅂㅂㅂ" hidden="1">{#N/A,#N/A,FALSE,"이태원철근"}</definedName>
    <definedName name="ㅂㅂㅂㅂㅂㅂㅂㅂ" localSheetId="16" hidden="1">{#N/A,#N/A,FALSE,"이태원철근"}</definedName>
    <definedName name="ㅂㅂㅂㅂㅂㅂㅂㅂ" hidden="1">{#N/A,#N/A,FALSE,"이태원철근"}</definedName>
    <definedName name="ㅂㅂㅂㅂㅂㅂㅂㅂㅂ" localSheetId="16" hidden="1">{#N/A,#N/A,FALSE,"이태원철근"}</definedName>
    <definedName name="ㅂㅂㅂㅂㅂㅂㅂㅂㅂ" hidden="1">{#N/A,#N/A,FALSE,"이태원철근"}</definedName>
    <definedName name="ㅂㅂㅂㅂㅂㅂㅂㅂㅂㅂㅂ" localSheetId="16" hidden="1">{#N/A,#N/A,FALSE,"이태원철근"}</definedName>
    <definedName name="ㅂㅂㅂㅂㅂㅂㅂㅂㅂㅂㅂ" hidden="1">{#N/A,#N/A,FALSE,"이태원철근"}</definedName>
    <definedName name="ㅂㅂㅂㅂㅂㅂㅂㅂㅂㅂㅂㅂ" localSheetId="16" hidden="1">{#N/A,#N/A,FALSE,"이태원철근"}</definedName>
    <definedName name="ㅂㅂㅂㅂㅂㅂㅂㅂㅂㅂㅂㅂ" hidden="1">{#N/A,#N/A,FALSE,"이태원철근"}</definedName>
    <definedName name="ㅂㅂㅂㅂㅂㅂㅂㅂㅂㅂㅂㅂㅂ" localSheetId="16" hidden="1">{#N/A,#N/A,FALSE,"이태원철근"}</definedName>
    <definedName name="ㅂㅂㅂㅂㅂㅂㅂㅂㅂㅂㅂㅂㅂ" hidden="1">{#N/A,#N/A,FALSE,"이태원철근"}</definedName>
    <definedName name="ㅂㅂㅂㅂㅂㅂㅂㅂㅂㅂㅂㅂㅂㅂㅂㅂㅂ" localSheetId="16" hidden="1">{#N/A,#N/A,FALSE,"이태원철근"}</definedName>
    <definedName name="ㅂㅂㅂㅂㅂㅂㅂㅂㅂㅂㅂㅂㅂㅂㅂㅂㅂ" hidden="1">{#N/A,#N/A,FALSE,"이태원철근"}</definedName>
    <definedName name="ㅂㅂㅂㅂㅂㅂㅂㅂㅂㅂㅂㅂㅂㅂㅂㅂㅂㅂ" localSheetId="16" hidden="1">{#N/A,#N/A,FALSE,"이태원철근"}</definedName>
    <definedName name="ㅂㅂㅂㅂㅂㅂㅂㅂㅂㅂㅂㅂㅂㅂㅂㅂㅂㅂ" hidden="1">{#N/A,#N/A,FALSE,"이태원철근"}</definedName>
    <definedName name="ㅂㅂㅂㅂㅂㅂㅂㅂㅂㅂㅂㅂㅂㅂㅂㅂㅂㅂㅂ" localSheetId="16" hidden="1">{#N/A,#N/A,FALSE,"이태원철근"}</definedName>
    <definedName name="ㅂㅂㅂㅂㅂㅂㅂㅂㅂㅂㅂㅂㅂㅂㅂㅂㅂㅂㅂ" hidden="1">{#N/A,#N/A,FALSE,"이태원철근"}</definedName>
    <definedName name="ㅂㅂㅂㅂㅂㅂㅂㅂㅂㅂㅂㅂㅂㅂㅂㅂㅂㅂㅂㅂ" localSheetId="16" hidden="1">{#N/A,#N/A,FALSE,"이태원철근"}</definedName>
    <definedName name="ㅂㅂㅂㅂㅂㅂㅂㅂㅂㅂㅂㅂㅂㅂㅂㅂㅂㅂㅂㅂ" hidden="1">{#N/A,#N/A,FALSE,"이태원철근"}</definedName>
    <definedName name="ㅂㅂㅂㅂㅂㅂㅂㅂㅂㅂㅂㅂㅂㅂㅂㅂㅂㅂㅂㅂㅂㅂㅂㅂㅂㅂ" localSheetId="16" hidden="1">{#N/A,#N/A,FALSE,"이태원철근"}</definedName>
    <definedName name="ㅂㅂㅂㅂㅂㅂㅂㅂㅂㅂㅂㅂㅂㅂㅂㅂㅂㅂㅂㅂㅂㅂㅂㅂㅂㅂ" hidden="1">{#N/A,#N/A,FALSE,"이태원철근"}</definedName>
    <definedName name="ㅂㅂㅂㅂㅂㅂㅂㅂㅂㅂㅂㅂㅂㅂㅂㅂㅂㅂㅂㅂㅂㅂㅂㅂㅂㅂㅂㅂ" localSheetId="16" hidden="1">{#N/A,#N/A,FALSE,"이태원철근"}</definedName>
    <definedName name="ㅂㅂㅂㅂㅂㅂㅂㅂㅂㅂㅂㅂㅂㅂㅂㅂㅂㅂㅂㅂㅂㅂㅂㅂㅂㅂㅂㅂ" hidden="1">{#N/A,#N/A,FALSE,"이태원철근"}</definedName>
    <definedName name="ㅂㅂㅂㅂㅂㅂㅂㅂㅂㅂㅂㅂㅂㅂㅂㅂㅂㅂㅂㅂㅂㅂㅂㅂㅂㅂㅂㅂㅂㅂ" localSheetId="16" hidden="1">{#N/A,#N/A,FALSE,"이태원철근"}</definedName>
    <definedName name="ㅂㅂㅂㅂㅂㅂㅂㅂㅂㅂㅂㅂㅂㅂㅂㅂㅂㅂㅂㅂㅂㅂㅂㅂㅂㅂㅂㅂㅂㅂ" hidden="1">{#N/A,#N/A,FALSE,"이태원철근"}</definedName>
    <definedName name="ㅂㅂㅂㅂㅂㅂㅂㅂㅂㅂㅂㅂㅂㅂㅂㅂㅂㅂㅂㅂㅂㅂㅂㅂㅂㅂㅂㅂㅂㅂㅂㅂ" localSheetId="16" hidden="1">{#N/A,#N/A,FALSE,"이태원철근"}</definedName>
    <definedName name="ㅂㅂㅂㅂㅂㅂㅂㅂㅂㅂㅂㅂㅂㅂㅂㅂㅂㅂㅂㅂㅂㅂㅂㅂㅂㅂㅂㅂㅂㅂㅂㅂ" hidden="1">{#N/A,#N/A,FALSE,"이태원철근"}</definedName>
    <definedName name="ㅂㅂㅂㅂㅂㅂㅂㅂㅂㅂㅂㅂㅂㅂㅂㅂㅂㅂㅂㅂㅂㅂㅂㅂㅂㅂㅂㅂㅂㅂㅂㅂㅂㅂㅂㅂㅂ" localSheetId="16" hidden="1">{#N/A,#N/A,FALSE,"이태원철근"}</definedName>
    <definedName name="ㅂㅂㅂㅂㅂㅂㅂㅂㅂㅂㅂㅂㅂㅂㅂㅂㅂㅂㅂㅂㅂㅂㅂㅂㅂㅂㅂㅂㅂㅂㅂㅂㅂㅂㅂㅂㅂ" hidden="1">{#N/A,#N/A,FALSE,"이태원철근"}</definedName>
    <definedName name="ㅂㅂㅂㅂㅂㅂㅂㅂㅂㅂㅂㅂㅂㅂㅂㅂ부" localSheetId="16" hidden="1">{#N/A,#N/A,FALSE,"이태원철근"}</definedName>
    <definedName name="ㅂㅂㅂㅂㅂㅂㅂㅂㅂㅂㅂㅂㅂㅂㅂㅂ부" hidden="1">{#N/A,#N/A,FALSE,"이태원철근"}</definedName>
    <definedName name="ㅂㅂㅂㅂㅂㅂㅂㅂㅂㅂㅂ부" localSheetId="16" hidden="1">{#N/A,#N/A,FALSE,"이태원철근"}</definedName>
    <definedName name="ㅂㅂㅂㅂㅂㅂㅂㅂㅂㅂㅂ부" hidden="1">{#N/A,#N/A,FALSE,"이태원철근"}</definedName>
    <definedName name="ㅂㅂㅂㅂㅂㅂㅂㅂㅂㅂ붑ㅂ" localSheetId="16" hidden="1">{#N/A,#N/A,FALSE,"이태원철근"}</definedName>
    <definedName name="ㅂㅂㅂㅂㅂㅂㅂㅂㅂㅂ붑ㅂ" hidden="1">{#N/A,#N/A,FALSE,"이태원철근"}</definedName>
    <definedName name="ㅂㅂㅂㅂㅂㅂㅂㅂㅂ부" localSheetId="16" hidden="1">{#N/A,#N/A,FALSE,"이태원철근"}</definedName>
    <definedName name="ㅂㅂㅂㅂㅂㅂㅂㅂㅂ부" hidden="1">{#N/A,#N/A,FALSE,"이태원철근"}</definedName>
    <definedName name="ㅂㅂㅂㅂㅂㅂㅂㅂ부" localSheetId="16" hidden="1">{#N/A,#N/A,FALSE,"이태원철근"}</definedName>
    <definedName name="ㅂㅂㅂㅂㅂㅂㅂㅂ부" hidden="1">{#N/A,#N/A,FALSE,"이태원철근"}</definedName>
    <definedName name="ㅂㅂㅂㅂㅂㅂㅂ부" localSheetId="16" hidden="1">{#N/A,#N/A,FALSE,"이태원철근"}</definedName>
    <definedName name="ㅂㅂㅂㅂㅂㅂㅂ부" hidden="1">{#N/A,#N/A,FALSE,"이태원철근"}</definedName>
    <definedName name="ㅂㅂㅂㅂㅂ부" localSheetId="16" hidden="1">{#N/A,#N/A,FALSE,"이태원철근"}</definedName>
    <definedName name="ㅂㅂㅂㅂㅂ부" hidden="1">{#N/A,#N/A,FALSE,"이태원철근"}</definedName>
    <definedName name="ㅂㅂㅂㅂ붑ㅂㅂ" localSheetId="16" hidden="1">{#N/A,#N/A,FALSE,"이태원철근"}</definedName>
    <definedName name="ㅂㅂㅂㅂ붑ㅂㅂ" hidden="1">{#N/A,#N/A,FALSE,"이태원철근"}</definedName>
    <definedName name="ㅂㅂ붑ㅂㅂㅂㅂㅂㅂㅂㅂ" localSheetId="16" hidden="1">{#N/A,#N/A,FALSE,"이태원철근"}</definedName>
    <definedName name="ㅂㅂ붑ㅂㅂㅂㅂㅂㅂㅂㅂ" hidden="1">{#N/A,#N/A,FALSE,"이태원철근"}</definedName>
    <definedName name="ㅂㅂㅈ" localSheetId="16" hidden="1">{#N/A,#N/A,FALSE,"이태원철근"}</definedName>
    <definedName name="ㅂㅂㅈ" hidden="1">{#N/A,#N/A,FALSE,"이태원철근"}</definedName>
    <definedName name="ㅂㅈ" localSheetId="16" hidden="1">{#N/A,#N/A,FALSE,"2~8번"}</definedName>
    <definedName name="ㅂㅈ" hidden="1">{#N/A,#N/A,FALSE,"2~8번"}</definedName>
    <definedName name="ㅂㅈㄱㅂㅈㄱ" localSheetId="16" hidden="1">{#N/A,#N/A,FALSE,"이태원철근"}</definedName>
    <definedName name="ㅂㅈㄱㅂㅈㄱ" hidden="1">{#N/A,#N/A,FALSE,"이태원철근"}</definedName>
    <definedName name="ㅂㅈㄱㅂㅈㄱㄷㅂ" localSheetId="16" hidden="1">{#N/A,#N/A,FALSE,"이태원철근"}</definedName>
    <definedName name="ㅂㅈㄱㅂㅈㄱㄷㅂ" hidden="1">{#N/A,#N/A,FALSE,"이태원철근"}</definedName>
    <definedName name="ㅂㅈㄱㅂㅈㄱㄷㅂㅈㄱ" localSheetId="16" hidden="1">{#N/A,#N/A,FALSE,"이태원철근"}</definedName>
    <definedName name="ㅂㅈㄱㅂㅈㄱㄷㅂㅈㄱ" hidden="1">{#N/A,#N/A,FALSE,"이태원철근"}</definedName>
    <definedName name="ㅂㅈㄱㅂㅈㄱㅇㅂㅈ" localSheetId="16" hidden="1">{#N/A,#N/A,FALSE,"이태원철근"}</definedName>
    <definedName name="ㅂㅈㄱㅂㅈㄱㅇㅂㅈ" hidden="1">{#N/A,#N/A,FALSE,"이태원철근"}</definedName>
    <definedName name="ㅂㅈㄱㅂㅈㄱㅇㅂㅈㄱ" localSheetId="16" hidden="1">{#N/A,#N/A,FALSE,"이태원철근"}</definedName>
    <definedName name="ㅂㅈㄱㅂㅈㄱㅇㅂㅈㄱ" hidden="1">{#N/A,#N/A,FALSE,"이태원철근"}</definedName>
    <definedName name="ㅂㅈㄱㅂㅈㄷㄱㅂㅈㄷ" localSheetId="16" hidden="1">{#N/A,#N/A,FALSE,"이태원철근"}</definedName>
    <definedName name="ㅂㅈㄱㅂㅈㄷㄱㅂㅈㄷ" hidden="1">{#N/A,#N/A,FALSE,"이태원철근"}</definedName>
    <definedName name="ㅂㅈㄱㅂㅈㄷㅂㅈㄷ" localSheetId="16" hidden="1">{#N/A,#N/A,FALSE,"이태원철근"}</definedName>
    <definedName name="ㅂㅈㄱㅂㅈㄷㅂㅈㄷ" hidden="1">{#N/A,#N/A,FALSE,"이태원철근"}</definedName>
    <definedName name="ㅂㅈㄱㅂㅈㅇㅂㅈㅇㄷㅂㅈ" localSheetId="16" hidden="1">{#N/A,#N/A,FALSE,"이태원철근"}</definedName>
    <definedName name="ㅂㅈㄱㅂㅈㅇㅂㅈㅇㄷㅂㅈ" hidden="1">{#N/A,#N/A,FALSE,"이태원철근"}</definedName>
    <definedName name="ㅂㅈㄷ" localSheetId="6" hidden="1">{#N/A,#N/A,FALSE,"골재소요량";#N/A,#N/A,FALSE,"골재소요량"}</definedName>
    <definedName name="ㅂㅈㄷㄱㅂㅈㄱㅂㅈ" localSheetId="16" hidden="1">{#N/A,#N/A,FALSE,"이태원철근"}</definedName>
    <definedName name="ㅂㅈㄷㄱㅂㅈㄱㅂㅈ" hidden="1">{#N/A,#N/A,FALSE,"이태원철근"}</definedName>
    <definedName name="ㅂㅈㄷㅂㅈㄱㅂㅈㅇ" localSheetId="16" hidden="1">{#N/A,#N/A,FALSE,"이태원철근"}</definedName>
    <definedName name="ㅂㅈㄷㅂㅈㄱㅂㅈㅇ" hidden="1">{#N/A,#N/A,FALSE,"이태원철근"}</definedName>
    <definedName name="ㅂㅈㄷㅂㅈㅈㅇ부" localSheetId="16" hidden="1">{#N/A,#N/A,FALSE,"이태원철근"}</definedName>
    <definedName name="ㅂㅈㄷㅂㅈㅈㅇ부" hidden="1">{#N/A,#N/A,FALSE,"이태원철근"}</definedName>
    <definedName name="ㅂㅈㄷㅈㄷ" localSheetId="16" hidden="1">{#N/A,#N/A,FALSE,"이태원철근"}</definedName>
    <definedName name="ㅂㅈㄷㅈㄷ" hidden="1">{#N/A,#N/A,FALSE,"이태원철근"}</definedName>
    <definedName name="ㅂㅈㅇㅁㄴㅇㅂㅈㄷㅁㄴ" localSheetId="16" hidden="1">{#N/A,#N/A,FALSE,"이태원철근"}</definedName>
    <definedName name="ㅂㅈㅇㅁㄴㅇㅂㅈㄷㅁㄴ" hidden="1">{#N/A,#N/A,FALSE,"이태원철근"}</definedName>
    <definedName name="ㅂㅈㅇㅁㅇㅂㅈㄷㅁㄴ" localSheetId="16" hidden="1">{#N/A,#N/A,FALSE,"이태원철근"}</definedName>
    <definedName name="ㅂㅈㅇㅁㅇㅂㅈㄷㅁㄴ" hidden="1">{#N/A,#N/A,FALSE,"이태원철근"}</definedName>
    <definedName name="ㅂㅈㅇㅂㄴㅇㄴㅂㅇㅂㅈ" localSheetId="16" hidden="1">{#N/A,#N/A,FALSE,"이태원철근"}</definedName>
    <definedName name="ㅂㅈㅇㅂㄴㅇㄴㅂㅇㅂㅈ" hidden="1">{#N/A,#N/A,FALSE,"이태원철근"}</definedName>
    <definedName name="ㅂㅈㅇㅂㅈㅇㅂㅈㅇ" localSheetId="16" hidden="1">{#N/A,#N/A,FALSE,"이태원철근"}</definedName>
    <definedName name="ㅂㅈㅇㅂㅈㅇㅂㅈㅇ" hidden="1">{#N/A,#N/A,FALSE,"이태원철근"}</definedName>
    <definedName name="ㅂㅍ"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ㅍ"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ㅎ"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ㅂㅎ"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바로" localSheetId="4" hidden="1">[55]경비!#REF!</definedName>
    <definedName name="바로" localSheetId="16" hidden="1">[55]경비!#REF!</definedName>
    <definedName name="바로" hidden="1">[55]경비!#REF!</definedName>
    <definedName name="바롤7ㅕㄹ" localSheetId="4" hidden="1">[56]경비!#REF!</definedName>
    <definedName name="바롤7ㅕㄹ" localSheetId="16" hidden="1">[56]경비!#REF!</definedName>
    <definedName name="바롤7ㅕㄹ" hidden="1">[56]경비!#REF!</definedName>
    <definedName name="박" hidden="1">[57]생산직!$A$5:$U$139</definedName>
    <definedName name="배분전" localSheetId="16" hidden="1">{#N/A,#N/A,TRUE,"대 차 대 조 표"}</definedName>
    <definedName name="배분전" hidden="1">{#N/A,#N/A,TRUE,"대 차 대 조 표"}</definedName>
    <definedName name="범위액"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범위액"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범위액2" localSheetId="16"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범위액2" hidden="1">{#N/A,#N/A,TRUE,"표지";#N/A,#N/A,TRUE,"총괄표";#N/A,#N/A,TRUE,"1호 과표세액";#N/A,#N/A,TRUE,"2호 서식";#N/A,#N/A,TRUE,"3(1) 부3 세액조정";#N/A,#N/A,TRUE,"임시투자공제";#N/A,#N/A,TRUE,"조8호 기술인력";#N/A,#N/A,TRUE,"3(1)부7 기업합리";#N/A,#N/A,TRUE,"3(3)호(갑) 원천납부";#N/A,#N/A,TRUE,"6호 소득금액";#N/A,#N/A,TRUE,"6호 첨부(익)";#N/A,#N/A,TRUE,"6호 첨부(손)";#N/A,#N/A,TRUE,"6-1호 수입금액";#N/A,#N/A,TRUE,"6-2(4)호 해외시장";#N/A,#N/A,TRUE,"6-2(12)호 수출손실";#N/A,#N/A,TRUE,"6-3호 퇴충";#N/A,#N/A,TRUE,"6-3(3)호 단퇴";#N/A,#N/A,TRUE,"6-3(4)호 대손";#N/A,#N/A,TRUE,"6-4호 접대(갑)";#N/A,#N/A,TRUE,"6-4호 접대(을)";#N/A,#N/A,TRUE,"6-5호 외화(갑)";#N/A,#N/A,TRUE,"6-5호 외화(을)";#N/A,#N/A,TRUE,"6-6호(부표) 자본적지출";#N/A,#N/A,TRUE,"6-10호 재고자산";#N/A,#N/A,TRUE,"6-11호 세금과공과";#N/A,#N/A,TRUE,"6-12호 선급비용";#N/A,#N/A,TRUE,"6-13호 기부금";#N/A,#N/A,TRUE,"6-14호 부동산보유";#N/A,#N/A,TRUE,"8호 기부금조정";#N/A,#N/A,TRUE,"9호 자본금(갑)";#N/A,#N/A,TRUE,"9호 자본금(을)";#N/A,#N/A,TRUE,"10(3)호 주요계정";#N/A,#N/A,TRUE,"10(3)호 부표";#N/A,#N/A,TRUE,"10(4)호 조정수입";#N/A,#N/A,TRUE,"14(1)호 갑 주식";#N/A,#N/A,TRUE,"요약 BS";#N/A,#N/A,TRUE,"요약 PL";#N/A,#N/A,TRUE,"요약원가";#N/A,#N/A,TRUE,"요약RE"}</definedName>
    <definedName name="벽체" localSheetId="16" hidden="1">{#N/A,#N/A,FALSE,"혼합골재"}</definedName>
    <definedName name="벽체" hidden="1">{#N/A,#N/A,FALSE,"혼합골재"}</definedName>
    <definedName name="별지8"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별지8"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보충" localSheetId="4" hidden="1">#REF!</definedName>
    <definedName name="보충" localSheetId="16" hidden="1">#REF!</definedName>
    <definedName name="보충" hidden="1">#REF!</definedName>
    <definedName name="보할" localSheetId="16" hidden="1">{#N/A,#N/A,FALSE,"이태원철근"}</definedName>
    <definedName name="보할" hidden="1">{#N/A,#N/A,FALSE,"이태원철근"}</definedName>
    <definedName name="보할공정률매출투입취하" localSheetId="16" hidden="1">{#N/A,#N/A,FALSE,"이태원철근"}</definedName>
    <definedName name="보할공정률매출투입취하" hidden="1">{#N/A,#N/A,FALSE,"이태원철근"}</definedName>
    <definedName name="보할푬_2000년" localSheetId="16" hidden="1">{#N/A,#N/A,FALSE,"이태원철근"}</definedName>
    <definedName name="보할푬_2000년" hidden="1">{#N/A,#N/A,FALSE,"이태원철근"}</definedName>
    <definedName name="보활공정" localSheetId="16" hidden="1">{#N/A,#N/A,FALSE,"이태원철근"}</definedName>
    <definedName name="보활공정" hidden="1">{#N/A,#N/A,FALSE,"이태원철근"}</definedName>
    <definedName name="복사" localSheetId="16" hidden="1">{#N/A,#N/A,FALSE,"이태원철근"}</definedName>
    <definedName name="복사" hidden="1">{#N/A,#N/A,FALSE,"이태원철근"}</definedName>
    <definedName name="부대건축2" localSheetId="4" hidden="1">[8]유림골조!#REF!</definedName>
    <definedName name="부대건축2" localSheetId="16" hidden="1">[8]유림골조!#REF!</definedName>
    <definedName name="부대건축2" hidden="1">[8]유림골조!#REF!</definedName>
    <definedName name="부대공사" localSheetId="4" hidden="1">#REF!</definedName>
    <definedName name="부대공사" localSheetId="16" hidden="1">#REF!</definedName>
    <definedName name="부대공사" hidden="1">#REF!</definedName>
    <definedName name="부대원본" localSheetId="16" hidden="1">{#N/A,#N/A,FALSE,"토공2"}</definedName>
    <definedName name="부대원본" hidden="1">{#N/A,#N/A,FALSE,"토공2"}</definedName>
    <definedName name="부동산특배포계획" localSheetId="4" hidden="1">#REF!</definedName>
    <definedName name="부동산특배포계획" localSheetId="16" hidden="1">#REF!</definedName>
    <definedName name="부동산특배포계획" hidden="1">#REF!</definedName>
    <definedName name="부산주경기장"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산주경기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부재재" localSheetId="16" hidden="1">{#N/A,#N/A,FALSE,"PART-1234-8-12-9(41)";#N/A,#N/A,FALSE,"PARTS-2(3)";#N/A,#N/A,FALSE,"VAN SYSTEM";#N/A,#N/A,FALSE,"PARTS-10(26)";#N/A,#N/A,FALSE,"PART-5-6-7-11(14)";#N/A,#N/A,FALSE,"PARTS-4(3)";#N/A,#N/A,FALSE,"PCLASS"}</definedName>
    <definedName name="부재재" hidden="1">{#N/A,#N/A,FALSE,"PART-1234-8-12-9(41)";#N/A,#N/A,FALSE,"PARTS-2(3)";#N/A,#N/A,FALSE,"VAN SYSTEM";#N/A,#N/A,FALSE,"PARTS-10(26)";#N/A,#N/A,FALSE,"PART-5-6-7-11(14)";#N/A,#N/A,FALSE,"PARTS-4(3)";#N/A,#N/A,FALSE,"PCLASS"}</definedName>
    <definedName name="북방파제"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북방파제"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분" localSheetId="16" hidden="1">{#N/A,#N/A,FALSE,"이태원철근"}</definedName>
    <definedName name="분" hidden="1">{#N/A,#N/A,FALSE,"이태원철근"}</definedName>
    <definedName name="분당공" localSheetId="4" hidden="1">#REF!</definedName>
    <definedName name="분당공" localSheetId="16" hidden="1">#REF!</definedName>
    <definedName name="분당공" hidden="1">#REF!</definedName>
    <definedName name="분당물가" localSheetId="4" hidden="1">#REF!</definedName>
    <definedName name="분당물가" localSheetId="16" hidden="1">#REF!</definedName>
    <definedName name="분당물가" hidden="1">#REF!</definedName>
    <definedName name="분당코아" localSheetId="4" hidden="1">#REF!</definedName>
    <definedName name="분당코아" localSheetId="16" hidden="1">#REF!</definedName>
    <definedName name="분당코아" hidden="1">#REF!</definedName>
    <definedName name="분당협조" localSheetId="16" hidden="1">{#N/A,#N/A,FALSE,"이태원철근"}</definedName>
    <definedName name="분당협조" hidden="1">{#N/A,#N/A,FALSE,"이태원철근"}</definedName>
    <definedName name="분석1" localSheetId="16" hidden="1">{#N/A,#N/A,FALSE,"PART-1234-8-12-9(41)";#N/A,#N/A,FALSE,"PARTS-2(3)";#N/A,#N/A,FALSE,"VAN SYSTEM";#N/A,#N/A,FALSE,"PARTS-10(26)";#N/A,#N/A,FALSE,"PART-5-6-7-11(14)";#N/A,#N/A,FALSE,"PARTS-4(3)";#N/A,#N/A,FALSE,"PCLASS"}</definedName>
    <definedName name="분석1" hidden="1">{#N/A,#N/A,FALSE,"PART-1234-8-12-9(41)";#N/A,#N/A,FALSE,"PARTS-2(3)";#N/A,#N/A,FALSE,"VAN SYSTEM";#N/A,#N/A,FALSE,"PARTS-10(26)";#N/A,#N/A,FALSE,"PART-5-6-7-11(14)";#N/A,#N/A,FALSE,"PARTS-4(3)";#N/A,#N/A,FALSE,"PCLASS"}</definedName>
    <definedName name="분석2" localSheetId="16" hidden="1">{#N/A,#N/A,FALSE,"PART-1234-8-12-9(41)";#N/A,#N/A,FALSE,"PARTS-2(3)";#N/A,#N/A,FALSE,"VAN SYSTEM";#N/A,#N/A,FALSE,"PARTS-10(26)";#N/A,#N/A,FALSE,"PART-5-6-7-11(14)";#N/A,#N/A,FALSE,"PARTS-4(3)";#N/A,#N/A,FALSE,"PCLASS"}</definedName>
    <definedName name="분석2" hidden="1">{#N/A,#N/A,FALSE,"PART-1234-8-12-9(41)";#N/A,#N/A,FALSE,"PARTS-2(3)";#N/A,#N/A,FALSE,"VAN SYSTEM";#N/A,#N/A,FALSE,"PARTS-10(26)";#N/A,#N/A,FALSE,"PART-5-6-7-11(14)";#N/A,#N/A,FALSE,"PARTS-4(3)";#N/A,#N/A,FALSE,"PCLASS"}</definedName>
    <definedName name="분석3" localSheetId="16" hidden="1">{#N/A,#N/A,FALSE,"PART-1234-8-12-9(41)";#N/A,#N/A,FALSE,"PARTS-2(3)";#N/A,#N/A,FALSE,"VAN SYSTEM";#N/A,#N/A,FALSE,"PARTS-10(26)";#N/A,#N/A,FALSE,"PART-5-6-7-11(14)";#N/A,#N/A,FALSE,"PARTS-4(3)";#N/A,#N/A,FALSE,"PCLASS"}</definedName>
    <definedName name="분석3" hidden="1">{#N/A,#N/A,FALSE,"PART-1234-8-12-9(41)";#N/A,#N/A,FALSE,"PARTS-2(3)";#N/A,#N/A,FALSE,"VAN SYSTEM";#N/A,#N/A,FALSE,"PARTS-10(26)";#N/A,#N/A,FALSE,"PART-5-6-7-11(14)";#N/A,#N/A,FALSE,"PARTS-4(3)";#N/A,#N/A,FALSE,"PCLASS"}</definedName>
    <definedName name="분석4"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분석4"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분야"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야별공사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 localSheetId="16" hidden="1">{#N/A,#N/A,FALSE,"이태원철근"}</definedName>
    <definedName name="분양" hidden="1">{#N/A,#N/A,FALSE,"이태원철근"}</definedName>
    <definedName name="분양가" localSheetId="16" hidden="1">{#N/A,#N/A,FALSE,"이태원철근"}</definedName>
    <definedName name="분양가" hidden="1">{#N/A,#N/A,FALSE,"이태원철근"}</definedName>
    <definedName name="분양별"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양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분전반제조총괄표" localSheetId="16" hidden="1">{"'건축내역'!$A$1:$L$413"}</definedName>
    <definedName name="분전반제조총괄표" hidden="1">{"'건축내역'!$A$1:$L$413"}</definedName>
    <definedName name="비" localSheetId="16" hidden="1">{#N/A,#N/A,FALSE,"동부"}</definedName>
    <definedName name="비" hidden="1">{#N/A,#N/A,FALSE,"동부"}</definedName>
    <definedName name="비례율" localSheetId="4" hidden="1">#REF!</definedName>
    <definedName name="비례율" localSheetId="16" hidden="1">#REF!</definedName>
    <definedName name="비례율" hidden="1">#REF!</definedName>
    <definedName name="비례율9.0" localSheetId="4" hidden="1">#REF!</definedName>
    <definedName name="비례율9.0" localSheetId="16" hidden="1">#REF!</definedName>
    <definedName name="비례율9.0" hidden="1">#REF!</definedName>
    <definedName name="빌" localSheetId="16" hidden="1">{#N/A,#N/A,FALSE,"동부"}</definedName>
    <definedName name="빌" hidden="1">{#N/A,#N/A,FALSE,"동부"}</definedName>
    <definedName name="빌딩" localSheetId="16" hidden="1">{#N/A,#N/A,FALSE,"동부"}</definedName>
    <definedName name="빌딩" hidden="1">{#N/A,#N/A,FALSE,"동부"}</definedName>
    <definedName name="빌딩2" localSheetId="16" hidden="1">{#N/A,#N/A,FALSE,"동부"}</definedName>
    <definedName name="빌딩2" hidden="1">{#N/A,#N/A,FALSE,"동부"}</definedName>
    <definedName name="빌딩별2" localSheetId="16" hidden="1">{#N/A,#N/A,FALSE,"동부"}</definedName>
    <definedName name="빌딩별2" hidden="1">{#N/A,#N/A,FALSE,"동부"}</definedName>
    <definedName name="빌딩별강남" localSheetId="16" hidden="1">{#N/A,#N/A,FALSE,"동부"}</definedName>
    <definedName name="빌딩별강남" hidden="1">{#N/A,#N/A,FALSE,"동부"}</definedName>
    <definedName name="빗" localSheetId="16" hidden="1">{#N/A,#N/A,FALSE,"이태원철근"}</definedName>
    <definedName name="빗" hidden="1">{#N/A,#N/A,FALSE,"이태원철근"}</definedName>
    <definedName name="ㅄ"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ㅄ"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ㅅ" localSheetId="16" hidden="1">{#N/A,#N/A,FALSE,"이태원철근"}</definedName>
    <definedName name="ㅅ" hidden="1">{#N/A,#N/A,FALSE,"이태원철근"}</definedName>
    <definedName name="ㅅ교ㄳ"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ㅅ교ㄳ" hidden="1">{#N/A,#N/A,FALSE,"손익표지";#N/A,#N/A,FALSE,"손익계산";#N/A,#N/A,FALSE,"일반관리비";#N/A,#N/A,FALSE,"영업외수익";#N/A,#N/A,FALSE,"영업외비용";#N/A,#N/A,FALSE,"매출액";#N/A,#N/A,FALSE,"요약손익";#N/A,#N/A,FALSE,"요약대차";#N/A,#N/A,FALSE,"매출채권현황";#N/A,#N/A,FALSE,"매출채권명세"}</definedName>
    <definedName name="ㅅㄷㄹ오" localSheetId="16" hidden="1">{#N/A,#N/A,FALSE,"골재소요량";#N/A,#N/A,FALSE,"골재소요량"}</definedName>
    <definedName name="ㅅㄷㄹ오" hidden="1">{#N/A,#N/A,FALSE,"골재소요량";#N/A,#N/A,FALSE,"골재소요량"}</definedName>
    <definedName name="ㅅㅅㅅ" localSheetId="16" hidden="1">{"'손익현황'!$A$1:$J$29"}</definedName>
    <definedName name="ㅅㅅㅅ" hidden="1">{"'손익현황'!$A$1:$J$29"}</definedName>
    <definedName name="ㅅㅗ" localSheetId="4" hidden="1">#REF!</definedName>
    <definedName name="ㅅㅗ" localSheetId="16" hidden="1">#REF!</definedName>
    <definedName name="ㅅㅗ" hidden="1">#REF!</definedName>
    <definedName name="사" localSheetId="16" hidden="1">{#N/A,#N/A,FALSE,"지침";#N/A,#N/A,FALSE,"환경분석";#N/A,#N/A,FALSE,"Sheet16"}</definedName>
    <definedName name="사" hidden="1">{#N/A,#N/A,FALSE,"지침";#N/A,#N/A,FALSE,"환경분석";#N/A,#N/A,FALSE,"Sheet16"}</definedName>
    <definedName name="사1" localSheetId="16" hidden="1">{#N/A,#N/A,FALSE,"지침";#N/A,#N/A,FALSE,"환경분석";#N/A,#N/A,FALSE,"Sheet16"}</definedName>
    <definedName name="사1" hidden="1">{#N/A,#N/A,FALSE,"지침";#N/A,#N/A,FALSE,"환경분석";#N/A,#N/A,FALSE,"Sheet16"}</definedName>
    <definedName name="사업" localSheetId="16" hidden="1">{#N/A,#N/A,FALSE,"이태원철근"}</definedName>
    <definedName name="사업" hidden="1">{#N/A,#N/A,FALSE,"이태원철근"}</definedName>
    <definedName name="사업계획" localSheetId="16" hidden="1">{#N/A,#N/A,FALSE,"이태원철근"}</definedName>
    <definedName name="사업계획" hidden="1">{#N/A,#N/A,FALSE,"이태원철근"}</definedName>
    <definedName name="사업부양식2" localSheetId="4" hidden="1">#REF!</definedName>
    <definedName name="사업부양식2" localSheetId="16" hidden="1">#REF!</definedName>
    <definedName name="사업부양식2" hidden="1">#REF!</definedName>
    <definedName name="사업비최종"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사업비최종" hidden="1">{#N/A,#N/A,FALSE,"손익표지";#N/A,#N/A,FALSE,"손익계산";#N/A,#N/A,FALSE,"일반관리비";#N/A,#N/A,FALSE,"영업외수익";#N/A,#N/A,FALSE,"영업외비용";#N/A,#N/A,FALSE,"매출액";#N/A,#N/A,FALSE,"요약손익";#N/A,#N/A,FALSE,"요약대차";#N/A,#N/A,FALSE,"매출채권현황";#N/A,#N/A,FALSE,"매출채권명세"}</definedName>
    <definedName name="사업시행조합" localSheetId="4" hidden="1">#REF!</definedName>
    <definedName name="사업시행조합" localSheetId="16" hidden="1">#REF!</definedName>
    <definedName name="사업시행조합" hidden="1">#REF!</definedName>
    <definedName name="사업시행조합우" localSheetId="4" hidden="1">#REF!</definedName>
    <definedName name="사업시행조합우" localSheetId="16" hidden="1">#REF!</definedName>
    <definedName name="사업시행조합우" hidden="1">#REF!</definedName>
    <definedName name="사업추진변경내역" localSheetId="16" hidden="1">{#N/A,#N/A,FALSE,"이태원철근"}</definedName>
    <definedName name="사업추진변경내역" hidden="1">{#N/A,#N/A,FALSE,"이태원철근"}</definedName>
    <definedName name="산출" localSheetId="16" hidden="1">{#N/A,#N/A,FALSE,"이태원철근"}</definedName>
    <definedName name="산출" hidden="1">{#N/A,#N/A,FALSE,"이태원철근"}</definedName>
    <definedName name="상" localSheetId="16" hidden="1">{#N/A,#N/A,FALSE,"PART-1234-8-12-9(41)";#N/A,#N/A,FALSE,"PARTS-2(3)";#N/A,#N/A,FALSE,"VAN SYSTEM";#N/A,#N/A,FALSE,"PARTS-10(26)";#N/A,#N/A,FALSE,"PART-5-6-7-11(14)";#N/A,#N/A,FALSE,"PARTS-4(3)";#N/A,#N/A,FALSE,"PCLASS"}</definedName>
    <definedName name="상" hidden="1">{#N/A,#N/A,FALSE,"PART-1234-8-12-9(41)";#N/A,#N/A,FALSE,"PARTS-2(3)";#N/A,#N/A,FALSE,"VAN SYSTEM";#N/A,#N/A,FALSE,"PARTS-10(26)";#N/A,#N/A,FALSE,"PART-5-6-7-11(14)";#N/A,#N/A,FALSE,"PARTS-4(3)";#N/A,#N/A,FALSE,"PCLASS"}</definedName>
    <definedName name="상수도" localSheetId="16" hidden="1">{#N/A,#N/A,FALSE,"PART-1234-8-12-9(41)";#N/A,#N/A,FALSE,"PARTS-2(3)";#N/A,#N/A,FALSE,"VAN SYSTEM";#N/A,#N/A,FALSE,"PARTS-10(26)";#N/A,#N/A,FALSE,"PART-5-6-7-11(14)";#N/A,#N/A,FALSE,"PARTS-4(3)";#N/A,#N/A,FALSE,"PCLASS"}</definedName>
    <definedName name="상수도" hidden="1">{#N/A,#N/A,FALSE,"PART-1234-8-12-9(41)";#N/A,#N/A,FALSE,"PARTS-2(3)";#N/A,#N/A,FALSE,"VAN SYSTEM";#N/A,#N/A,FALSE,"PARTS-10(26)";#N/A,#N/A,FALSE,"PART-5-6-7-11(14)";#N/A,#N/A,FALSE,"PARTS-4(3)";#N/A,#N/A,FALSE,"PCLASS"}</definedName>
    <definedName name="상품" localSheetId="16" hidden="1">{#N/A,#N/A,FALSE,"Sheet5"}</definedName>
    <definedName name="상품" hidden="1">{#N/A,#N/A,FALSE,"Sheet5"}</definedName>
    <definedName name="상품수불" localSheetId="16" hidden="1">{#N/A,#N/A,FALSE,"Sheet5"}</definedName>
    <definedName name="상품수불" hidden="1">{#N/A,#N/A,FALSE,"Sheet5"}</definedName>
    <definedName name="상품원가" localSheetId="16" hidden="1">{#N/A,#N/A,FALSE,"Sheet5"}</definedName>
    <definedName name="상품원가" hidden="1">{#N/A,#N/A,FALSE,"Sheet5"}</definedName>
    <definedName name="새공통" localSheetId="16" hidden="1">{#N/A,#N/A,FALSE,"이태원철근"}</definedName>
    <definedName name="새공통" hidden="1">{#N/A,#N/A,FALSE,"이태원철근"}</definedName>
    <definedName name="샘풀카피" localSheetId="16" hidden="1">{#N/A,#N/A,FALSE,"CCTV"}</definedName>
    <definedName name="샘풀카피" hidden="1">{#N/A,#N/A,FALSE,"CCTV"}</definedName>
    <definedName name="샘플" localSheetId="16" hidden="1">{#N/A,#N/A,FALSE,"이태원철근"}</definedName>
    <definedName name="샘플" hidden="1">{#N/A,#N/A,FALSE,"이태원철근"}</definedName>
    <definedName name="샘플카피2" localSheetId="16" hidden="1">{#N/A,#N/A,FALSE,"CCTV"}</definedName>
    <definedName name="샘플카피2" hidden="1">{#N/A,#N/A,FALSE,"CCTV"}</definedName>
    <definedName name="샘플카피3" localSheetId="16" hidden="1">{#N/A,#N/A,FALSE,"CCTV"}</definedName>
    <definedName name="샘플카피3" hidden="1">{#N/A,#N/A,FALSE,"CCTV"}</definedName>
    <definedName name="서비스임대" localSheetId="4" hidden="1">#REF!</definedName>
    <definedName name="서비스임대" localSheetId="16" hidden="1">#REF!</definedName>
    <definedName name="서비스임대" hidden="1">#REF!</definedName>
    <definedName name="서초" localSheetId="16" hidden="1">{#N/A,#N/A,TRUE,"대 차 대 조 표"}</definedName>
    <definedName name="서초" hidden="1">{#N/A,#N/A,TRUE,"대 차 대 조 표"}</definedName>
    <definedName name="서초2" localSheetId="16" hidden="1">{#N/A,#N/A,TRUE,"대 차 대 조 표"}</definedName>
    <definedName name="서초2" hidden="1">{#N/A,#N/A,TRUE,"대 차 대 조 표"}</definedName>
    <definedName name="서초해동" localSheetId="16" hidden="1">{#N/A,#N/A,TRUE,"대 차 대 조 표"}</definedName>
    <definedName name="서초해동" hidden="1">{#N/A,#N/A,TRUE,"대 차 대 조 표"}</definedName>
    <definedName name="석곡투자비" localSheetId="16" hidden="1">{"AJD",#N/A,TRUE,"Summary";"AJD",#N/A,TRUE,"CFCONC-outputs";"AJD",#N/A,TRUE,"P&amp;LCONC-outputs";"AJD",#N/A,TRUE,"BSCONC-outputs";"AJD",#N/A,TRUE,"FSCONC-outputs"}</definedName>
    <definedName name="석곡투자비" hidden="1">{"AJD",#N/A,TRUE,"Summary";"AJD",#N/A,TRUE,"CFCONC-outputs";"AJD",#N/A,TRUE,"P&amp;LCONC-outputs";"AJD",#N/A,TRUE,"BSCONC-outputs";"AJD",#N/A,TRUE,"FSCONC-outputs"}</definedName>
    <definedName name="선순위대출">'사업수지표 '!$R$42:$R$43</definedName>
    <definedName name="설계내역서" localSheetId="16" hidden="1">{"'별표'!$N$220"}</definedName>
    <definedName name="설계내역서" hidden="1">{"'별표'!$N$220"}</definedName>
    <definedName name="설비" localSheetId="16" hidden="1">{#N/A,#N/A,FALSE,"이태원철근"}</definedName>
    <definedName name="설비" hidden="1">{#N/A,#N/A,FALSE,"이태원철근"}</definedName>
    <definedName name="설비2" localSheetId="16" hidden="1">{#N/A,#N/A,FALSE,"이태원철근"}</definedName>
    <definedName name="설비2" hidden="1">{#N/A,#N/A,FALSE,"이태원철근"}</definedName>
    <definedName name="설서" localSheetId="16" hidden="1">{"'별표'!$N$220"}</definedName>
    <definedName name="설서" hidden="1">{"'별표'!$N$220"}</definedName>
    <definedName name="성명" localSheetId="16" hidden="1">{#N/A,#N/A,FALSE,"이태원철근"}</definedName>
    <definedName name="성명" hidden="1">{#N/A,#N/A,FALSE,"이태원철근"}</definedName>
    <definedName name="세부내용"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세부내용"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세전" localSheetId="16" hidden="1">{#N/A,#N/A,FALSE,"지침";#N/A,#N/A,FALSE,"환경분석";#N/A,#N/A,FALSE,"Sheet16"}</definedName>
    <definedName name="세전" hidden="1">{#N/A,#N/A,FALSE,"지침";#N/A,#N/A,FALSE,"환경분석";#N/A,#N/A,FALSE,"Sheet16"}</definedName>
    <definedName name="세전익익" localSheetId="16" hidden="1">{#N/A,#N/A,FALSE,"지침";#N/A,#N/A,FALSE,"환경분석";#N/A,#N/A,FALSE,"Sheet16"}</definedName>
    <definedName name="세전익익" hidden="1">{#N/A,#N/A,FALSE,"지침";#N/A,#N/A,FALSE,"환경분석";#N/A,#N/A,FALSE,"Sheet16"}</definedName>
    <definedName name="소득구분3"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소득구분3"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소요계획" localSheetId="16" hidden="1">{#N/A,#N/A,FALSE,"이태원철근"}</definedName>
    <definedName name="소요계획" hidden="1">{#N/A,#N/A,FALSE,"이태원철근"}</definedName>
    <definedName name="소화갑지" localSheetId="16" hidden="1">{#N/A,#N/A,FALSE,"CCTV"}</definedName>
    <definedName name="소화갑지" hidden="1">{#N/A,#N/A,FALSE,"CCTV"}</definedName>
    <definedName name="손" localSheetId="16"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 hidden="1">{#N/A,#N/A,TRUE,"1호 과표세액";#N/A,#N/A,TRUE,"1-2호 농어촌과표";#N/A,#N/A,TRUE,"2호 서식";#N/A,#N/A,TRUE,"2호부표 최저한세";#N/A,#N/A,TRUE,"3(1)호 공제감면";#N/A,#N/A,TRUE,"임시특별감면";#N/A,#N/A,TRUE,"3(1)부7 기업합리";#N/A,#N/A,TRUE,"5호 농어촌";#N/A,#N/A,TRUE,"5호2 농감면(갑)";#N/A,#N/A,TRUE,"6호 소득금액";#N/A,#N/A,TRUE,"6호 첨부(익)";#N/A,#N/A,TRUE,"6호 첨부(손)";#N/A,#N/A,TRUE,"감가총괄";#N/A,#N/A,TRUE,"6-6(3)호 감가(정액)";#N/A,#N/A,TRUE,"9호 자본금(갑)";#N/A,#N/A,TRUE,"9호 자본금(을)";#N/A,#N/A,TRUE,"10(3)호 주요계정";#N/A,#N/A,TRUE,"10(4)호 소득구분"}</definedName>
    <definedName name="손영주" localSheetId="16" hidden="1">{#N/A,#N/A,FALSE,"조골재"}</definedName>
    <definedName name="손영주" hidden="1">{#N/A,#N/A,FALSE,"조골재"}</definedName>
    <definedName name="손익계산서" localSheetId="16" hidden="1">{#N/A,#N/A,FALSE,"BS";#N/A,#N/A,FALSE,"PL";#N/A,#N/A,FALSE,"처분";#N/A,#N/A,FALSE,"현금";#N/A,#N/A,FALSE,"매출";#N/A,#N/A,FALSE,"원가";#N/A,#N/A,FALSE,"경영"}</definedName>
    <definedName name="손익계산서" hidden="1">{#N/A,#N/A,FALSE,"BS";#N/A,#N/A,FALSE,"PL";#N/A,#N/A,FALSE,"처분";#N/A,#N/A,FALSE,"현금";#N/A,#N/A,FALSE,"매출";#N/A,#N/A,FALSE,"원가";#N/A,#N/A,FALSE,"경영"}</definedName>
    <definedName name="손익변경" localSheetId="16" hidden="1">{#N/A,#N/A,FALSE,"지침";#N/A,#N/A,FALSE,"환경분석";#N/A,#N/A,FALSE,"Sheet16"}</definedName>
    <definedName name="손익변경" hidden="1">{#N/A,#N/A,FALSE,"지침";#N/A,#N/A,FALSE,"환경분석";#N/A,#N/A,FALSE,"Sheet16"}</definedName>
    <definedName name="솔" localSheetId="16" hidden="1">{#N/A,#N/A,TRUE,"대 차 대 조 표"}</definedName>
    <definedName name="솔" hidden="1">{#N/A,#N/A,TRUE,"대 차 대 조 표"}</definedName>
    <definedName name="수" localSheetId="4" hidden="1">#REF!</definedName>
    <definedName name="수" localSheetId="16" hidden="1">#REF!</definedName>
    <definedName name="수" hidden="1">#REF!</definedName>
    <definedName name="수급표" localSheetId="4" hidden="1">#REF!</definedName>
    <definedName name="수급표" localSheetId="16" hidden="1">#REF!</definedName>
    <definedName name="수급표" hidden="1">#REF!</definedName>
    <definedName name="수도비절감"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수도비절감"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수불" localSheetId="16" hidden="1">{#N/A,#N/A,FALSE,"Sheet5"}</definedName>
    <definedName name="수불" hidden="1">{#N/A,#N/A,FALSE,"Sheet5"}</definedName>
    <definedName name="수익" localSheetId="4" hidden="1">#REF!</definedName>
    <definedName name="수익" localSheetId="16" hidden="1">#REF!</definedName>
    <definedName name="수익" hidden="1">#REF!</definedName>
    <definedName name="수입" localSheetId="16" hidden="1">{#N/A,#N/A,TRUE,"대 차 대 조 표"}</definedName>
    <definedName name="수입" hidden="1">{#N/A,#N/A,TRUE,"대 차 대 조 표"}</definedName>
    <definedName name="수정" localSheetId="6" hidden="1">{#N/A,#N/A,FALSE,"BS";#N/A,#N/A,FALSE,"PL";#N/A,#N/A,FALSE,"처분";#N/A,#N/A,FALSE,"현금";#N/A,#N/A,FALSE,"매출";#N/A,#N/A,FALSE,"원가";#N/A,#N/A,FALSE,"경영"}</definedName>
    <definedName name="수정사항1" localSheetId="16" hidden="1">{#N/A,#N/A,FALSE,"BS";#N/A,#N/A,FALSE,"PL";#N/A,#N/A,FALSE,"처분";#N/A,#N/A,FALSE,"현금";#N/A,#N/A,FALSE,"매출";#N/A,#N/A,FALSE,"원가";#N/A,#N/A,FALSE,"경영"}</definedName>
    <definedName name="수정사항1" hidden="1">{#N/A,#N/A,FALSE,"BS";#N/A,#N/A,FALSE,"PL";#N/A,#N/A,FALSE,"처분";#N/A,#N/A,FALSE,"현금";#N/A,#N/A,FALSE,"매출";#N/A,#N/A,FALSE,"원가";#N/A,#N/A,FALSE,"경영"}</definedName>
    <definedName name="수정사항2" localSheetId="16" hidden="1">{#N/A,#N/A,FALSE,"BS";#N/A,#N/A,FALSE,"PL";#N/A,#N/A,FALSE,"처분";#N/A,#N/A,FALSE,"현금";#N/A,#N/A,FALSE,"매출";#N/A,#N/A,FALSE,"원가";#N/A,#N/A,FALSE,"경영"}</definedName>
    <definedName name="수정사항2" hidden="1">{#N/A,#N/A,FALSE,"BS";#N/A,#N/A,FALSE,"PL";#N/A,#N/A,FALSE,"처분";#N/A,#N/A,FALSE,"현금";#N/A,#N/A,FALSE,"매출";#N/A,#N/A,FALSE,"원가";#N/A,#N/A,FALSE,"경영"}</definedName>
    <definedName name="수정사항집계표" localSheetId="4" hidden="1">[58]상품입고집계!#REF!</definedName>
    <definedName name="수정사항집계표" localSheetId="16" hidden="1">[58]상품입고집계!#REF!</definedName>
    <definedName name="수정사항집계표" hidden="1">[58]상품입고집계!#REF!</definedName>
    <definedName name="순공사"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순공사비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스킨" localSheetId="16" hidden="1">{#N/A,#N/A,FALSE,"Sheet5"}</definedName>
    <definedName name="스킨" hidden="1">{#N/A,#N/A,FALSE,"Sheet5"}</definedName>
    <definedName name="승용교" localSheetId="16" hidden="1">{#N/A,#N/A,FALSE,"2~8번"}</definedName>
    <definedName name="승용교" hidden="1">{#N/A,#N/A,FALSE,"2~8번"}</definedName>
    <definedName name="시" localSheetId="6" hidden="1">{#N/A,#N/A,FALSE,"이태원철근"}</definedName>
    <definedName name="시공사" localSheetId="16" hidden="1">{#N/A,#N/A,FALSE,"수지분석";#N/A,#N/A,FALSE,"수지분석"}</definedName>
    <definedName name="시공사" hidden="1">{#N/A,#N/A,FALSE,"수지분석";#N/A,#N/A,FALSE,"수지분석"}</definedName>
    <definedName name="시범" localSheetId="16" hidden="1">{#N/A,#N/A,FALSE,"이태원철근"}</definedName>
    <definedName name="시범" hidden="1">{#N/A,#N/A,FALSE,"이태원철근"}</definedName>
    <definedName name="시트" localSheetId="4" hidden="1">#REF!</definedName>
    <definedName name="시트" localSheetId="16" hidden="1">#REF!</definedName>
    <definedName name="시트" hidden="1">#REF!</definedName>
    <definedName name="시행" localSheetId="16" hidden="1">{#N/A,#N/A,FALSE,"이태원철근"}</definedName>
    <definedName name="시행" hidden="1">{#N/A,#N/A,FALSE,"이태원철근"}</definedName>
    <definedName name="시행1" localSheetId="16" hidden="1">{#N/A,#N/A,FALSE,"이태원철근"}</definedName>
    <definedName name="시행1" hidden="1">{#N/A,#N/A,FALSE,"이태원철근"}</definedName>
    <definedName name="신기교P3본체집계" localSheetId="16" hidden="1">{#N/A,#N/A,FALSE,"배수1"}</definedName>
    <definedName name="신기교P3본체집계" hidden="1">{#N/A,#N/A,FALSE,"배수1"}</definedName>
    <definedName name="신재점" localSheetId="16" hidden="1">{#N/A,#N/A,FALSE,"이태원철근"}</definedName>
    <definedName name="신재점" hidden="1">{#N/A,#N/A,FALSE,"이태원철근"}</definedName>
    <definedName name="실적보고" localSheetId="16" hidden="1">{#N/A,#N/A,FALSE,"PART-1234-8-12-9(41)";#N/A,#N/A,FALSE,"PARTS-2(3)";#N/A,#N/A,FALSE,"VAN SYSTEM";#N/A,#N/A,FALSE,"PARTS-10(26)";#N/A,#N/A,FALSE,"PART-5-6-7-11(14)";#N/A,#N/A,FALSE,"PARTS-4(3)";#N/A,#N/A,FALSE,"PCLASS"}</definedName>
    <definedName name="실적보고" hidden="1">{#N/A,#N/A,FALSE,"PART-1234-8-12-9(41)";#N/A,#N/A,FALSE,"PARTS-2(3)";#N/A,#N/A,FALSE,"VAN SYSTEM";#N/A,#N/A,FALSE,"PARTS-10(26)";#N/A,#N/A,FALSE,"PART-5-6-7-11(14)";#N/A,#N/A,FALSE,"PARTS-4(3)";#N/A,#N/A,FALSE,"PCLASS"}</definedName>
    <definedName name="실제급여" localSheetId="16" hidden="1">{#N/A,#N/A,TRUE,"대 차 대 조 표"}</definedName>
    <definedName name="실제급여" hidden="1">{#N/A,#N/A,TRUE,"대 차 대 조 표"}</definedName>
    <definedName name="씨엔에이치" localSheetId="16" hidden="1">{#N/A,#N/A,TRUE,"대 차 대 조 표"}</definedName>
    <definedName name="씨엔에이치" hidden="1">{#N/A,#N/A,TRUE,"대 차 대 조 표"}</definedName>
    <definedName name="ㅇ" localSheetId="6" hidden="1">#REF!</definedName>
    <definedName name="ㅇㄴ" localSheetId="16" hidden="1">{#N/A,#N/A,FALSE,"PART-1234-8-12-9(41)";#N/A,#N/A,FALSE,"PARTS-2(3)";#N/A,#N/A,FALSE,"VAN SYSTEM";#N/A,#N/A,FALSE,"PARTS-10(26)";#N/A,#N/A,FALSE,"PART-5-6-7-11(14)";#N/A,#N/A,FALSE,"PARTS-4(3)";#N/A,#N/A,FALSE,"PCLASS"}</definedName>
    <definedName name="ㅇㄴ" hidden="1">{#N/A,#N/A,FALSE,"PART-1234-8-12-9(41)";#N/A,#N/A,FALSE,"PARTS-2(3)";#N/A,#N/A,FALSE,"VAN SYSTEM";#N/A,#N/A,FALSE,"PARTS-10(26)";#N/A,#N/A,FALSE,"PART-5-6-7-11(14)";#N/A,#N/A,FALSE,"PARTS-4(3)";#N/A,#N/A,FALSE,"PCLASS"}</definedName>
    <definedName name="ㅇㄴㄹㄴㄹ"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ㄴㄹㄴㄹ" hidden="1">{#N/A,#N/A,FALSE,"손익표지";#N/A,#N/A,FALSE,"손익계산";#N/A,#N/A,FALSE,"일반관리비";#N/A,#N/A,FALSE,"영업외수익";#N/A,#N/A,FALSE,"영업외비용";#N/A,#N/A,FALSE,"매출액";#N/A,#N/A,FALSE,"요약손익";#N/A,#N/A,FALSE,"요약대차";#N/A,#N/A,FALSE,"매출채권현황";#N/A,#N/A,FALSE,"매출채권명세"}</definedName>
    <definedName name="ㅇㄴ런ㅇ라ㅑ" localSheetId="4" hidden="1">#REF!</definedName>
    <definedName name="ㅇㄴ런ㅇ라ㅑ" localSheetId="16" hidden="1">#REF!</definedName>
    <definedName name="ㅇㄴ런ㅇ라ㅑ" hidden="1">#REF!</definedName>
    <definedName name="ㅇㄴ렁ㄴ랴" localSheetId="4" hidden="1">#REF!</definedName>
    <definedName name="ㅇㄴ렁ㄴ랴" localSheetId="16" hidden="1">#REF!</definedName>
    <definedName name="ㅇㄴ렁ㄴ랴" hidden="1">#REF!</definedName>
    <definedName name="ㅇㄴㅁ러ㅏㄴㅁㅇㄹ" localSheetId="4" hidden="1">#REF!</definedName>
    <definedName name="ㅇㄴㅁ러ㅏㄴㅁㅇㄹ" localSheetId="16" hidden="1">#REF!</definedName>
    <definedName name="ㅇㄴㅁ러ㅏㄴㅁㅇㄹ" hidden="1">#REF!</definedName>
    <definedName name="ㅇㄴ마ㅓ란ㅁㅇ랴" localSheetId="4" hidden="1">#REF!</definedName>
    <definedName name="ㅇㄴ마ㅓ란ㅁㅇ랴" localSheetId="16" hidden="1">#REF!</definedName>
    <definedName name="ㅇㄴ마ㅓ란ㅁㅇ랴" hidden="1">#REF!</definedName>
    <definedName name="ㅇㄴ마ㅓㄻ냥럴ㅇ냐" localSheetId="4" hidden="1">#REF!</definedName>
    <definedName name="ㅇㄴ마ㅓㄻ냥럴ㅇ냐" localSheetId="16" hidden="1">#REF!</definedName>
    <definedName name="ㅇㄴ마ㅓㄻ냥럴ㅇ냐" hidden="1">#REF!</definedName>
    <definedName name="ㅇㄴ먀ㅓㄹㄴ먕럴ㅇ냐" localSheetId="4" hidden="1">#REF!</definedName>
    <definedName name="ㅇㄴ먀ㅓㄹㄴ먕럴ㅇ냐" localSheetId="16" hidden="1">#REF!</definedName>
    <definedName name="ㅇㄴ먀ㅓㄹㄴ먕럴ㅇ냐" hidden="1">#REF!</definedName>
    <definedName name="ㅇㄴ멀ㄴㅁㅇ랴" localSheetId="4" hidden="1">#REF!</definedName>
    <definedName name="ㅇㄴ멀ㄴㅁㅇ랴" localSheetId="16" hidden="1">#REF!</definedName>
    <definedName name="ㅇㄴ멀ㄴㅁㅇ랴" hidden="1">#REF!</definedName>
    <definedName name="ㅇㄴㅇ"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ㄴㅇ" hidden="1">{#N/A,#N/A,FALSE,"손익표지";#N/A,#N/A,FALSE,"손익계산";#N/A,#N/A,FALSE,"일반관리비";#N/A,#N/A,FALSE,"영업외수익";#N/A,#N/A,FALSE,"영업외비용";#N/A,#N/A,FALSE,"매출액";#N/A,#N/A,FALSE,"요약손익";#N/A,#N/A,FALSE,"요약대차";#N/A,#N/A,FALSE,"매출채권현황";#N/A,#N/A,FALSE,"매출채권명세"}</definedName>
    <definedName name="ㅇ나ㅓㄹ만얼" localSheetId="4" hidden="1">#REF!</definedName>
    <definedName name="ㅇ나ㅓㄹ만얼" localSheetId="16" hidden="1">#REF!</definedName>
    <definedName name="ㅇ나ㅓㄹ만얼" hidden="1">#REF!</definedName>
    <definedName name="ㅇ낢나얼" localSheetId="4" hidden="1">#REF!</definedName>
    <definedName name="ㅇ낢나얼" localSheetId="16" hidden="1">#REF!</definedName>
    <definedName name="ㅇ낢나얼" hidden="1">#REF!</definedName>
    <definedName name="ㅇ냐럄ㄴㅇ러ㅑㅁㄴㅇㄹ" localSheetId="4" hidden="1">#REF!</definedName>
    <definedName name="ㅇ냐럄ㄴㅇ러ㅑㅁㄴㅇㄹ" localSheetId="16" hidden="1">#REF!</definedName>
    <definedName name="ㅇ냐럄ㄴㅇ러ㅑㅁㄴㅇㄹ" hidden="1">#REF!</definedName>
    <definedName name="ㅇ냐럼냐어량ㄴㅁㄹ" localSheetId="4" hidden="1">#REF!</definedName>
    <definedName name="ㅇ냐럼냐어량ㄴㅁㄹ" localSheetId="16" hidden="1">#REF!</definedName>
    <definedName name="ㅇ냐럼냐어량ㄴㅁㄹ" hidden="1">#REF!</definedName>
    <definedName name="ㅇ냐야야야" localSheetId="4" hidden="1">#REF!</definedName>
    <definedName name="ㅇ냐야야야" localSheetId="16" hidden="1">#REF!</definedName>
    <definedName name="ㅇ냐야야야" hidden="1">#REF!</definedName>
    <definedName name="ㅇ너랻ㄹㄷ" localSheetId="4" hidden="1">#REF!</definedName>
    <definedName name="ㅇ너랻ㄹㄷ" localSheetId="16" hidden="1">#REF!</definedName>
    <definedName name="ㅇ너랻ㄹㄷ" hidden="1">#REF!</definedName>
    <definedName name="ㅇ너ㅏㄻ넝ㄹ" localSheetId="4" hidden="1">#REF!</definedName>
    <definedName name="ㅇ너ㅏㄻ넝ㄹ" localSheetId="16" hidden="1">#REF!</definedName>
    <definedName name="ㅇ너ㅏㄻ넝ㄹ" hidden="1">#REF!</definedName>
    <definedName name="ㅇ널ㄴㅇㄹ" localSheetId="4" hidden="1">#REF!</definedName>
    <definedName name="ㅇ널ㄴㅇㄹ" localSheetId="16" hidden="1">#REF!</definedName>
    <definedName name="ㅇ널ㄴㅇㄹ" hidden="1">#REF!</definedName>
    <definedName name="ㅇ널ㅇㄴㄹ" localSheetId="4" hidden="1">#REF!</definedName>
    <definedName name="ㅇ널ㅇㄴㄹ" localSheetId="16" hidden="1">#REF!</definedName>
    <definedName name="ㅇ널ㅇㄴㄹ" hidden="1">#REF!</definedName>
    <definedName name="ㅇㄹ" localSheetId="4" hidden="1">#REF!</definedName>
    <definedName name="ㅇㄹ" localSheetId="16" hidden="1">#REF!</definedName>
    <definedName name="ㅇㄹ" hidden="1">#REF!</definedName>
    <definedName name="ㅇㄹㄴㄻㄴㅇㄹ" localSheetId="16" hidden="1">{#N/A,#N/A,FALSE,"이태원철근"}</definedName>
    <definedName name="ㅇㄹㄴㄻㄴㅇㄹ" hidden="1">{#N/A,#N/A,FALSE,"이태원철근"}</definedName>
    <definedName name="ㅇㄹㄹ" localSheetId="4" hidden="1">[22]Summary!#REF!</definedName>
    <definedName name="ㅇㄹㄹ" localSheetId="16" hidden="1">[22]Summary!#REF!</definedName>
    <definedName name="ㅇㄹㄹ" hidden="1">[22]Summary!#REF!</definedName>
    <definedName name="ㅇㄹㅇㄹ" localSheetId="16" hidden="1">{#N/A,#N/A,FALSE,"이태원철근"}</definedName>
    <definedName name="ㅇㄹㅇㄹ" hidden="1">{#N/A,#N/A,FALSE,"이태원철근"}</definedName>
    <definedName name="ㅇㄹ홍ㄹ호"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ㄹ홍ㄹ호" hidden="1">{#N/A,#N/A,FALSE,"손익표지";#N/A,#N/A,FALSE,"손익계산";#N/A,#N/A,FALSE,"일반관리비";#N/A,#N/A,FALSE,"영업외수익";#N/A,#N/A,FALSE,"영업외비용";#N/A,#N/A,FALSE,"매출액";#N/A,#N/A,FALSE,"요약손익";#N/A,#N/A,FALSE,"요약대차";#N/A,#N/A,FALSE,"매출채권현황";#N/A,#N/A,FALSE,"매출채권명세"}</definedName>
    <definedName name="ㅇㄹ홍ㅎ"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ㄹ홍ㅎ" hidden="1">{#N/A,#N/A,FALSE,"손익표지";#N/A,#N/A,FALSE,"손익계산";#N/A,#N/A,FALSE,"일반관리비";#N/A,#N/A,FALSE,"영업외수익";#N/A,#N/A,FALSE,"영업외비용";#N/A,#N/A,FALSE,"매출액";#N/A,#N/A,FALSE,"요약손익";#N/A,#N/A,FALSE,"요약대차";#N/A,#N/A,FALSE,"매출채권현황";#N/A,#N/A,FALSE,"매출채권명세"}</definedName>
    <definedName name="ㅇ라ㅓㅏㅗㄹ"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라ㅓㅏ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러낭러ㅑ" localSheetId="4" hidden="1">#REF!</definedName>
    <definedName name="ㅇ러낭러ㅑ" localSheetId="16" hidden="1">#REF!</definedName>
    <definedName name="ㅇ러낭러ㅑ" hidden="1">#REF!</definedName>
    <definedName name="ㅇㅀㄴ"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ㅇㅀㄴ"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ㅇㅀㅇㅀ"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ㅀㅇㅀ" hidden="1">{#N/A,#N/A,FALSE,"손익표지";#N/A,#N/A,FALSE,"손익계산";#N/A,#N/A,FALSE,"일반관리비";#N/A,#N/A,FALSE,"영업외수익";#N/A,#N/A,FALSE,"영업외비용";#N/A,#N/A,FALSE,"매출액";#N/A,#N/A,FALSE,"요약손익";#N/A,#N/A,FALSE,"요약대차";#N/A,#N/A,FALSE,"매출채권현황";#N/A,#N/A,FALSE,"매출채권명세"}</definedName>
    <definedName name="ㅇㅁㄴㄻ" localSheetId="4" hidden="1">#REF!</definedName>
    <definedName name="ㅇㅁㄴㄻ" localSheetId="16" hidden="1">#REF!</definedName>
    <definedName name="ㅇㅁㄴㄻ" hidden="1">#REF!</definedName>
    <definedName name="ㅇㅁㄴㄻㄴㅇ"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ㅁㄴㄻㄴㅇ"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ㅁㄻㄴㄹ" hidden="1">{#N/A,#N/A,FALSE,"손익표지";#N/A,#N/A,FALSE,"손익계산";#N/A,#N/A,FALSE,"일반관리비";#N/A,#N/A,FALSE,"영업외수익";#N/A,#N/A,FALSE,"영업외비용";#N/A,#N/A,FALSE,"매출액";#N/A,#N/A,FALSE,"요약손익";#N/A,#N/A,FALSE,"요약대차";#N/A,#N/A,FALSE,"매출채권현황";#N/A,#N/A,FALSE,"매출채권명세"}</definedName>
    <definedName name="ㅇㅁㅎㅁㅇㄶㄻㅇㄶㄹ" localSheetId="16" hidden="1">{#N/A,#N/A,FALSE,"이태원철근"}</definedName>
    <definedName name="ㅇㅁㅎㅁㅇㄶㄻㅇㄶㄹ" hidden="1">{#N/A,#N/A,FALSE,"이태원철근"}</definedName>
    <definedName name="ㅇ먀냥ㄹㄴ" localSheetId="4" hidden="1">#REF!</definedName>
    <definedName name="ㅇ먀냥ㄹㄴ" localSheetId="16" hidden="1">#REF!</definedName>
    <definedName name="ㅇ먀냥ㄹㄴ" hidden="1">#REF!</definedName>
    <definedName name="ㅇㅂㄴㅇㄴㅁㅇㄷㅂㅈ" localSheetId="16" hidden="1">{#N/A,#N/A,FALSE,"이태원철근"}</definedName>
    <definedName name="ㅇㅂㄴㅇㄴㅁㅇㄷㅂㅈ" hidden="1">{#N/A,#N/A,FALSE,"이태원철근"}</definedName>
    <definedName name="ㅇㅅ굓요" localSheetId="16" hidden="1">{#N/A,#N/A,FALSE,"이태원철근"}</definedName>
    <definedName name="ㅇㅅ굓요" hidden="1">{#N/A,#N/A,FALSE,"이태원철근"}</definedName>
    <definedName name="ㅇㅇ"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ㅇㅇㄴ" localSheetId="16" hidden="1">{#N/A,#N/A,FALSE,"이태원철근"}</definedName>
    <definedName name="ㅇㅇㄴ" hidden="1">{#N/A,#N/A,FALSE,"이태원철근"}</definedName>
    <definedName name="ㅇㅇㄹ"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ㅇㅇㄹ"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ㅇㅇㅇㅇ" localSheetId="16" hidden="1">{#N/A,#N/A,FALSE,"지침";#N/A,#N/A,FALSE,"환경분석";#N/A,#N/A,FALSE,"Sheet16"}</definedName>
    <definedName name="ㅇㅇㅇㅇ" hidden="1">{#N/A,#N/A,FALSE,"지침";#N/A,#N/A,FALSE,"환경분석";#N/A,#N/A,FALSE,"Sheet16"}</definedName>
    <definedName name="ㅇㅇㅇㅇㅇ" localSheetId="16" hidden="1">{#N/A,#N/A,TRUE,"대 차 대 조 표"}</definedName>
    <definedName name="ㅇㅇㅇㅇㅇ" hidden="1">{#N/A,#N/A,TRUE,"대 차 대 조 표"}</definedName>
    <definedName name="ㅇㅇㅇㅇㅇㅇ" localSheetId="16" hidden="1">{#N/A,#N/A,FALSE,"지침";#N/A,#N/A,FALSE,"환경분석";#N/A,#N/A,FALSE,"Sheet16"}</definedName>
    <definedName name="ㅇㅇㅇㅇㅇㅇ" hidden="1">{#N/A,#N/A,FALSE,"지침";#N/A,#N/A,FALSE,"환경분석";#N/A,#N/A,FALSE,"Sheet16"}</definedName>
    <definedName name="ㅇㅈ"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ㅇㅈㄴㄹㄴㅇ"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ㅇㅈㄴㄹㄴㅇ" hidden="1">{#N/A,#N/A,FALSE,"손익표지";#N/A,#N/A,FALSE,"손익계산";#N/A,#N/A,FALSE,"일반관리비";#N/A,#N/A,FALSE,"영업외수익";#N/A,#N/A,FALSE,"영업외비용";#N/A,#N/A,FALSE,"매출액";#N/A,#N/A,FALSE,"요약손익";#N/A,#N/A,FALSE,"요약대차";#N/A,#N/A,FALSE,"매출채권현황";#N/A,#N/A,FALSE,"매출채권명세"}</definedName>
    <definedName name="ㅇㅎ" localSheetId="4" hidden="1">#REF!</definedName>
    <definedName name="ㅇㅎ" localSheetId="16" hidden="1">#REF!</definedName>
    <definedName name="ㅇㅎ" hidden="1">#REF!</definedName>
    <definedName name="ㅇ호ㅓㅗ허" localSheetId="16" hidden="1">{#N/A,#N/A,FALSE,"이태원철근"}</definedName>
    <definedName name="ㅇ호ㅓㅗ허" hidden="1">{#N/A,#N/A,FALSE,"이태원철근"}</definedName>
    <definedName name="아" localSheetId="4" hidden="1">[59]경비!#REF!</definedName>
    <definedName name="아" localSheetId="16" hidden="1">[59]경비!#REF!</definedName>
    <definedName name="아" hidden="1">[59]경비!#REF!</definedName>
    <definedName name="아강" localSheetId="16" hidden="1">{#N/A,#N/A,FALSE,"이태원철근"}</definedName>
    <definedName name="아강" hidden="1">{#N/A,#N/A,FALSE,"이태원철근"}</definedName>
    <definedName name="아그우" localSheetId="16" hidden="1">{#N/A,#N/A,FALSE,"지침";#N/A,#N/A,FALSE,"환경분석";#N/A,#N/A,FALSE,"Sheet16"}</definedName>
    <definedName name="아그우" hidden="1">{#N/A,#N/A,FALSE,"지침";#N/A,#N/A,FALSE,"환경분석";#N/A,#N/A,FALSE,"Sheet16"}</definedName>
    <definedName name="아들"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아들"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아러" localSheetId="16" hidden="1">{#N/A,#N/A,FALSE,"BS";#N/A,#N/A,FALSE,"PL";#N/A,#N/A,FALSE,"처분";#N/A,#N/A,FALSE,"현금";#N/A,#N/A,FALSE,"매출";#N/A,#N/A,FALSE,"원가";#N/A,#N/A,FALSE,"경영"}</definedName>
    <definedName name="아러" hidden="1">{#N/A,#N/A,FALSE,"BS";#N/A,#N/A,FALSE,"PL";#N/A,#N/A,FALSE,"처분";#N/A,#N/A,FALSE,"현금";#N/A,#N/A,FALSE,"매출";#N/A,#N/A,FALSE,"원가";#N/A,#N/A,FALSE,"경영"}</definedName>
    <definedName name="아러ㅏㄴㅁㅇㄹ" localSheetId="4" hidden="1">#REF!</definedName>
    <definedName name="아러ㅏㄴㅁㅇㄹ" localSheetId="16" hidden="1">#REF!</definedName>
    <definedName name="아러ㅏㄴㅁㅇㄹ" hidden="1">#REF!</definedName>
    <definedName name="아름" localSheetId="16" hidden="1">{#N/A,#N/A,FALSE,"이태원철근"}</definedName>
    <definedName name="아름" hidden="1">{#N/A,#N/A,FALSE,"이태원철근"}</definedName>
    <definedName name="아무거나" localSheetId="4" hidden="1">#REF!</definedName>
    <definedName name="아무거나" localSheetId="16" hidden="1">#REF!</definedName>
    <definedName name="아무거나" hidden="1">#REF!</definedName>
    <definedName name="아아아ㅏㅇ"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아아아ㅏㅇ"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아안녕" localSheetId="16" hidden="1">{"'별표'!$N$220"}</definedName>
    <definedName name="아안녕" hidden="1">{"'별표'!$N$220"}</definedName>
    <definedName name="아앙ㅇ"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아앙ㅇ"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아ㅏㅓ랜"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ㅏㅓㅗㄹ"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아ㅓㄻ낭ㄹ" localSheetId="4" hidden="1">#REF!</definedName>
    <definedName name="아ㅓㄻ낭ㄹ" localSheetId="16" hidden="1">#REF!</definedName>
    <definedName name="아ㅓㄻ낭ㄹ" hidden="1">#REF!</definedName>
    <definedName name="아ㅓㄻ낭러" localSheetId="4" hidden="1">#REF!</definedName>
    <definedName name="아ㅓㄻ낭러" localSheetId="16" hidden="1">#REF!</definedName>
    <definedName name="아ㅓㄻ낭러" hidden="1">#REF!</definedName>
    <definedName name="안" hidden="1">[60]공통!$F$45</definedName>
    <definedName name="안건" localSheetId="16" hidden="1">{#N/A,#N/A,FALSE,"BS";#N/A,#N/A,FALSE,"PL";#N/A,#N/A,FALSE,"처분";#N/A,#N/A,FALSE,"현금";#N/A,#N/A,FALSE,"매출";#N/A,#N/A,FALSE,"원가";#N/A,#N/A,FALSE,"경영"}</definedName>
    <definedName name="안건" hidden="1">{#N/A,#N/A,FALSE,"BS";#N/A,#N/A,FALSE,"PL";#N/A,#N/A,FALSE,"처분";#N/A,#N/A,FALSE,"현금";#N/A,#N/A,FALSE,"매출";#N/A,#N/A,FALSE,"원가";#N/A,#N/A,FALSE,"경영"}</definedName>
    <definedName name="안내" localSheetId="16" hidden="1">{#N/A,#N/A,FALSE,"이태원철근"}</definedName>
    <definedName name="안내" hidden="1">{#N/A,#N/A,FALSE,"이태원철근"}</definedName>
    <definedName name="안녕" localSheetId="16" hidden="1">{"'별표'!$N$220"}</definedName>
    <definedName name="안녕" hidden="1">{"'별표'!$N$220"}</definedName>
    <definedName name="안런ㅇㄹ" localSheetId="4" hidden="1">#REF!</definedName>
    <definedName name="안런ㅇㄹ" localSheetId="16" hidden="1">#REF!</definedName>
    <definedName name="안런ㅇㄹ" hidden="1">#REF!</definedName>
    <definedName name="안양현대" localSheetId="16" hidden="1">{#N/A,#N/A,FALSE,"이태원철근"}</definedName>
    <definedName name="안양현대" hidden="1">{#N/A,#N/A,FALSE,"이태원철근"}</definedName>
    <definedName name="안전" localSheetId="6" hidden="1">{#N/A,#N/A,FALSE,"PART-1234-8-12-9(41)";#N/A,#N/A,FALSE,"PARTS-2(3)";#N/A,#N/A,FALSE,"VAN SYSTEM";#N/A,#N/A,FALSE,"PARTS-10(26)";#N/A,#N/A,FALSE,"PART-5-6-7-11(14)";#N/A,#N/A,FALSE,"PARTS-4(3)";#N/A,#N/A,FALSE,"PCLASS"}</definedName>
    <definedName name="암사" localSheetId="16" hidden="1">{#N/A,#N/A,TRUE,"대 차 대 조 표"}</definedName>
    <definedName name="암사" hidden="1">{#N/A,#N/A,TRUE,"대 차 대 조 표"}</definedName>
    <definedName name="앙" localSheetId="16" hidden="1">{#N/A,#N/A,FALSE,"BS";#N/A,#N/A,FALSE,"PL";#N/A,#N/A,FALSE,"처분";#N/A,#N/A,FALSE,"현금";#N/A,#N/A,FALSE,"매출";#N/A,#N/A,FALSE,"원가";#N/A,#N/A,FALSE,"경영"}</definedName>
    <definedName name="앙" hidden="1">{#N/A,#N/A,FALSE,"BS";#N/A,#N/A,FALSE,"PL";#N/A,#N/A,FALSE,"처분";#N/A,#N/A,FALSE,"현금";#N/A,#N/A,FALSE,"매출";#N/A,#N/A,FALSE,"원가";#N/A,#N/A,FALSE,"경영"}</definedName>
    <definedName name="양" localSheetId="16" hidden="1">{#N/A,#N/A,FALSE,"이태원철근"}</definedName>
    <definedName name="양" hidden="1">{#N/A,#N/A,FALSE,"이태원철근"}</definedName>
    <definedName name="양식" localSheetId="6" hidden="1">{#N/A,#N/A,FALSE,"이태원철근"}</definedName>
    <definedName name="양중계획" localSheetId="16" hidden="1">{#N/A,#N/A,FALSE,"이태원철근"}</definedName>
    <definedName name="양중계획" hidden="1">{#N/A,#N/A,FALSE,"이태원철근"}</definedName>
    <definedName name="어니" localSheetId="16" hidden="1">{#N/A,#N/A,FALSE,"이태원철근"}</definedName>
    <definedName name="어니" hidden="1">{#N/A,#N/A,FALSE,"이태원철근"}</definedName>
    <definedName name="어랑" localSheetId="16" hidden="1">{#N/A,#N/A,FALSE,"BS";#N/A,#N/A,FALSE,"PL";#N/A,#N/A,FALSE,"처분";#N/A,#N/A,FALSE,"현금";#N/A,#N/A,FALSE,"매출";#N/A,#N/A,FALSE,"원가";#N/A,#N/A,FALSE,"경영"}</definedName>
    <definedName name="어랑" hidden="1">{#N/A,#N/A,FALSE,"BS";#N/A,#N/A,FALSE,"PL";#N/A,#N/A,FALSE,"처분";#N/A,#N/A,FALSE,"현금";#N/A,#N/A,FALSE,"매출";#N/A,#N/A,FALSE,"원가";#N/A,#N/A,FALSE,"경영"}</definedName>
    <definedName name="어ㅓㅓㅇ"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ㅓㅓ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어ㅘ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억이상" localSheetId="16" hidden="1">{#N/A,#N/A,FALSE,"2~8번"}</definedName>
    <definedName name="억이상" hidden="1">{#N/A,#N/A,FALSE,"2~8번"}</definedName>
    <definedName name="얼낭" localSheetId="4" hidden="1">#REF!</definedName>
    <definedName name="얼낭" localSheetId="16" hidden="1">#REF!</definedName>
    <definedName name="얼낭" hidden="1">#REF!</definedName>
    <definedName name="업무" localSheetId="16" hidden="1">{#N/A,#N/A,TRUE,"대 차 대 조 표"}</definedName>
    <definedName name="업무" hidden="1">{#N/A,#N/A,TRUE,"대 차 대 조 표"}</definedName>
    <definedName name="업무계획표" localSheetId="16" hidden="1">{#N/A,#N/A,TRUE,"대 차 대 조 표"}</definedName>
    <definedName name="업무계획표" hidden="1">{#N/A,#N/A,TRUE,"대 차 대 조 표"}</definedName>
    <definedName name="업무계획표01" localSheetId="16" hidden="1">{#N/A,#N/A,TRUE,"대 차 대 조 표"}</definedName>
    <definedName name="업무계획표01" hidden="1">{#N/A,#N/A,TRUE,"대 차 대 조 표"}</definedName>
    <definedName name="업무추진방향"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업무추진방향"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업체" localSheetId="6" hidden="1">#REF!</definedName>
    <definedName name="업체" localSheetId="3" hidden="1">#REF!</definedName>
    <definedName name="업체" localSheetId="4" hidden="1">#REF!</definedName>
    <definedName name="업체" localSheetId="5" hidden="1">#REF!</definedName>
    <definedName name="업체" localSheetId="16" hidden="1">#REF!</definedName>
    <definedName name="업체" localSheetId="0" hidden="1">#REF!</definedName>
    <definedName name="업체" hidden="1">#REF!</definedName>
    <definedName name="없애버림"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없애버림" hidden="1">{#N/A,#N/A,FALSE,"손익표지";#N/A,#N/A,FALSE,"손익계산";#N/A,#N/A,FALSE,"일반관리비";#N/A,#N/A,FALSE,"영업외수익";#N/A,#N/A,FALSE,"영업외비용";#N/A,#N/A,FALSE,"매출액";#N/A,#N/A,FALSE,"요약손익";#N/A,#N/A,FALSE,"요약대차";#N/A,#N/A,FALSE,"매출채권현황";#N/A,#N/A,FALSE,"매출채권명세"}</definedName>
    <definedName name="여의도"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여의도" hidden="1">{#N/A,#N/A,FALSE,"손익표지";#N/A,#N/A,FALSE,"손익계산";#N/A,#N/A,FALSE,"일반관리비";#N/A,#N/A,FALSE,"영업외수익";#N/A,#N/A,FALSE,"영업외비용";#N/A,#N/A,FALSE,"매출액";#N/A,#N/A,FALSE,"요약손익";#N/A,#N/A,FALSE,"요약대차";#N/A,#N/A,FALSE,"매출채권현황";#N/A,#N/A,FALSE,"매출채권명세"}</definedName>
    <definedName name="연결현금흐름" localSheetId="16" hidden="1">{#N/A,#N/A,FALSE,"BS";#N/A,#N/A,FALSE,"PL";#N/A,#N/A,FALSE,"처분";#N/A,#N/A,FALSE,"현금";#N/A,#N/A,FALSE,"매출";#N/A,#N/A,FALSE,"원가";#N/A,#N/A,FALSE,"경영"}</definedName>
    <definedName name="연결현금흐름" hidden="1">{#N/A,#N/A,FALSE,"BS";#N/A,#N/A,FALSE,"PL";#N/A,#N/A,FALSE,"처분";#N/A,#N/A,FALSE,"현금";#N/A,#N/A,FALSE,"매출";#N/A,#N/A,FALSE,"원가";#N/A,#N/A,FALSE,"경영"}</definedName>
    <definedName name="영구" localSheetId="16" hidden="1">{#N/A,#N/A,FALSE,"지침";#N/A,#N/A,FALSE,"환경분석";#N/A,#N/A,FALSE,"Sheet16"}</definedName>
    <definedName name="영구" hidden="1">{#N/A,#N/A,FALSE,"지침";#N/A,#N/A,FALSE,"환경분석";#N/A,#N/A,FALSE,"Sheet16"}</definedName>
    <definedName name="영업" localSheetId="16" hidden="1">{#N/A,#N/A,FALSE,"지침";#N/A,#N/A,FALSE,"환경분석";#N/A,#N/A,FALSE,"Sheet16"}</definedName>
    <definedName name="영업" hidden="1">{#N/A,#N/A,FALSE,"지침";#N/A,#N/A,FALSE,"환경분석";#N/A,#N/A,FALSE,"Sheet16"}</definedName>
    <definedName name="영업외" localSheetId="6" hidden="1">[61]추가예산!#REF!</definedName>
    <definedName name="영업외" localSheetId="3" hidden="1">[62]추가예산!#REF!</definedName>
    <definedName name="영업외" localSheetId="4" hidden="1">[62]추가예산!#REF!</definedName>
    <definedName name="영업외" localSheetId="5" hidden="1">[62]추가예산!#REF!</definedName>
    <definedName name="영업외" localSheetId="16" hidden="1">[62]추가예산!#REF!</definedName>
    <definedName name="영업외" localSheetId="0" hidden="1">[62]추가예산!#REF!</definedName>
    <definedName name="영업외" hidden="1">[62]추가예산!#REF!</definedName>
    <definedName name="영업외비용" localSheetId="16" hidden="1">{#N/A,#N/A,FALSE,"BS";#N/A,#N/A,FALSE,"PL";#N/A,#N/A,FALSE,"처분";#N/A,#N/A,FALSE,"현금";#N/A,#N/A,FALSE,"매출";#N/A,#N/A,FALSE,"원가";#N/A,#N/A,FALSE,"경영"}</definedName>
    <definedName name="영업외비용" hidden="1">{#N/A,#N/A,FALSE,"BS";#N/A,#N/A,FALSE,"PL";#N/A,#N/A,FALSE,"처분";#N/A,#N/A,FALSE,"현금";#N/A,#N/A,FALSE,"매출";#N/A,#N/A,FALSE,"원가";#N/A,#N/A,FALSE,"경영"}</definedName>
    <definedName name="영업외수" localSheetId="6" hidden="1">[61]추가예산!#REF!</definedName>
    <definedName name="영업외수" localSheetId="3" hidden="1">[62]추가예산!#REF!</definedName>
    <definedName name="영업외수" localSheetId="4" hidden="1">[62]추가예산!#REF!</definedName>
    <definedName name="영업외수" localSheetId="5" hidden="1">[62]추가예산!#REF!</definedName>
    <definedName name="영업외수" localSheetId="16" hidden="1">[62]추가예산!#REF!</definedName>
    <definedName name="영업외수" localSheetId="0" hidden="1">[62]추가예산!#REF!</definedName>
    <definedName name="영업외수" hidden="1">[62]추가예산!#REF!</definedName>
    <definedName name="영업현금" localSheetId="16" hidden="1">{#N/A,#N/A,FALSE,"지침";#N/A,#N/A,FALSE,"환경분석";#N/A,#N/A,FALSE,"Sheet16"}</definedName>
    <definedName name="영업현금" hidden="1">{#N/A,#N/A,FALSE,"지침";#N/A,#N/A,FALSE,"환경분석";#N/A,#N/A,FALSE,"Sheet16"}</definedName>
    <definedName name="예산내역" localSheetId="16" hidden="1">{#N/A,#N/A,FALSE,"이태원철근"}</definedName>
    <definedName name="예산내역" hidden="1">{#N/A,#N/A,FALSE,"이태원철근"}</definedName>
    <definedName name="오수토공" localSheetId="16" hidden="1">{#N/A,#N/A,FALSE,"기안지";#N/A,#N/A,FALSE,"통신지"}</definedName>
    <definedName name="오수토공" hidden="1">{#N/A,#N/A,FALSE,"기안지";#N/A,#N/A,FALSE,"통신지"}</definedName>
    <definedName name="오순선" hidden="1">[63]생산직!$A$5:$U$139</definedName>
    <definedName name="옥" localSheetId="16" hidden="1">{#N/A,#N/A,FALSE,"이태원철근"}</definedName>
    <definedName name="옥" hidden="1">{#N/A,#N/A,FALSE,"이태원철근"}</definedName>
    <definedName name="옥외공사" localSheetId="16" hidden="1">{#N/A,#N/A,FALSE,"이태원철근"}</definedName>
    <definedName name="옥외공사" hidden="1">{#N/A,#N/A,FALSE,"이태원철근"}</definedName>
    <definedName name="옥외대비" localSheetId="16" hidden="1">{#N/A,#N/A,FALSE,"이태원철근"}</definedName>
    <definedName name="옥외대비" hidden="1">{#N/A,#N/A,FALSE,"이태원철근"}</definedName>
    <definedName name="옳ㅇ로"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옳ㅇ로" hidden="1">{#N/A,#N/A,FALSE,"손익표지";#N/A,#N/A,FALSE,"손익계산";#N/A,#N/A,FALSE,"일반관리비";#N/A,#N/A,FALSE,"영업외수익";#N/A,#N/A,FALSE,"영업외비용";#N/A,#N/A,FALSE,"매출액";#N/A,#N/A,FALSE,"요약손익";#N/A,#N/A,FALSE,"요약대차";#N/A,#N/A,FALSE,"매출채권현황";#N/A,#N/A,FALSE,"매출채권명세"}</definedName>
    <definedName name="옹" localSheetId="16" hidden="1">{#N/A,#N/A,FALSE,"골재소요량";#N/A,#N/A,FALSE,"골재소요량"}</definedName>
    <definedName name="옹" hidden="1">{#N/A,#N/A,FALSE,"골재소요량";#N/A,#N/A,FALSE,"골재소요량"}</definedName>
    <definedName name="옹벽" localSheetId="16" hidden="1">{#N/A,#N/A,FALSE,"혼합골재"}</definedName>
    <definedName name="옹벽" hidden="1">{#N/A,#N/A,FALSE,"혼합골재"}</definedName>
    <definedName name="옹벽수량집계표" localSheetId="16" hidden="1">{#N/A,#N/A,FALSE,"2~8번"}</definedName>
    <definedName name="옹벽수량집계표" hidden="1">{#N/A,#N/A,FALSE,"2~8번"}</definedName>
    <definedName name="옹벽수량집계표총괄" localSheetId="16" hidden="1">{#N/A,#N/A,FALSE,"혼합골재"}</definedName>
    <definedName name="옹벽수량집계표총괄" hidden="1">{#N/A,#N/A,FALSE,"혼합골재"}</definedName>
    <definedName name="외주비2"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외주비2"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용연2차" localSheetId="16" hidden="1">{#N/A,#N/A,FALSE,"이태원철근"}</definedName>
    <definedName name="용연2차" hidden="1">{#N/A,#N/A,FALSE,"이태원철근"}</definedName>
    <definedName name="우가" localSheetId="16" hidden="1">{#N/A,#N/A,FALSE,"이태원철근"}</definedName>
    <definedName name="우가" hidden="1">{#N/A,#N/A,FALSE,"이태원철근"}</definedName>
    <definedName name="우동신문" localSheetId="16" hidden="1">{#N/A,#N/A,FALSE,"이태원철근"}</definedName>
    <definedName name="우동신문" hidden="1">{#N/A,#N/A,FALSE,"이태원철근"}</definedName>
    <definedName name="우리" localSheetId="16" hidden="1">{#N/A,#N/A,FALSE,"이태원철근"}</definedName>
    <definedName name="우리" hidden="1">{#N/A,#N/A,FALSE,"이태원철근"}</definedName>
    <definedName name="우리은ㅏㅓㅣㅏㅣㅓㅏㅣㅏㅗㅓㅗㅕ" localSheetId="16" hidden="1">{#N/A,#N/A,FALSE,"이태원철근"}</definedName>
    <definedName name="우리은ㅏㅓㅣㅏㅣㅓㅏㅣㅏㅗㅓㅗㅕ" hidden="1">{#N/A,#N/A,FALSE,"이태원철근"}</definedName>
    <definedName name="원가"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2" localSheetId="16" hidden="1">{#N/A,#N/A,FALSE,"PART-1234-8-12-9(41)";#N/A,#N/A,FALSE,"PARTS-2(3)";#N/A,#N/A,FALSE,"VAN SYSTEM";#N/A,#N/A,FALSE,"PARTS-10(26)";#N/A,#N/A,FALSE,"PART-5-6-7-11(14)";#N/A,#N/A,FALSE,"PARTS-4(3)";#N/A,#N/A,FALSE,"PCLASS"}</definedName>
    <definedName name="원가2" hidden="1">{#N/A,#N/A,FALSE,"PART-1234-8-12-9(41)";#N/A,#N/A,FALSE,"PARTS-2(3)";#N/A,#N/A,FALSE,"VAN SYSTEM";#N/A,#N/A,FALSE,"PARTS-10(26)";#N/A,#N/A,FALSE,"PART-5-6-7-11(14)";#N/A,#N/A,FALSE,"PARTS-4(3)";#N/A,#N/A,FALSE,"PCLASS"}</definedName>
    <definedName name="원가계간"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간"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계산19"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가절감"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원가절감"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원가절감1" localSheetId="16" hidden="1">{#N/A,#N/A,FALSE,"PART-1234-8-12-9(41)";#N/A,#N/A,FALSE,"PARTS-2(3)";#N/A,#N/A,FALSE,"VAN SYSTEM";#N/A,#N/A,FALSE,"PARTS-10(26)";#N/A,#N/A,FALSE,"PART-5-6-7-11(14)";#N/A,#N/A,FALSE,"PARTS-4(3)";#N/A,#N/A,FALSE,"PCLASS"}</definedName>
    <definedName name="원가절감1" hidden="1">{#N/A,#N/A,FALSE,"PART-1234-8-12-9(41)";#N/A,#N/A,FALSE,"PARTS-2(3)";#N/A,#N/A,FALSE,"VAN SYSTEM";#N/A,#N/A,FALSE,"PARTS-10(26)";#N/A,#N/A,FALSE,"PART-5-6-7-11(14)";#N/A,#N/A,FALSE,"PARTS-4(3)";#N/A,#N/A,FALSE,"PCLASS"}</definedName>
    <definedName name="원가절감종합2" localSheetId="16" hidden="1">{#N/A,#N/A,FALSE,"PART-1234-8-12-9(41)";#N/A,#N/A,FALSE,"PARTS-2(3)";#N/A,#N/A,FALSE,"VAN SYSTEM";#N/A,#N/A,FALSE,"PARTS-10(26)";#N/A,#N/A,FALSE,"PART-5-6-7-11(14)";#N/A,#N/A,FALSE,"PARTS-4(3)";#N/A,#N/A,FALSE,"PCLASS"}</definedName>
    <definedName name="원가절감종합2" hidden="1">{#N/A,#N/A,FALSE,"PART-1234-8-12-9(41)";#N/A,#N/A,FALSE,"PARTS-2(3)";#N/A,#N/A,FALSE,"VAN SYSTEM";#N/A,#N/A,FALSE,"PARTS-10(26)";#N/A,#N/A,FALSE,"PART-5-6-7-11(14)";#N/A,#N/A,FALSE,"PARTS-4(3)";#N/A,#N/A,FALSE,"PCLASS"}</definedName>
    <definedName name="원가절갘" localSheetId="16" hidden="1">{#N/A,#N/A,FALSE,"PART-1234-8-12-9(41)";#N/A,#N/A,FALSE,"PARTS-2(3)";#N/A,#N/A,FALSE,"VAN SYSTEM";#N/A,#N/A,FALSE,"PARTS-10(26)";#N/A,#N/A,FALSE,"PART-5-6-7-11(14)";#N/A,#N/A,FALSE,"PARTS-4(3)";#N/A,#N/A,FALSE,"PCLASS"}</definedName>
    <definedName name="원가절갘" hidden="1">{#N/A,#N/A,FALSE,"PART-1234-8-12-9(41)";#N/A,#N/A,FALSE,"PARTS-2(3)";#N/A,#N/A,FALSE,"VAN SYSTEM";#N/A,#N/A,FALSE,"PARTS-10(26)";#N/A,#N/A,FALSE,"PART-5-6-7-11(14)";#N/A,#N/A,FALSE,"PARTS-4(3)";#N/A,#N/A,FALSE,"PCLASS"}</definedName>
    <definedName name="원각"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각"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기기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원남내역" hidden="1">[64]실행철강하도!$A$1:$A$4</definedName>
    <definedName name="원본2" localSheetId="4" hidden="1">#REF!</definedName>
    <definedName name="원본2" localSheetId="16" hidden="1">#REF!</definedName>
    <definedName name="원본2" hidden="1">#REF!</definedName>
    <definedName name="원천납부8" localSheetId="16"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원천납부8"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월드건설" localSheetId="16" hidden="1">{#N/A,#N/A,FALSE,"이태원철근"}</definedName>
    <definedName name="월드건설" hidden="1">{#N/A,#N/A,FALSE,"이태원철근"}</definedName>
    <definedName name="유" localSheetId="16" hidden="1">{#N/A,#N/A,FALSE,"이태원철근"}</definedName>
    <definedName name="유" hidden="1">{#N/A,#N/A,FALSE,"이태원철근"}</definedName>
    <definedName name="유가" localSheetId="16" hidden="1">{#N/A,#N/A,FALSE,"BS";#N/A,#N/A,FALSE,"PL";#N/A,#N/A,FALSE,"처분";#N/A,#N/A,FALSE,"현금";#N/A,#N/A,FALSE,"매출";#N/A,#N/A,FALSE,"원가";#N/A,#N/A,FALSE,"경영"}</definedName>
    <definedName name="유가" hidden="1">{#N/A,#N/A,FALSE,"BS";#N/A,#N/A,FALSE,"PL";#N/A,#N/A,FALSE,"처분";#N/A,#N/A,FALSE,"현금";#N/A,#N/A,FALSE,"매출";#N/A,#N/A,FALSE,"원가";#N/A,#N/A,FALSE,"경영"}</definedName>
    <definedName name="유가증권" localSheetId="16" hidden="1">{#N/A,#N/A,FALSE,"BS";#N/A,#N/A,FALSE,"PL";#N/A,#N/A,FALSE,"처분";#N/A,#N/A,FALSE,"현금";#N/A,#N/A,FALSE,"매출";#N/A,#N/A,FALSE,"원가";#N/A,#N/A,FALSE,"경영"}</definedName>
    <definedName name="유가증권" hidden="1">{#N/A,#N/A,FALSE,"BS";#N/A,#N/A,FALSE,"PL";#N/A,#N/A,FALSE,"처분";#N/A,#N/A,FALSE,"현금";#N/A,#N/A,FALSE,"매출";#N/A,#N/A,FALSE,"원가";#N/A,#N/A,FALSE,"경영"}</definedName>
    <definedName name="유상"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유상"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유상사내" localSheetId="16" hidden="1">{#N/A,#N/A,FALSE,"PART-1234-8-12-9(41)";#N/A,#N/A,FALSE,"PARTS-2(3)";#N/A,#N/A,FALSE,"VAN SYSTEM";#N/A,#N/A,FALSE,"PARTS-10(26)";#N/A,#N/A,FALSE,"PART-5-6-7-11(14)";#N/A,#N/A,FALSE,"PARTS-4(3)";#N/A,#N/A,FALSE,"PCLASS"}</definedName>
    <definedName name="유상사내" hidden="1">{#N/A,#N/A,FALSE,"PART-1234-8-12-9(41)";#N/A,#N/A,FALSE,"PARTS-2(3)";#N/A,#N/A,FALSE,"VAN SYSTEM";#N/A,#N/A,FALSE,"PARTS-10(26)";#N/A,#N/A,FALSE,"PART-5-6-7-11(14)";#N/A,#N/A,FALSE,"PARTS-4(3)";#N/A,#N/A,FALSE,"PCLASS"}</definedName>
    <definedName name="유승"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유승" hidden="1">{#N/A,#N/A,FALSE,"손익표지";#N/A,#N/A,FALSE,"손익계산";#N/A,#N/A,FALSE,"일반관리비";#N/A,#N/A,FALSE,"영업외수익";#N/A,#N/A,FALSE,"영업외비용";#N/A,#N/A,FALSE,"매출액";#N/A,#N/A,FALSE,"요약손익";#N/A,#N/A,FALSE,"요약대차";#N/A,#N/A,FALSE,"매출채권현황";#N/A,#N/A,FALSE,"매출채권명세"}</definedName>
    <definedName name="유승주"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유승주" hidden="1">{#N/A,#N/A,FALSE,"손익표지";#N/A,#N/A,FALSE,"손익계산";#N/A,#N/A,FALSE,"일반관리비";#N/A,#N/A,FALSE,"영업외수익";#N/A,#N/A,FALSE,"영업외비용";#N/A,#N/A,FALSE,"매출액";#N/A,#N/A,FALSE,"요약손익";#N/A,#N/A,FALSE,"요약대차";#N/A,#N/A,FALSE,"매출채권현황";#N/A,#N/A,FALSE,"매출채권명세"}</definedName>
    <definedName name="은정" localSheetId="16" hidden="1">{#N/A,#N/A,FALSE,"PART-1234-8-12-9(41)";#N/A,#N/A,FALSE,"PARTS-2(3)";#N/A,#N/A,FALSE,"VAN SYSTEM";#N/A,#N/A,FALSE,"PARTS-10(26)";#N/A,#N/A,FALSE,"PART-5-6-7-11(14)";#N/A,#N/A,FALSE,"PARTS-4(3)";#N/A,#N/A,FALSE,"PCLASS"}</definedName>
    <definedName name="은정" hidden="1">{#N/A,#N/A,FALSE,"PART-1234-8-12-9(41)";#N/A,#N/A,FALSE,"PARTS-2(3)";#N/A,#N/A,FALSE,"VAN SYSTEM";#N/A,#N/A,FALSE,"PARTS-10(26)";#N/A,#N/A,FALSE,"PART-5-6-7-11(14)";#N/A,#N/A,FALSE,"PARTS-4(3)";#N/A,#N/A,FALSE,"PCLASS"}</definedName>
    <definedName name="의" localSheetId="16" hidden="1">{#N/A,#N/A,FALSE,"운반시간"}</definedName>
    <definedName name="의" hidden="1">{#N/A,#N/A,FALSE,"운반시간"}</definedName>
    <definedName name="의뢰서" localSheetId="16" hidden="1">{#N/A,#N/A,FALSE,"이태원철근"}</definedName>
    <definedName name="의뢰서" hidden="1">{#N/A,#N/A,FALSE,"이태원철근"}</definedName>
    <definedName name="이가" localSheetId="16" hidden="1">{"'Firr(선)'!$AS$1:$AY$62","'Firr(사)'!$AS$1:$AY$62","'Firr(회)'!$AS$1:$AY$62","'Firr(선)'!$L$1:$V$62","'Firr(사)'!$L$1:$V$62","'Firr(회)'!$L$1:$V$62"}</definedName>
    <definedName name="이가" hidden="1">{"'Firr(선)'!$AS$1:$AY$62","'Firr(사)'!$AS$1:$AY$62","'Firr(회)'!$AS$1:$AY$62","'Firr(선)'!$L$1:$V$62","'Firr(사)'!$L$1:$V$62","'Firr(회)'!$L$1:$V$62"}</definedName>
    <definedName name="이근우" localSheetId="16" hidden="1">{#N/A,#N/A,FALSE,"BS";#N/A,#N/A,FALSE,"PL";#N/A,#N/A,FALSE,"처분";#N/A,#N/A,FALSE,"현금";#N/A,#N/A,FALSE,"매출";#N/A,#N/A,FALSE,"원가";#N/A,#N/A,FALSE,"경영"}</definedName>
    <definedName name="이근우" hidden="1">{#N/A,#N/A,FALSE,"BS";#N/A,#N/A,FALSE,"PL";#N/A,#N/A,FALSE,"처분";#N/A,#N/A,FALSE,"현금";#N/A,#N/A,FALSE,"매출";#N/A,#N/A,FALSE,"원가";#N/A,#N/A,FALSE,"경영"}</definedName>
    <definedName name="이대호" localSheetId="16" hidden="1">{#N/A,#N/A,FALSE,"Sheet5"}</definedName>
    <definedName name="이대호" hidden="1">{#N/A,#N/A,FALSE,"Sheet5"}</definedName>
    <definedName name="이동" localSheetId="16" hidden="1">{#N/A,#N/A,FALSE,"조골재"}</definedName>
    <definedName name="이동" hidden="1">{#N/A,#N/A,FALSE,"조골재"}</definedName>
    <definedName name="이동이" localSheetId="16" hidden="1">{#N/A,#N/A,FALSE,"이태원철근"}</definedName>
    <definedName name="이동이" hidden="1">{#N/A,#N/A,FALSE,"이태원철근"}</definedName>
    <definedName name="이론" localSheetId="4" hidden="1">#REF!</definedName>
    <definedName name="이론" localSheetId="16" hidden="1">#REF!</definedName>
    <definedName name="이론" hidden="1">#REF!</definedName>
    <definedName name="이름모름" localSheetId="16" hidden="1">{"'별표'!$N$220"}</definedName>
    <definedName name="이름모름" hidden="1">{"'별표'!$N$220"}</definedName>
    <definedName name="이미" localSheetId="16" hidden="1">{#N/A,#N/A,FALSE,"이태원철근"}</definedName>
    <definedName name="이미" hidden="1">{#N/A,#N/A,FALSE,"이태원철근"}</definedName>
    <definedName name="이상목" localSheetId="16" hidden="1">{#N/A,#N/A,FALSE,"이태원철근"}</definedName>
    <definedName name="이상목" hidden="1">{#N/A,#N/A,FALSE,"이태원철근"}</definedName>
    <definedName name="이슈" localSheetId="16" hidden="1">{#N/A,#N/A,FALSE,"지침";#N/A,#N/A,FALSE,"환경분석";#N/A,#N/A,FALSE,"Sheet16"}</definedName>
    <definedName name="이슈" hidden="1">{#N/A,#N/A,FALSE,"지침";#N/A,#N/A,FALSE,"환경분석";#N/A,#N/A,FALSE,"Sheet16"}</definedName>
    <definedName name="이승연" localSheetId="16" hidden="1">{#N/A,#N/A,FALSE,"부대1"}</definedName>
    <definedName name="이승연" hidden="1">{#N/A,#N/A,FALSE,"부대1"}</definedName>
    <definedName name="이이" localSheetId="16" hidden="1">{#N/A,#N/A,FALSE,"이태원철근"}</definedName>
    <definedName name="이이" hidden="1">{#N/A,#N/A,FALSE,"이태원철근"}</definedName>
    <definedName name="이잉ㅇㅇ" localSheetId="16" hidden="1">{#N/A,#N/A,FALSE,"이태원철근"}</definedName>
    <definedName name="이잉ㅇㅇ" hidden="1">{#N/A,#N/A,FALSE,"이태원철근"}</definedName>
    <definedName name="이자비용" localSheetId="4" hidden="1">#REF!</definedName>
    <definedName name="이자비용" localSheetId="16" hidden="1">#REF!</definedName>
    <definedName name="이자비용" hidden="1">#REF!</definedName>
    <definedName name="이정" localSheetId="16" hidden="1">{#N/A,#N/A,FALSE,"2~8번"}</definedName>
    <definedName name="이정" hidden="1">{#N/A,#N/A,FALSE,"2~8번"}</definedName>
    <definedName name="이종환" localSheetId="16" hidden="1">{#N/A,#N/A,FALSE,"Sheet5"}</definedName>
    <definedName name="이종환" hidden="1">{#N/A,#N/A,FALSE,"Sheet5"}</definedName>
    <definedName name="인원현황2"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인원현황2" hidden="1">{#N/A,#N/A,FALSE,"손익표지";#N/A,#N/A,FALSE,"손익계산";#N/A,#N/A,FALSE,"일반관리비";#N/A,#N/A,FALSE,"영업외수익";#N/A,#N/A,FALSE,"영업외비용";#N/A,#N/A,FALSE,"매출액";#N/A,#N/A,FALSE,"요약손익";#N/A,#N/A,FALSE,"요약대차";#N/A,#N/A,FALSE,"매출채권현황";#N/A,#N/A,FALSE,"매출채권명세"}</definedName>
    <definedName name="인천"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인천"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일반도급" localSheetId="16" hidden="1">{#N/A,#N/A,FALSE,"이태원철근"}</definedName>
    <definedName name="일반도급" hidden="1">{#N/A,#N/A,FALSE,"이태원철근"}</definedName>
    <definedName name="일반부" localSheetId="16" hidden="1">{#N/A,#N/A,FALSE,"조골재"}</definedName>
    <definedName name="일반부" hidden="1">{#N/A,#N/A,FALSE,"조골재"}</definedName>
    <definedName name="일산"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일산" hidden="1">{#N/A,#N/A,FALSE,"손익표지";#N/A,#N/A,FALSE,"손익계산";#N/A,#N/A,FALSE,"일반관리비";#N/A,#N/A,FALSE,"영업외수익";#N/A,#N/A,FALSE,"영업외비용";#N/A,#N/A,FALSE,"매출액";#N/A,#N/A,FALSE,"요약손익";#N/A,#N/A,FALSE,"요약대차";#N/A,#N/A,FALSE,"매출채권현황";#N/A,#N/A,FALSE,"매출채권명세"}</definedName>
    <definedName name="일자별"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일자별" hidden="1">{#N/A,#N/A,FALSE,"손익표지";#N/A,#N/A,FALSE,"손익계산";#N/A,#N/A,FALSE,"일반관리비";#N/A,#N/A,FALSE,"영업외수익";#N/A,#N/A,FALSE,"영업외비용";#N/A,#N/A,FALSE,"매출액";#N/A,#N/A,FALSE,"요약손익";#N/A,#N/A,FALSE,"요약대차";#N/A,#N/A,FALSE,"매출채권현황";#N/A,#N/A,FALSE,"매출채권명세"}</definedName>
    <definedName name="일정" localSheetId="16" hidden="1">{#N/A,#N/A,FALSE,"이태원철근"}</definedName>
    <definedName name="일정" hidden="1">{#N/A,#N/A,FALSE,"이태원철근"}</definedName>
    <definedName name="일정2" localSheetId="16" hidden="1">{#N/A,#N/A,FALSE,"이태원철근"}</definedName>
    <definedName name="일정2" hidden="1">{#N/A,#N/A,FALSE,"이태원철근"}</definedName>
    <definedName name="일정4" localSheetId="16" hidden="1">{#N/A,#N/A,FALSE,"이태원철근"}</definedName>
    <definedName name="일정4" hidden="1">{#N/A,#N/A,FALSE,"이태원철근"}</definedName>
    <definedName name="일정표" localSheetId="16" hidden="1">{#N/A,#N/A,FALSE,"이태원철근"}</definedName>
    <definedName name="일정표" hidden="1">{#N/A,#N/A,FALSE,"이태원철근"}</definedName>
    <definedName name="일정표0124" localSheetId="16" hidden="1">{#N/A,#N/A,FALSE,"이태원철근"}</definedName>
    <definedName name="일정표0124" hidden="1">{#N/A,#N/A,FALSE,"이태원철근"}</definedName>
    <definedName name="임대보증금" localSheetId="16" hidden="1">{#N/A,#N/A,FALSE,"BS";#N/A,#N/A,FALSE,"PL";#N/A,#N/A,FALSE,"처분";#N/A,#N/A,FALSE,"현금";#N/A,#N/A,FALSE,"매출";#N/A,#N/A,FALSE,"원가";#N/A,#N/A,FALSE,"경영"}</definedName>
    <definedName name="임대보증금" hidden="1">{#N/A,#N/A,FALSE,"BS";#N/A,#N/A,FALSE,"PL";#N/A,#N/A,FALSE,"처분";#N/A,#N/A,FALSE,"현금";#N/A,#N/A,FALSE,"매출";#N/A,#N/A,FALSE,"원가";#N/A,#N/A,FALSE,"경영"}</definedName>
    <definedName name="임시저장" localSheetId="16" hidden="1">{#N/A,#N/A,FALSE,"BS";#N/A,#N/A,FALSE,"PL";#N/A,#N/A,FALSE,"처분";#N/A,#N/A,FALSE,"현금";#N/A,#N/A,FALSE,"매출";#N/A,#N/A,FALSE,"원가";#N/A,#N/A,FALSE,"경영"}</definedName>
    <definedName name="임시저장" hidden="1">{#N/A,#N/A,FALSE,"BS";#N/A,#N/A,FALSE,"PL";#N/A,#N/A,FALSE,"처분";#N/A,#N/A,FALSE,"현금";#N/A,#N/A,FALSE,"매출";#N/A,#N/A,FALSE,"원가";#N/A,#N/A,FALSE,"경영"}</definedName>
    <definedName name="임정은" localSheetId="16" hidden="1">{#N/A,#N/A,FALSE,"Sheet5"}</definedName>
    <definedName name="임정은" hidden="1">{#N/A,#N/A,FALSE,"Sheet5"}</definedName>
    <definedName name="임차풀" localSheetId="16" hidden="1">{#N/A,#N/A,FALSE,"동부"}</definedName>
    <definedName name="임차풀" hidden="1">{#N/A,#N/A,FALSE,"동부"}</definedName>
    <definedName name="ㅈ" localSheetId="16" hidden="1">{#N/A,#N/A,FALSE,"이태원철근"}</definedName>
    <definedName name="ㅈ" hidden="1">{#N/A,#N/A,FALSE,"이태원철근"}</definedName>
    <definedName name="ㅈㄱ" localSheetId="16" hidden="1">{#N/A,#N/A,FALSE,"조골재"}</definedName>
    <definedName name="ㅈㄱ" hidden="1">{#N/A,#N/A,FALSE,"조골재"}</definedName>
    <definedName name="ㅈㄷㄱㅈㄷㄱ"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 hidden="1">{#N/A,#N/A,FALSE,"손익표지";#N/A,#N/A,FALSE,"손익계산";#N/A,#N/A,FALSE,"일반관리비";#N/A,#N/A,FALSE,"영업외수익";#N/A,#N/A,FALSE,"영업외비용";#N/A,#N/A,FALSE,"매출액";#N/A,#N/A,FALSE,"요약손익";#N/A,#N/A,FALSE,"요약대차";#N/A,#N/A,FALSE,"매출채권현황";#N/A,#N/A,FALSE,"매출채권명세"}</definedName>
    <definedName name="ㅈㄷㄱㅈㄷㄱㄷ주" localSheetId="16" hidden="1">{#N/A,#N/A,FALSE,"이태원철근"}</definedName>
    <definedName name="ㅈㄷㄱㅈㄷㄱㄷ주" hidden="1">{#N/A,#N/A,FALSE,"이태원철근"}</definedName>
    <definedName name="ㅈㄷㄱㅈㄷㄱㅈ" localSheetId="16" hidden="1">{#N/A,#N/A,FALSE,"이태원철근"}</definedName>
    <definedName name="ㅈㄷㄱㅈㄷㄱㅈ" hidden="1">{#N/A,#N/A,FALSE,"이태원철근"}</definedName>
    <definedName name="ㅈㄷㄱㅈㄷㄱㅈㄷ" localSheetId="16" hidden="1">{#N/A,#N/A,FALSE,"이태원철근"}</definedName>
    <definedName name="ㅈㄷㄱㅈㄷㄱㅈㄷ" hidden="1">{#N/A,#N/A,FALSE,"이태원철근"}</definedName>
    <definedName name="ㅈㄷㄱㅈㄷㄱㅈㄷㄱ" localSheetId="16" hidden="1">{#N/A,#N/A,FALSE,"이태원철근"}</definedName>
    <definedName name="ㅈㄷㄱㅈㄷㄱㅈㄷㄱ" hidden="1">{#N/A,#N/A,FALSE,"이태원철근"}</definedName>
    <definedName name="ㅈㄷㄱㅈㄷㄱㅈㄷㄱㅈㄷ" localSheetId="16" hidden="1">{#N/A,#N/A,FALSE,"이태원철근"}</definedName>
    <definedName name="ㅈㄷㄱㅈㄷㄱㅈㄷㄱㅈㄷ" hidden="1">{#N/A,#N/A,FALSE,"이태원철근"}</definedName>
    <definedName name="ㅈㄷㄱㅈㄷㄱㅈㅈ" localSheetId="16" hidden="1">{#N/A,#N/A,FALSE,"이태원철근"}</definedName>
    <definedName name="ㅈㄷㄱㅈㄷㄱㅈㅈ" hidden="1">{#N/A,#N/A,FALSE,"이태원철근"}</definedName>
    <definedName name="ㅈㄷ교죠ㅜ" localSheetId="16" hidden="1">{#N/A,#N/A,FALSE,"이태원철근"}</definedName>
    <definedName name="ㅈㄷ교죠ㅜ" hidden="1">{#N/A,#N/A,FALSE,"이태원철근"}</definedName>
    <definedName name="ㅈㄷ굗ㄱ죠죠" localSheetId="16" hidden="1">{#N/A,#N/A,FALSE,"이태원철근"}</definedName>
    <definedName name="ㅈㄷ굗ㄱ죠죠" hidden="1">{#N/A,#N/A,FALSE,"이태원철근"}</definedName>
    <definedName name="ㅈㄷ굦ㄷ굑ㅈ됴죧ㄱ" localSheetId="16" hidden="1">{#N/A,#N/A,FALSE,"이태원철근"}</definedName>
    <definedName name="ㅈㄷ굦ㄷ굑ㅈ됴죧ㄱ" hidden="1">{#N/A,#N/A,FALSE,"이태원철근"}</definedName>
    <definedName name="ㅈㄷ랼" localSheetId="4" hidden="1">#REF!</definedName>
    <definedName name="ㅈㄷ랼" localSheetId="16" hidden="1">#REF!</definedName>
    <definedName name="ㅈㄷ랼" hidden="1">#REF!</definedName>
    <definedName name="ㅈㄷㅅㅅㅈㅅㅈㄷ" localSheetId="16" hidden="1">{#N/A,#N/A,FALSE,"이태원철근"}</definedName>
    <definedName name="ㅈㄷㅅㅅㅈㅅㅈㄷ" hidden="1">{#N/A,#N/A,FALSE,"이태원철근"}</definedName>
    <definedName name="ㅈㄷㅅㅈㅅ" localSheetId="16" hidden="1">{#N/A,#N/A,FALSE,"이태원철근"}</definedName>
    <definedName name="ㅈㄷㅅㅈㅅ" hidden="1">{#N/A,#N/A,FALSE,"이태원철근"}</definedName>
    <definedName name="ㅈㄷ섲ㄷㄳㅈ"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ㅈㄷ섲ㄷㄳㅈ"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ㅈㄷ쇼ㅛㅈㄱ" localSheetId="16" hidden="1">{#N/A,#N/A,FALSE,"이태원철근"}</definedName>
    <definedName name="ㅈㄷ쇼ㅛㅈㄱ" hidden="1">{#N/A,#N/A,FALSE,"이태원철근"}</definedName>
    <definedName name="ㅈㅁㅈㅂㅂ" localSheetId="16" hidden="1">{#N/A,#N/A,FALSE,"단가표지"}</definedName>
    <definedName name="ㅈㅁㅈㅂㅂ" hidden="1">{#N/A,#N/A,FALSE,"단가표지"}</definedName>
    <definedName name="ㅈㅂ댜럽ㄹㅈ" localSheetId="4" hidden="1">#REF!</definedName>
    <definedName name="ㅈㅂ댜럽ㄹㅈ" localSheetId="16" hidden="1">#REF!</definedName>
    <definedName name="ㅈㅂ댜럽ㄹㅈ" hidden="1">#REF!</definedName>
    <definedName name="ㅈㅂㅇㄴㅁㅇㅈㅇㅂ" localSheetId="16" hidden="1">{#N/A,#N/A,FALSE,"이태원철근"}</definedName>
    <definedName name="ㅈㅂㅇㄴㅁㅇㅈㅇㅂ" hidden="1">{#N/A,#N/A,FALSE,"이태원철근"}</definedName>
    <definedName name="ㅈㅇㅁㄴㅇㅂㄴㄷㅇㅁ" localSheetId="16" hidden="1">{#N/A,#N/A,FALSE,"이태원철근"}</definedName>
    <definedName name="ㅈㅇㅁㄴㅇㅂㄴㄷㅇㅁ" hidden="1">{#N/A,#N/A,FALSE,"이태원철근"}</definedName>
    <definedName name="ㅈㅈ" localSheetId="16" hidden="1">{#N/A,#N/A,FALSE,"표지목차"}</definedName>
    <definedName name="ㅈㅈ" hidden="1">{#N/A,#N/A,FALSE,"표지목차"}</definedName>
    <definedName name="ㅈㅈㅈ" localSheetId="16" hidden="1">{#N/A,#N/A,FALSE,"BS";#N/A,#N/A,FALSE,"PL";#N/A,#N/A,FALSE,"처분";#N/A,#N/A,FALSE,"현금";#N/A,#N/A,FALSE,"매출";#N/A,#N/A,FALSE,"원가";#N/A,#N/A,FALSE,"경영"}</definedName>
    <definedName name="ㅈㅈㅈ" hidden="1">{#N/A,#N/A,FALSE,"BS";#N/A,#N/A,FALSE,"PL";#N/A,#N/A,FALSE,"처분";#N/A,#N/A,FALSE,"현금";#N/A,#N/A,FALSE,"매출";#N/A,#N/A,FALSE,"원가";#N/A,#N/A,FALSE,"경영"}</definedName>
    <definedName name="ㅈㅈㅈㅈ" localSheetId="16" hidden="1">{#N/A,#N/A,FALSE,"2~8번"}</definedName>
    <definedName name="ㅈㅈㅈㅈ" hidden="1">{#N/A,#N/A,FALSE,"2~8번"}</definedName>
    <definedName name="ㅈㅈㅈㅈㅈㅈㅈ" localSheetId="16" hidden="1">{#N/A,#N/A,FALSE,"2~8번"}</definedName>
    <definedName name="ㅈㅈㅈㅈㅈㅈㅈ" hidden="1">{#N/A,#N/A,FALSE,"2~8번"}</definedName>
    <definedName name="자금운용2" localSheetId="16" hidden="1">{#N/A,#N/A,FALSE,"이태원철근"}</definedName>
    <definedName name="자금운용2" hidden="1">{#N/A,#N/A,FALSE,"이태원철근"}</definedName>
    <definedName name="자금운용3" localSheetId="16" hidden="1">{#N/A,#N/A,FALSE,"이태원철근"}</definedName>
    <definedName name="자금운용3" hidden="1">{#N/A,#N/A,FALSE,"이태원철근"}</definedName>
    <definedName name="자금운용계획" localSheetId="4" hidden="1">#REF!</definedName>
    <definedName name="자금운용계획" localSheetId="16" hidden="1">#REF!</definedName>
    <definedName name="자금운용계획" hidden="1">#REF!</definedName>
    <definedName name="자료" localSheetId="16" hidden="1">{#N/A,#N/A,FALSE,"PART-1234-8-12-9(41)";#N/A,#N/A,FALSE,"PARTS-2(3)";#N/A,#N/A,FALSE,"VAN SYSTEM";#N/A,#N/A,FALSE,"PARTS-10(26)";#N/A,#N/A,FALSE,"PART-5-6-7-11(14)";#N/A,#N/A,FALSE,"PARTS-4(3)";#N/A,#N/A,FALSE,"PCLASS"}</definedName>
    <definedName name="자료" hidden="1">{#N/A,#N/A,FALSE,"PART-1234-8-12-9(41)";#N/A,#N/A,FALSE,"PARTS-2(3)";#N/A,#N/A,FALSE,"VAN SYSTEM";#N/A,#N/A,FALSE,"PARTS-10(26)";#N/A,#N/A,FALSE,"PART-5-6-7-11(14)";#N/A,#N/A,FALSE,"PARTS-4(3)";#N/A,#N/A,FALSE,"PCLASS"}</definedName>
    <definedName name="자본금" localSheetId="16" hidden="1">{#N/A,#N/A,FALSE,"BS";#N/A,#N/A,FALSE,"PL";#N/A,#N/A,FALSE,"처분";#N/A,#N/A,FALSE,"현금";#N/A,#N/A,FALSE,"매출";#N/A,#N/A,FALSE,"원가";#N/A,#N/A,FALSE,"경영"}</definedName>
    <definedName name="자본금" hidden="1">{#N/A,#N/A,FALSE,"BS";#N/A,#N/A,FALSE,"PL";#N/A,#N/A,FALSE,"처분";#N/A,#N/A,FALSE,"현금";#N/A,#N/A,FALSE,"매출";#N/A,#N/A,FALSE,"원가";#N/A,#N/A,FALSE,"경영"}</definedName>
    <definedName name="자양" localSheetId="16" hidden="1">{#N/A,#N/A,FALSE,"이태원철근"}</definedName>
    <definedName name="자양" hidden="1">{#N/A,#N/A,FALSE,"이태원철근"}</definedName>
    <definedName name="자양공사개요" localSheetId="16" hidden="1">{#N/A,#N/A,FALSE,"이태원철근"}</definedName>
    <definedName name="자양공사개요" hidden="1">{#N/A,#N/A,FALSE,"이태원철근"}</definedName>
    <definedName name="작성조서" localSheetId="16" hidden="1">{#N/A,#N/A,FALSE,"BS";#N/A,#N/A,FALSE,"PL";#N/A,#N/A,FALSE,"처분";#N/A,#N/A,FALSE,"현금";#N/A,#N/A,FALSE,"매출";#N/A,#N/A,FALSE,"원가";#N/A,#N/A,FALSE,"경영"}</definedName>
    <definedName name="작성조서" hidden="1">{#N/A,#N/A,FALSE,"BS";#N/A,#N/A,FALSE,"PL";#N/A,#N/A,FALSE,"처분";#N/A,#N/A,FALSE,"현금";#N/A,#N/A,FALSE,"매출";#N/A,#N/A,FALSE,"원가";#N/A,#N/A,FALSE,"경영"}</definedName>
    <definedName name="장"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장종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재공포함" localSheetId="16" hidden="1">{#N/A,#N/A,FALSE,"Sheet5"}</definedName>
    <definedName name="재공포함" hidden="1">{#N/A,#N/A,FALSE,"Sheet5"}</definedName>
    <definedName name="재료" localSheetId="16" hidden="1">{#N/A,#N/A,FALSE,"Sheet5"}</definedName>
    <definedName name="재료" hidden="1">{#N/A,#N/A,FALSE,"Sheet5"}</definedName>
    <definedName name="재료2" localSheetId="16" hidden="1">{#N/A,#N/A,FALSE,"Sheet5"}</definedName>
    <definedName name="재료2" hidden="1">{#N/A,#N/A,FALSE,"Sheet5"}</definedName>
    <definedName name="재료노무합계" localSheetId="16" hidden="1">{"'건축내역'!$A$1:$L$413"}</definedName>
    <definedName name="재료노무합계" hidden="1">{"'건축내역'!$A$1:$L$413"}</definedName>
    <definedName name="재무" localSheetId="4" hidden="1">#REF!</definedName>
    <definedName name="재무" localSheetId="16" hidden="1">#REF!</definedName>
    <definedName name="재무" hidden="1">#REF!</definedName>
    <definedName name="재심의" localSheetId="16" hidden="1">{#N/A,#N/A,FALSE,"이태원철근"}</definedName>
    <definedName name="재심의" hidden="1">{#N/A,#N/A,FALSE,"이태원철근"}</definedName>
    <definedName name="재심의2" localSheetId="16" hidden="1">{#N/A,#N/A,FALSE,"이태원철근"}</definedName>
    <definedName name="재심의2" hidden="1">{#N/A,#N/A,FALSE,"이태원철근"}</definedName>
    <definedName name="재심의3" localSheetId="16" hidden="1">{#N/A,#N/A,FALSE,"이태원철근"}</definedName>
    <definedName name="재심의3" hidden="1">{#N/A,#N/A,FALSE,"이태원철근"}</definedName>
    <definedName name="재심의4" localSheetId="16" hidden="1">{#N/A,#N/A,FALSE,"이태원철근"}</definedName>
    <definedName name="재심의4" hidden="1">{#N/A,#N/A,FALSE,"이태원철근"}</definedName>
    <definedName name="재심의5" localSheetId="16" hidden="1">{#N/A,#N/A,FALSE,"이태원철근"}</definedName>
    <definedName name="재심의5" hidden="1">{#N/A,#N/A,FALSE,"이태원철근"}</definedName>
    <definedName name="재심의양식1" localSheetId="16" hidden="1">{#N/A,#N/A,FALSE,"이태원철근"}</definedName>
    <definedName name="재심의양식1" hidden="1">{#N/A,#N/A,FALSE,"이태원철근"}</definedName>
    <definedName name="재심의양식1.xls" localSheetId="16" hidden="1">{#N/A,#N/A,FALSE,"이태원철근"}</definedName>
    <definedName name="재심의양식1.xls" hidden="1">{#N/A,#N/A,FALSE,"이태원철근"}</definedName>
    <definedName name="저" localSheetId="16" hidden="1">{#N/A,#N/A,FALSE,"PART-1234-8-12-9(41)";#N/A,#N/A,FALSE,"PARTS-2(3)";#N/A,#N/A,FALSE,"VAN SYSTEM";#N/A,#N/A,FALSE,"PARTS-10(26)";#N/A,#N/A,FALSE,"PART-5-6-7-11(14)";#N/A,#N/A,FALSE,"PARTS-4(3)";#N/A,#N/A,FALSE,"PCLASS"}</definedName>
    <definedName name="저" hidden="1">{#N/A,#N/A,FALSE,"PART-1234-8-12-9(41)";#N/A,#N/A,FALSE,"PARTS-2(3)";#N/A,#N/A,FALSE,"VAN SYSTEM";#N/A,#N/A,FALSE,"PARTS-10(26)";#N/A,#N/A,FALSE,"PART-5-6-7-11(14)";#N/A,#N/A,FALSE,"PARTS-4(3)";#N/A,#N/A,FALSE,"PCLASS"}</definedName>
    <definedName name="저장" localSheetId="16" hidden="1">{#N/A,#N/A,FALSE,"Sheet5"}</definedName>
    <definedName name="저장" hidden="1">{#N/A,#N/A,FALSE,"Sheet5"}</definedName>
    <definedName name="저장1" localSheetId="16" hidden="1">{#N/A,#N/A,FALSE,"Sheet5"}</definedName>
    <definedName name="저장1" hidden="1">{#N/A,#N/A,FALSE,"Sheet5"}</definedName>
    <definedName name="저장2" localSheetId="16" hidden="1">{#N/A,#N/A,FALSE,"Sheet5"}</definedName>
    <definedName name="저장2" hidden="1">{#N/A,#N/A,FALSE,"Sheet5"}</definedName>
    <definedName name="저장품수불" localSheetId="16" hidden="1">{#N/A,#N/A,FALSE,"Sheet5"}</definedName>
    <definedName name="저장품수불" hidden="1">{#N/A,#N/A,FALSE,"Sheet5"}</definedName>
    <definedName name="전기공사비교"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전기공사비교" hidden="1">{#N/A,#N/A,FALSE,"손익표지";#N/A,#N/A,FALSE,"손익계산";#N/A,#N/A,FALSE,"일반관리비";#N/A,#N/A,FALSE,"영업외수익";#N/A,#N/A,FALSE,"영업외비용";#N/A,#N/A,FALSE,"매출액";#N/A,#N/A,FALSE,"요약손익";#N/A,#N/A,FALSE,"요약대차";#N/A,#N/A,FALSE,"매출채권현황";#N/A,#N/A,FALSE,"매출채권명세"}</definedName>
    <definedName name="전자"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전자" hidden="1">{#N/A,#N/A,FALSE,"손익표지";#N/A,#N/A,FALSE,"손익계산";#N/A,#N/A,FALSE,"일반관리비";#N/A,#N/A,FALSE,"영업외수익";#N/A,#N/A,FALSE,"영업외비용";#N/A,#N/A,FALSE,"매출액";#N/A,#N/A,FALSE,"요약손익";#N/A,#N/A,FALSE,"요약대차";#N/A,#N/A,FALSE,"매출채권현황";#N/A,#N/A,FALSE,"매출채권명세"}</definedName>
    <definedName name="전자CF" localSheetId="16" hidden="1">{#N/A,#N/A,FALSE,"지침";#N/A,#N/A,FALSE,"환경분석";#N/A,#N/A,FALSE,"Sheet16"}</definedName>
    <definedName name="전자CF" hidden="1">{#N/A,#N/A,FALSE,"지침";#N/A,#N/A,FALSE,"환경분석";#N/A,#N/A,FALSE,"Sheet16"}</definedName>
    <definedName name="전주우회" localSheetId="4" hidden="1">#REF!</definedName>
    <definedName name="전주우회" localSheetId="16" hidden="1">#REF!</definedName>
    <definedName name="전주우회" hidden="1">#REF!</definedName>
    <definedName name="전철" hidden="1">0</definedName>
    <definedName name="전체제조총괄표" localSheetId="16" hidden="1">{"'건축내역'!$A$1:$L$413"}</definedName>
    <definedName name="전체제조총괄표" hidden="1">{"'건축내역'!$A$1:$L$413"}</definedName>
    <definedName name="절" localSheetId="4" hidden="1">[48]유림골조!#REF!</definedName>
    <definedName name="절" localSheetId="16" hidden="1">[48]유림골조!#REF!</definedName>
    <definedName name="절" hidden="1">[48]유림골조!#REF!</definedName>
    <definedName name="정리" localSheetId="16" hidden="1">{#N/A,#N/A,TRUE,"대 차 대 조 표"}</definedName>
    <definedName name="정리" hidden="1">{#N/A,#N/A,TRUE,"대 차 대 조 표"}</definedName>
    <definedName name="정명영" localSheetId="16" hidden="1">{#N/A,#N/A,FALSE,"이태원철근"}</definedName>
    <definedName name="정명영" hidden="1">{#N/A,#N/A,FALSE,"이태원철근"}</definedName>
    <definedName name="정미아" localSheetId="16" hidden="1">{#N/A,#N/A,FALSE,"BS";#N/A,#N/A,FALSE,"PL";#N/A,#N/A,FALSE,"처분";#N/A,#N/A,FALSE,"현금";#N/A,#N/A,FALSE,"매출";#N/A,#N/A,FALSE,"원가";#N/A,#N/A,FALSE,"경영"}</definedName>
    <definedName name="정미아" hidden="1">{#N/A,#N/A,FALSE,"BS";#N/A,#N/A,FALSE,"PL";#N/A,#N/A,FALSE,"처분";#N/A,#N/A,FALSE,"현금";#N/A,#N/A,FALSE,"매출";#N/A,#N/A,FALSE,"원가";#N/A,#N/A,FALSE,"경영"}</definedName>
    <definedName name="정민" localSheetId="16" hidden="1">{#N/A,#N/A,FALSE,"PART-1234-8-12-9(41)";#N/A,#N/A,FALSE,"PARTS-2(3)";#N/A,#N/A,FALSE,"VAN SYSTEM";#N/A,#N/A,FALSE,"PARTS-10(26)";#N/A,#N/A,FALSE,"PART-5-6-7-11(14)";#N/A,#N/A,FALSE,"PARTS-4(3)";#N/A,#N/A,FALSE,"PCLASS"}</definedName>
    <definedName name="정민" hidden="1">{#N/A,#N/A,FALSE,"PART-1234-8-12-9(41)";#N/A,#N/A,FALSE,"PARTS-2(3)";#N/A,#N/A,FALSE,"VAN SYSTEM";#N/A,#N/A,FALSE,"PARTS-10(26)";#N/A,#N/A,FALSE,"PART-5-6-7-11(14)";#N/A,#N/A,FALSE,"PARTS-4(3)";#N/A,#N/A,FALSE,"PCLASS"}</definedName>
    <definedName name="정봉용"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정봉용" hidden="1">{#N/A,#N/A,FALSE,"손익표지";#N/A,#N/A,FALSE,"손익계산";#N/A,#N/A,FALSE,"일반관리비";#N/A,#N/A,FALSE,"영업외수익";#N/A,#N/A,FALSE,"영업외비용";#N/A,#N/A,FALSE,"매출액";#N/A,#N/A,FALSE,"요약손익";#N/A,#N/A,FALSE,"요약대차";#N/A,#N/A,FALSE,"매출채권현황";#N/A,#N/A,FALSE,"매출채권명세"}</definedName>
    <definedName name="정상가격" localSheetId="16"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 hidden="1">{#N/A,#N/A,TRUE,"총괄표";#N/A,#N/A,TRUE,"1호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주식";#N/A,#N/A,TRUE,"60호 갑 적정유보";#N/A,#N/A,TRUE,"60호 을 적정유보"}</definedName>
    <definedName name="정상가격2" localSheetId="16"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상가격2" hidden="1">{#N/A,#N/A,FALSE,"표지";#N/A,#N/A,FALSE,"총괄표";#N/A,#N/A,FALSE,"1호 과표세액";#N/A,#N/A,FALSE,"3(3)호(갑) 원천납부";#N/A,#N/A,FALSE,"6호 소득금액";#N/A,#N/A,FALSE,"6호 첨부(익)";#N/A,#N/A,FALSE,"6호 첨부(손)";#N/A,#N/A,FALSE,"6-12호 선급비용";#N/A,#N/A,FALSE,"6-14호 부동산보유";#N/A,#N/A,FALSE,"9호 자본금(갑)";#N/A,#N/A,FALSE,"9호 자본금(을)";#N/A,#N/A,FALSE,"10(3)호 주요계정";#N/A,#N/A,FALSE,"10(3)호 부표";#N/A,#N/A,FALSE,"10(4)호 조정수입";#N/A,#N/A,FALSE,"12호 중소검토";#N/A,#N/A,FALSE,"14(1)호 갑 주식";#N/A,#N/A,FALSE,"59호 해외특수";#N/A,#N/A,FALSE,"요약 BS";#N/A,#N/A,FALSE,"요약 PL";#N/A,#N/A,FALSE,"요약원가";#N/A,#N/A,FALSE,"요약RE";#N/A,#N/A,FALSE,"6-5호 외화(갑)";#N/A,#N/A,FALSE,"6-5호 외화(을)"}</definedName>
    <definedName name="정인"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정인" hidden="1">{#N/A,#N/A,FALSE,"손익표지";#N/A,#N/A,FALSE,"손익계산";#N/A,#N/A,FALSE,"일반관리비";#N/A,#N/A,FALSE,"영업외수익";#N/A,#N/A,FALSE,"영업외비용";#N/A,#N/A,FALSE,"매출액";#N/A,#N/A,FALSE,"요약손익";#N/A,#N/A,FALSE,"요약대차";#N/A,#N/A,FALSE,"매출채권현황";#N/A,#N/A,FALSE,"매출채권명세"}</definedName>
    <definedName name="정인보"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정인보" hidden="1">{#N/A,#N/A,FALSE,"손익표지";#N/A,#N/A,FALSE,"손익계산";#N/A,#N/A,FALSE,"일반관리비";#N/A,#N/A,FALSE,"영업외수익";#N/A,#N/A,FALSE,"영업외비용";#N/A,#N/A,FALSE,"매출액";#N/A,#N/A,FALSE,"요약손익";#N/A,#N/A,FALSE,"요약대차";#N/A,#N/A,FALSE,"매출채권현황";#N/A,#N/A,FALSE,"매출채권명세"}</definedName>
    <definedName name="정종구"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정종구" hidden="1">{#N/A,#N/A,FALSE,"손익표지";#N/A,#N/A,FALSE,"손익계산";#N/A,#N/A,FALSE,"일반관리비";#N/A,#N/A,FALSE,"영업외수익";#N/A,#N/A,FALSE,"영업외비용";#N/A,#N/A,FALSE,"매출액";#N/A,#N/A,FALSE,"요약손익";#N/A,#N/A,FALSE,"요약대차";#N/A,#N/A,FALSE,"매출채권현황";#N/A,#N/A,FALSE,"매출채권명세"}</definedName>
    <definedName name="제조" localSheetId="4" hidden="1">#REF!</definedName>
    <definedName name="제조" localSheetId="16" hidden="1">#REF!</definedName>
    <definedName name="제조" hidden="1">#REF!</definedName>
    <definedName name="제조원가" localSheetId="16" hidden="1">{#N/A,#N/A,FALSE,"Sheet5"}</definedName>
    <definedName name="제조원가" hidden="1">{#N/A,#N/A,FALSE,"Sheet5"}</definedName>
    <definedName name="제출2"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제출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조" localSheetId="16" hidden="1">{"'Firr(선)'!$AS$1:$AY$62","'Firr(사)'!$AS$1:$AY$62","'Firr(회)'!$AS$1:$AY$62","'Firr(선)'!$L$1:$V$62","'Firr(사)'!$L$1:$V$62","'Firr(회)'!$L$1:$V$62"}</definedName>
    <definedName name="조" hidden="1">{"'Firr(선)'!$AS$1:$AY$62","'Firr(사)'!$AS$1:$AY$62","'Firr(회)'!$AS$1:$AY$62","'Firr(선)'!$L$1:$V$62","'Firr(사)'!$L$1:$V$62","'Firr(회)'!$L$1:$V$62"}</definedName>
    <definedName name="조사가" localSheetId="4" hidden="1">[65]입찰안!#REF!</definedName>
    <definedName name="조사가" localSheetId="16" hidden="1">[65]입찰안!#REF!</definedName>
    <definedName name="조사가" hidden="1">[65]입찰안!#REF!</definedName>
    <definedName name="조정" localSheetId="4" hidden="1">#REF!</definedName>
    <definedName name="조정" localSheetId="16" hidden="1">#REF!</definedName>
    <definedName name="조정" hidden="1">#REF!</definedName>
    <definedName name="조합원" localSheetId="4" hidden="1">#REF!</definedName>
    <definedName name="조합원" localSheetId="16" hidden="1">#REF!</definedName>
    <definedName name="조합원" hidden="1">#REF!</definedName>
    <definedName name="조효" localSheetId="16" hidden="1">{"'Firr(선)'!$AS$1:$AY$62","'Firr(사)'!$AS$1:$AY$62","'Firr(회)'!$AS$1:$AY$62","'Firr(선)'!$L$1:$V$62","'Firr(사)'!$L$1:$V$62","'Firr(회)'!$L$1:$V$62"}</definedName>
    <definedName name="조효" hidden="1">{"'Firr(선)'!$AS$1:$AY$62","'Firr(사)'!$AS$1:$AY$62","'Firr(회)'!$AS$1:$AY$62","'Firr(선)'!$L$1:$V$62","'Firr(사)'!$L$1:$V$62","'Firr(회)'!$L$1:$V$62"}</definedName>
    <definedName name="조효석" localSheetId="16" hidden="1">{"'Firr(선)'!$AS$1:$AY$62","'Firr(사)'!$AS$1:$AY$62","'Firr(회)'!$AS$1:$AY$62","'Firr(선)'!$L$1:$V$62","'Firr(사)'!$L$1:$V$62","'Firr(회)'!$L$1:$V$62"}</definedName>
    <definedName name="조효석" hidden="1">{"'Firr(선)'!$AS$1:$AY$62","'Firr(사)'!$AS$1:$AY$62","'Firr(회)'!$AS$1:$AY$62","'Firr(선)'!$L$1:$V$62","'Firr(사)'!$L$1:$V$62","'Firr(회)'!$L$1:$V$62"}</definedName>
    <definedName name="종규님" localSheetId="16" hidden="1">{#N/A,#N/A,FALSE,"PART-1234-8-12-9(41)";#N/A,#N/A,FALSE,"PARTS-2(3)";#N/A,#N/A,FALSE,"VAN SYSTEM";#N/A,#N/A,FALSE,"PARTS-10(26)";#N/A,#N/A,FALSE,"PART-5-6-7-11(14)";#N/A,#N/A,FALSE,"PARTS-4(3)";#N/A,#N/A,FALSE,"PCLASS"}</definedName>
    <definedName name="종규님" hidden="1">{#N/A,#N/A,FALSE,"PART-1234-8-12-9(41)";#N/A,#N/A,FALSE,"PARTS-2(3)";#N/A,#N/A,FALSE,"VAN SYSTEM";#N/A,#N/A,FALSE,"PARTS-10(26)";#N/A,#N/A,FALSE,"PART-5-6-7-11(14)";#N/A,#N/A,FALSE,"PARTS-4(3)";#N/A,#N/A,FALSE,"PCLASS"}</definedName>
    <definedName name="종전평가" localSheetId="4" hidden="1">#REF!</definedName>
    <definedName name="종전평가" localSheetId="16" hidden="1">#REF!</definedName>
    <definedName name="종전평가" hidden="1">#REF!</definedName>
    <definedName name="종합어음"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종합어음" hidden="1">{#N/A,#N/A,FALSE,"손익표지";#N/A,#N/A,FALSE,"손익계산";#N/A,#N/A,FALSE,"일반관리비";#N/A,#N/A,FALSE,"영업외수익";#N/A,#N/A,FALSE,"영업외비용";#N/A,#N/A,FALSE,"매출액";#N/A,#N/A,FALSE,"요약손익";#N/A,#N/A,FALSE,"요약대차";#N/A,#N/A,FALSE,"매출채권현황";#N/A,#N/A,FALSE,"매출채권명세"}</definedName>
    <definedName name="주" localSheetId="16" hidden="1">{#N/A,#N/A,FALSE,"지침";#N/A,#N/A,FALSE,"환경분석";#N/A,#N/A,FALSE,"Sheet16"}</definedName>
    <definedName name="주" hidden="1">{#N/A,#N/A,FALSE,"지침";#N/A,#N/A,FALSE,"환경분석";#N/A,#N/A,FALSE,"Sheet16"}</definedName>
    <definedName name="주요현안문제점" localSheetId="16" hidden="1">{#N/A,#N/A,FALSE,"PART-1234-8-12-9(41)";#N/A,#N/A,FALSE,"PARTS-2(3)";#N/A,#N/A,FALSE,"VAN SYSTEM";#N/A,#N/A,FALSE,"PARTS-10(26)";#N/A,#N/A,FALSE,"PART-5-6-7-11(14)";#N/A,#N/A,FALSE,"PARTS-4(3)";#N/A,#N/A,FALSE,"PCLASS"}</definedName>
    <definedName name="주요현안문제점" hidden="1">{#N/A,#N/A,FALSE,"PART-1234-8-12-9(41)";#N/A,#N/A,FALSE,"PARTS-2(3)";#N/A,#N/A,FALSE,"VAN SYSTEM";#N/A,#N/A,FALSE,"PARTS-10(26)";#N/A,#N/A,FALSE,"PART-5-6-7-11(14)";#N/A,#N/A,FALSE,"PARTS-4(3)";#N/A,#N/A,FALSE,"PCLASS"}</definedName>
    <definedName name="주중1" localSheetId="16" hidden="1">{#N/A,#N/A,FALSE,"매출이익"}</definedName>
    <definedName name="주중1" hidden="1">{#N/A,#N/A,FALSE,"매출이익"}</definedName>
    <definedName name="죽전5차" localSheetId="16" hidden="1">{#N/A,#N/A,FALSE,"이태원철근"}</definedName>
    <definedName name="죽전5차" hidden="1">{#N/A,#N/A,FALSE,"이태원철근"}</definedName>
    <definedName name="중간예납"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중간예납신고납계산서" localSheetId="16"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계산서" hidden="1">{#N/A,#N/A,TRUE,"일반적사항";#N/A,#N/A,TRUE,"주요재무자료";#N/A,#N/A,TRUE,"표지";#N/A,#N/A,TRUE,"총괄표";#N/A,#N/A,TRUE,"1호 과표세액";#N/A,#N/A,TRUE,"2호 서식";#N/A,#N/A,TRUE,"2호부표 최저한세";#N/A,#N/A,TRUE,"3(1)호 공제감면";#N/A,#N/A,TRUE,"3(1) 부1 공제감면";#N/A,#N/A,TRUE,"3(1) 부2 공제감면";#N/A,#N/A,TRUE,"3(1) 부3 세액조정";#N/A,#N/A,TRUE,"3(1)부7 기업합리";#N/A,#N/A,TRUE,"3(3)호(갑) 원천납부";#N/A,#N/A,TRUE,"4호 특별부가";#N/A,#N/A,TRUE,"5호 농어촌";#N/A,#N/A,TRUE,"5호2 농감면(갑)";#N/A,#N/A,TRUE,"5호2 농감면(을)";#N/A,#N/A,TRUE,"6호 소득금액";#N/A,#N/A,TRUE,"6호 첨부(익)";#N/A,#N/A,TRUE,"6호 첨부(손)";#N/A,#N/A,TRUE,"6-1호 수입금액";#N/A,#N/A,TRUE,"6-2(7)호 해외투자";#N/A,#N/A,TRUE,"6-3호 퇴충";#N/A,#N/A,TRUE,"6-3(3)호 단퇴";#N/A,#N/A,TRUE,"6-3(4)호 대손";#N/A,#N/A,TRUE,"6-4호 접대(갑)";#N/A,#N/A,TRUE,"6-4호 접대(을)";#N/A,#N/A,TRUE,"감가총괄표";#N/A,#N/A,TRUE,"6-6(3)호 감가(정율)";#N/A,#N/A,TRUE,"6-6호(부표) 자본적지출";#N/A,#N/A,TRUE,"6-10호 재고자산";#N/A,#N/A,TRUE,"6-11호 세금과공과";#N/A,#N/A,TRUE,"6-12호 선급비용";#N/A,#N/A,TRUE,"6-13호 기부금";#N/A,#N/A,TRUE,"기부1";#N/A,#N/A,TRUE,"기부2";#N/A,#N/A,TRUE,"8호 기부금조정";#N/A,#N/A,TRUE,"9호 자본금(갑)";#N/A,#N/A,TRUE,"9호 자본금(을)";#N/A,#N/A,TRUE,"10(3)호 주요계정";#N/A,#N/A,TRUE,"10(3)호 부표";#N/A,#N/A,TRUE,"10(4)호 조정수입";#N/A,#N/A,TRUE,"14(1)호 갑 주식";#N/A,#N/A,TRUE,"59호 해외특수";#N/A,#N/A,TRUE,"요약 BS";#N/A,#N/A,TRUE,"요약 PL";#N/A,#N/A,TRUE,"요약RE";#N/A,#N/A,TRUE,"조8호 기술인력";#N/A,#N/A,TRUE,"국공채감면";#N/A,#N/A,TRUE,"전기수정";#N/A,#N/A,TRUE,"퇴충명세";#N/A,#N/A,TRUE,"적금모집권유비";#N/A,#N/A,TRUE,"해외투자현황";#N/A,#N/A,TRUE,"외화감면";#N/A,#N/A,TRUE,"offshore";#N/A,#N/A,TRUE,"대손상각등명세"}</definedName>
    <definedName name="중간예납신고납부계산서" localSheetId="16"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예납신고납부계산서" hidden="1">{#N/A,#N/A,FALSE,"1호 과표세액";#N/A,#N/A,FALSE,"2호 서식";#N/A,#N/A,FALSE,"2호부표 최저한세";#N/A,#N/A,FALSE,"5호 농어촌";#N/A,#N/A,FALSE,"6호 소득금액";#N/A,#N/A,FALSE,"6호 첨부(익)";#N/A,#N/A,FALSE,"6호 첨부(손)";#N/A,#N/A,FALSE,"6-1호 수입금액";#N/A,#N/A,FALSE,"6-2(7)호 해외투자";#N/A,#N/A,FALSE,"6-3호 퇴충";#N/A,#N/A,FALSE,"6-3(3)호 단퇴";#N/A,#N/A,FALSE,"6-3(4)호 대손";#N/A,#N/A,FALSE,"6-4호 접대(갑)";#N/A,#N/A,FALSE,"6-4호 접대(을)";#N/A,#N/A,FALSE,"9호 자본금(갑)";#N/A,#N/A,FALSE,"9호 자본금(을)";#N/A,#N/A,FALSE,"조8호 기술인력";#N/A,#N/A,FALSE,"국공채감면";#N/A,#N/A,FALSE,"전기수정";#N/A,#N/A,FALSE,"퇴충명세";#N/A,#N/A,FALSE,"적금모집권유비";#N/A,#N/A,FALSE,"해외투자현황";#N/A,#N/A,FALSE,"외화감면";#N/A,#N/A,FALSE,"대손상각등명세"}</definedName>
    <definedName name="중간요약" localSheetId="16" hidden="1">{#N/A,#N/A,FALSE,"BS";#N/A,#N/A,FALSE,"PL";#N/A,#N/A,FALSE,"처분";#N/A,#N/A,FALSE,"현금";#N/A,#N/A,FALSE,"매출";#N/A,#N/A,FALSE,"원가";#N/A,#N/A,FALSE,"경영"}</definedName>
    <definedName name="중간요약" hidden="1">{#N/A,#N/A,FALSE,"BS";#N/A,#N/A,FALSE,"PL";#N/A,#N/A,FALSE,"처분";#N/A,#N/A,FALSE,"현금";#N/A,#N/A,FALSE,"매출";#N/A,#N/A,FALSE,"원가";#N/A,#N/A,FALSE,"경영"}</definedName>
    <definedName name="중순위대출">'사업수지표 '!$R$44:$R$45</definedName>
    <definedName name="중점0601" localSheetId="16" hidden="1">{#N/A,#N/A,FALSE,"이태원철근"}</definedName>
    <definedName name="중점0601" hidden="1">{#N/A,#N/A,FALSE,"이태원철근"}</definedName>
    <definedName name="중점관리" localSheetId="16" hidden="1">{#N/A,#N/A,FALSE,"이태원철근"}</definedName>
    <definedName name="중점관리" hidden="1">{#N/A,#N/A,FALSE,"이태원철근"}</definedName>
    <definedName name="지분법평가손익99" localSheetId="16" hidden="1">{#N/A,#N/A,FALSE,"BS";#N/A,#N/A,FALSE,"PL";#N/A,#N/A,FALSE,"처분";#N/A,#N/A,FALSE,"현금";#N/A,#N/A,FALSE,"매출";#N/A,#N/A,FALSE,"원가";#N/A,#N/A,FALSE,"경영"}</definedName>
    <definedName name="지분법평가손익99" hidden="1">{#N/A,#N/A,FALSE,"BS";#N/A,#N/A,FALSE,"PL";#N/A,#N/A,FALSE,"처분";#N/A,#N/A,FALSE,"현금";#N/A,#N/A,FALSE,"매출";#N/A,#N/A,FALSE,"원가";#N/A,#N/A,FALSE,"경영"}</definedName>
    <definedName name="지분법평가손익99년" localSheetId="16" hidden="1">{#N/A,#N/A,FALSE,"BS";#N/A,#N/A,FALSE,"PL";#N/A,#N/A,FALSE,"처분";#N/A,#N/A,FALSE,"현금";#N/A,#N/A,FALSE,"매출";#N/A,#N/A,FALSE,"원가";#N/A,#N/A,FALSE,"경영"}</definedName>
    <definedName name="지분법평가손익99년" hidden="1">{#N/A,#N/A,FALSE,"BS";#N/A,#N/A,FALSE,"PL";#N/A,#N/A,FALSE,"처분";#N/A,#N/A,FALSE,"현금";#N/A,#N/A,FALSE,"매출";#N/A,#N/A,FALSE,"원가";#N/A,#N/A,FALSE,"경영"}</definedName>
    <definedName name="지분평가손익99" localSheetId="16" hidden="1">{#N/A,#N/A,FALSE,"BS";#N/A,#N/A,FALSE,"PL";#N/A,#N/A,FALSE,"처분";#N/A,#N/A,FALSE,"현금";#N/A,#N/A,FALSE,"매출";#N/A,#N/A,FALSE,"원가";#N/A,#N/A,FALSE,"경영"}</definedName>
    <definedName name="지분평가손익99" hidden="1">{#N/A,#N/A,FALSE,"BS";#N/A,#N/A,FALSE,"PL";#N/A,#N/A,FALSE,"처분";#N/A,#N/A,FALSE,"현금";#N/A,#N/A,FALSE,"매출";#N/A,#N/A,FALSE,"원가";#N/A,#N/A,FALSE,"경영"}</definedName>
    <definedName name="지사순2" localSheetId="16" hidden="1">{#N/A,#N/A,FALSE,"PART-1234-8-12-9(41)";#N/A,#N/A,FALSE,"PARTS-2(3)";#N/A,#N/A,FALSE,"VAN SYSTEM";#N/A,#N/A,FALSE,"PARTS-10(26)";#N/A,#N/A,FALSE,"PART-5-6-7-11(14)";#N/A,#N/A,FALSE,"PARTS-4(3)";#N/A,#N/A,FALSE,"PCLASS"}</definedName>
    <definedName name="지사순2" hidden="1">{#N/A,#N/A,FALSE,"PART-1234-8-12-9(41)";#N/A,#N/A,FALSE,"PARTS-2(3)";#N/A,#N/A,FALSE,"VAN SYSTEM";#N/A,#N/A,FALSE,"PARTS-10(26)";#N/A,#N/A,FALSE,"PART-5-6-7-11(14)";#N/A,#N/A,FALSE,"PARTS-4(3)";#N/A,#N/A,FALSE,"PCLASS"}</definedName>
    <definedName name="지원동" localSheetId="16" hidden="1">{#N/A,#N/A,TRUE,"대 차 대 조 표"}</definedName>
    <definedName name="지원동" hidden="1">{#N/A,#N/A,TRUE,"대 차 대 조 표"}</definedName>
    <definedName name="직매54P" localSheetId="16" hidden="1">{#N/A,#N/A,TRUE,"토적및재료집계";#N/A,#N/A,TRUE,"토적및재료집계";#N/A,#N/A,TRUE,"단위량"}</definedName>
    <definedName name="직매54P" hidden="1">{#N/A,#N/A,TRUE,"토적및재료집계";#N/A,#N/A,TRUE,"토적및재료집계";#N/A,#N/A,TRUE,"단위량"}</definedName>
    <definedName name="직원소요철수계획" localSheetId="16" hidden="1">{#N/A,#N/A,FALSE,"이태원철근"}</definedName>
    <definedName name="직원소요철수계획" hidden="1">{#N/A,#N/A,FALSE,"이태원철근"}</definedName>
    <definedName name="직원조직" localSheetId="16" hidden="1">{#N/A,#N/A,FALSE,"이태원철근"}</definedName>
    <definedName name="직원조직" hidden="1">{#N/A,#N/A,FALSE,"이태원철근"}</definedName>
    <definedName name="직원조직표" localSheetId="16" hidden="1">{#N/A,#N/A,FALSE,"이태원철근"}</definedName>
    <definedName name="직원조직표" hidden="1">{#N/A,#N/A,FALSE,"이태원철근"}</definedName>
    <definedName name="직접재료" localSheetId="16" hidden="1">{#N/A,#N/A,FALSE,"Sheet5"}</definedName>
    <definedName name="직접재료" hidden="1">{#N/A,#N/A,FALSE,"Sheet5"}</definedName>
    <definedName name="진" localSheetId="16" hidden="1">{#N/A,#N/A,FALSE,"2~8번"}</definedName>
    <definedName name="진" hidden="1">{#N/A,#N/A,FALSE,"2~8번"}</definedName>
    <definedName name="진짜원가"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진짜원가" hidden="1">{#N/A,#N/A,FALSE,"손익표지";#N/A,#N/A,FALSE,"손익계산";#N/A,#N/A,FALSE,"일반관리비";#N/A,#N/A,FALSE,"영업외수익";#N/A,#N/A,FALSE,"영업외비용";#N/A,#N/A,FALSE,"매출액";#N/A,#N/A,FALSE,"요약손익";#N/A,#N/A,FALSE,"요약대차";#N/A,#N/A,FALSE,"매출채권현황";#N/A,#N/A,FALSE,"매출채권명세"}</definedName>
    <definedName name="진짜현금작성조서" localSheetId="16" hidden="1">{#N/A,#N/A,FALSE,"BS";#N/A,#N/A,FALSE,"PL";#N/A,#N/A,FALSE,"처분";#N/A,#N/A,FALSE,"현금";#N/A,#N/A,FALSE,"매출";#N/A,#N/A,FALSE,"원가";#N/A,#N/A,FALSE,"경영"}</definedName>
    <definedName name="진짜현금작성조서" hidden="1">{#N/A,#N/A,FALSE,"BS";#N/A,#N/A,FALSE,"PL";#N/A,#N/A,FALSE,"처분";#N/A,#N/A,FALSE,"현금";#N/A,#N/A,FALSE,"매출";#N/A,#N/A,FALSE,"원가";#N/A,#N/A,FALSE,"경영"}</definedName>
    <definedName name="참고" localSheetId="16" hidden="1">{#N/A,#N/A,FALSE,"BS";#N/A,#N/A,FALSE,"PL";#N/A,#N/A,FALSE,"처분";#N/A,#N/A,FALSE,"현금";#N/A,#N/A,FALSE,"매출";#N/A,#N/A,FALSE,"원가";#N/A,#N/A,FALSE,"경영"}</definedName>
    <definedName name="참고" hidden="1">{#N/A,#N/A,FALSE,"BS";#N/A,#N/A,FALSE,"PL";#N/A,#N/A,FALSE,"처분";#N/A,#N/A,FALSE,"현금";#N/A,#N/A,FALSE,"매출";#N/A,#N/A,FALSE,"원가";#N/A,#N/A,FALSE,"경영"}</definedName>
    <definedName name="천에"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천에"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철2" localSheetId="16" hidden="1">{#N/A,#N/A,FALSE,"혼합골재"}</definedName>
    <definedName name="철2" hidden="1">{#N/A,#N/A,FALSE,"혼합골재"}</definedName>
    <definedName name="체육관" localSheetId="16" hidden="1">{#N/A,#N/A,TRUE,"대 차 대 조 표"}</definedName>
    <definedName name="체육관" hidden="1">{#N/A,#N/A,TRUE,"대 차 대 조 표"}</definedName>
    <definedName name="초기예산서보고" localSheetId="16" hidden="1">{#N/A,#N/A,FALSE,"이태원철근"}</definedName>
    <definedName name="초기예산서보고" hidden="1">{#N/A,#N/A,FALSE,"이태원철근"}</definedName>
    <definedName name="총공" localSheetId="16" hidden="1">{#N/A,#N/A,FALSE,"운반시간"}</definedName>
    <definedName name="총공" hidden="1">{#N/A,#N/A,FALSE,"운반시간"}</definedName>
    <definedName name="총괄표2" localSheetId="4" hidden="1">'[66]토지조서(원본)'!#REF!</definedName>
    <definedName name="총괄표2" localSheetId="16" hidden="1">'[66]토지조서(원본)'!#REF!</definedName>
    <definedName name="총괄표2" hidden="1">'[66]토지조서(원본)'!#REF!</definedName>
    <definedName name="총괄표정렬" localSheetId="4" hidden="1">'[66]토지조서(원본)'!#REF!</definedName>
    <definedName name="총괄표정렬" localSheetId="16" hidden="1">'[66]토지조서(원본)'!#REF!</definedName>
    <definedName name="총괄표정렬" hidden="1">'[66]토지조서(원본)'!#REF!</definedName>
    <definedName name="최종"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분임"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최종분임"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localSheetId="16" hidden="1">{#N/A,#N/A,FALSE,"손익표지";#N/A,#N/A,FALSE,"손익계산";#N/A,#N/A,FALSE,"일반관리비";#N/A,#N/A,FALSE,"영업외수익";#N/A,#N/A,FALSE,"영업외비용";#N/A,#N/A,FALSE,"매출액";#N/A,#N/A,FALSE,"요약손익";#N/A,#N/A,FALSE,"요약대차";#N/A,#N/A,FALSE,"매출채권현황";#N/A,#N/A,FALSE,"매출채권명세"}</definedName>
    <definedName name="최종분입니다" hidden="1">{#N/A,#N/A,FALSE,"손익표지";#N/A,#N/A,FALSE,"손익계산";#N/A,#N/A,FALSE,"일반관리비";#N/A,#N/A,FALSE,"영업외수익";#N/A,#N/A,FALSE,"영업외비용";#N/A,#N/A,FALSE,"매출액";#N/A,#N/A,FALSE,"요약손익";#N/A,#N/A,FALSE,"요약대차";#N/A,#N/A,FALSE,"매출채권현황";#N/A,#N/A,FALSE,"매출채권명세"}</definedName>
    <definedName name="최종실행"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최종실행"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추가"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추가"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출자금" localSheetId="16" hidden="1">{#N/A,#N/A,FALSE,"BS";#N/A,#N/A,FALSE,"PL";#N/A,#N/A,FALSE,"처분";#N/A,#N/A,FALSE,"현금";#N/A,#N/A,FALSE,"매출";#N/A,#N/A,FALSE,"원가";#N/A,#N/A,FALSE,"경영"}</definedName>
    <definedName name="출자금" hidden="1">{#N/A,#N/A,FALSE,"BS";#N/A,#N/A,FALSE,"PL";#N/A,#N/A,FALSE,"처분";#N/A,#N/A,FALSE,"현금";#N/A,#N/A,FALSE,"매출";#N/A,#N/A,FALSE,"원가";#N/A,#N/A,FALSE,"경영"}</definedName>
    <definedName name="출판" localSheetId="16" hidden="1">{#N/A,#N/A,FALSE,"지침";#N/A,#N/A,FALSE,"환경분석";#N/A,#N/A,FALSE,"Sheet16"}</definedName>
    <definedName name="출판" hidden="1">{#N/A,#N/A,FALSE,"지침";#N/A,#N/A,FALSE,"환경분석";#N/A,#N/A,FALSE,"Sheet16"}</definedName>
    <definedName name="취하" localSheetId="16" hidden="1">{#N/A,#N/A,FALSE,"이태원철근"}</definedName>
    <definedName name="취하" hidden="1">{#N/A,#N/A,FALSE,"이태원철근"}</definedName>
    <definedName name="취하실적1." localSheetId="16" hidden="1">{#N/A,#N/A,FALSE,"이태원철근"}</definedName>
    <definedName name="취하실적1." hidden="1">{#N/A,#N/A,FALSE,"이태원철근"}</definedName>
    <definedName name="ㅋ" localSheetId="6" hidden="1">#REF!</definedName>
    <definedName name="ㅋㅁ" localSheetId="16" hidden="1">{#N/A,#N/A,FALSE,"이태원철근"}</definedName>
    <definedName name="ㅋㅁ" hidden="1">{#N/A,#N/A,FALSE,"이태원철근"}</definedName>
    <definedName name="ㅋㅋㅋㅋ" localSheetId="16" hidden="1">{#N/A,#N/A,TRUE,"대 차 대 조 표"}</definedName>
    <definedName name="ㅋㅋㅋㅋ" hidden="1">{#N/A,#N/A,TRUE,"대 차 대 조 표"}</definedName>
    <definedName name="ㅋㅋㅋㅋㅋ" localSheetId="16" hidden="1">{#N/A,#N/A,FALSE,"골재소요량";#N/A,#N/A,FALSE,"골재소요량"}</definedName>
    <definedName name="ㅋㅋㅋㅋㅋ" hidden="1">{#N/A,#N/A,FALSE,"골재소요량";#N/A,#N/A,FALSE,"골재소요량"}</definedName>
    <definedName name="ㅋㅋㅋㅋㅋㅋ" localSheetId="16" hidden="1">{#N/A,#N/A,FALSE,"이태원철근"}</definedName>
    <definedName name="ㅋㅋㅋㅋㅋㅋ" hidden="1">{#N/A,#N/A,FALSE,"이태원철근"}</definedName>
    <definedName name="ㅋㅌ" localSheetId="16" hidden="1">{#N/A,#N/A,FALSE,"조골재"}</definedName>
    <definedName name="ㅋㅌ" hidden="1">{#N/A,#N/A,FALSE,"조골재"}</definedName>
    <definedName name="카" localSheetId="16" hidden="1">{#N/A,#N/A,FALSE,"Sheet5"}</definedName>
    <definedName name="카" hidden="1">{#N/A,#N/A,FALSE,"Sheet5"}</definedName>
    <definedName name="카바2" localSheetId="16" hidden="1">{#N/A,#N/A,FALSE,"이태원철근"}</definedName>
    <definedName name="카바2" hidden="1">{#N/A,#N/A,FALSE,"이태원철근"}</definedName>
    <definedName name="캐쉬" localSheetId="16" hidden="1">{#N/A,#N/A,FALSE,"지침";#N/A,#N/A,FALSE,"환경분석";#N/A,#N/A,FALSE,"Sheet16"}</definedName>
    <definedName name="캐쉬" hidden="1">{#N/A,#N/A,FALSE,"지침";#N/A,#N/A,FALSE,"환경분석";#N/A,#N/A,FALSE,"Sheet16"}</definedName>
    <definedName name="케이블간지" localSheetId="16" hidden="1">{#N/A,#N/A,TRUE,"토적및재료집계";#N/A,#N/A,TRUE,"토적및재료집계";#N/A,#N/A,TRUE,"단위량"}</definedName>
    <definedName name="케이블간지" hidden="1">{#N/A,#N/A,TRUE,"토적및재료집계";#N/A,#N/A,TRUE,"토적및재료집계";#N/A,#N/A,TRUE,"단위량"}</definedName>
    <definedName name="ㅌ" localSheetId="16" hidden="1">{#N/A,#N/A,FALSE,"2~8번"}</definedName>
    <definedName name="ㅌ" hidden="1">{#N/A,#N/A,FALSE,"2~8번"}</definedName>
    <definedName name="타" localSheetId="16" hidden="1">{#N/A,#N/A,FALSE,"Sheet5"}</definedName>
    <definedName name="타" hidden="1">{#N/A,#N/A,FALSE,"Sheet5"}</definedName>
    <definedName name="타사공사비1" localSheetId="4" hidden="1">#REF!</definedName>
    <definedName name="타사공사비1" localSheetId="16" hidden="1">#REF!</definedName>
    <definedName name="타사공사비1" hidden="1">#REF!</definedName>
    <definedName name="토" localSheetId="6" hidden="1">#REF!</definedName>
    <definedName name="토" localSheetId="3" hidden="1">#REF!</definedName>
    <definedName name="토" localSheetId="4" hidden="1">#REF!</definedName>
    <definedName name="토" localSheetId="5" hidden="1">#REF!</definedName>
    <definedName name="토" localSheetId="16" hidden="1">#REF!</definedName>
    <definedName name="토" localSheetId="0" hidden="1">#REF!</definedName>
    <definedName name="토" hidden="1">#REF!</definedName>
    <definedName name="토공2" localSheetId="16" hidden="1">{#N/A,#N/A,FALSE,"2~8번"}</definedName>
    <definedName name="토공2" hidden="1">{#N/A,#N/A,FALSE,"2~8번"}</definedName>
    <definedName name="토공전체" localSheetId="16" hidden="1">{#N/A,#N/A,FALSE,"운반시간"}</definedName>
    <definedName name="토공전체" hidden="1">{#N/A,#N/A,FALSE,"운반시간"}</definedName>
    <definedName name="토목"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토목" hidden="1">{#N/A,#N/A,FALSE,"손익표지";#N/A,#N/A,FALSE,"손익계산";#N/A,#N/A,FALSE,"일반관리비";#N/A,#N/A,FALSE,"영업외수익";#N/A,#N/A,FALSE,"영업외비용";#N/A,#N/A,FALSE,"매출액";#N/A,#N/A,FALSE,"요약손익";#N/A,#N/A,FALSE,"요약대차";#N/A,#N/A,FALSE,"매출채권현황";#N/A,#N/A,FALSE,"매출채권명세"}</definedName>
    <definedName name="토목공사" localSheetId="16" hidden="1">{#N/A,#N/A,FALSE,"이태원철근"}</definedName>
    <definedName name="토목공사" hidden="1">{#N/A,#N/A,FALSE,"이태원철근"}</definedName>
    <definedName name="토목공사강릉" localSheetId="4" hidden="1">#REF!</definedName>
    <definedName name="토목공사강릉" localSheetId="16" hidden="1">#REF!</definedName>
    <definedName name="토목공사강릉" hidden="1">#REF!</definedName>
    <definedName name="토목설계" localSheetId="16" hidden="1">{#N/A,#N/A,FALSE,"골재소요량";#N/A,#N/A,FALSE,"골재소요량"}</definedName>
    <definedName name="토목설계" hidden="1">{#N/A,#N/A,FALSE,"골재소요량";#N/A,#N/A,FALSE,"골재소요량"}</definedName>
    <definedName name="토목실견적" localSheetId="16" hidden="1">{#N/A,#N/A,FALSE,"이태원철근"}</definedName>
    <definedName name="토목실견적" hidden="1">{#N/A,#N/A,FALSE,"이태원철근"}</definedName>
    <definedName name="통합본관" localSheetId="4" hidden="1">#REF!</definedName>
    <definedName name="통합본관" localSheetId="16" hidden="1">#REF!</definedName>
    <definedName name="통합본관" hidden="1">#REF!</definedName>
    <definedName name="퇴충명세" localSheetId="16"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퇴충명세" hidden="1">{#N/A,#N/A,TRUE,"일반적사항";#N/A,#N/A,TRUE,"주요재무자료";#N/A,#N/A,TRUE,"표지";#N/A,#N/A,TRUE,"총괄표";#N/A,#N/A,TRUE,"1호 과표세액";#N/A,#N/A,TRUE,"2호 서식";#N/A,#N/A,TRUE,"2호부표 최저한세";#N/A,#N/A,TRUE,"3(1)호 공제감면";#N/A,#N/A,TRUE,"3(1) 부1 공제감면";#N/A,#N/A,TRUE,"3(1) 부3 세액조정";#N/A,#N/A,TRUE,"3(1) 부4 공제감면";#N/A,#N/A,TRUE,"3(1) 부6 추가납부";#N/A,#N/A,TRUE,"조8호 기술인력";#N/A,#N/A,TRUE,"3(1)부7 기업합리";#N/A,#N/A,TRUE,"3(2)호 가산세";#N/A,#N/A,TRUE,"3(2)호 가산세";#N/A,#N/A,TRUE,"3(3)호(갑) 원천납부";#N/A,#N/A,TRUE,"5호 농어촌";#N/A,#N/A,TRUE,"5호2 농감면(갑)";#N/A,#N/A,TRUE,"5호2 농감면(을)";#N/A,#N/A,TRUE,"6호 소득금액";#N/A,#N/A,TRUE,"6호 첨부(익)";#N/A,#N/A,TRUE,"6호 첨부(손)";#N/A,#N/A,TRUE,"6-1호 수입금액";#N/A,#N/A,TRUE,"6-2(4)호 해외시장";#N/A,#N/A,TRUE,"6-2(6)호 해외사업";#N/A,#N/A,TRUE,"6-2(7)호 해외투자";#N/A,#N/A,TRUE,"6-2(12)호 수출손실";#N/A,#N/A,TRUE,"6-3호 퇴충";#N/A,#N/A,TRUE,"6-3(3)호 단퇴";#N/A,#N/A,TRUE,"6-3(4)호 대손";#N/A,#N/A,TRUE,"6-4호 접대(갑)";#N/A,#N/A,TRUE,"6-4호 접대(을)";#N/A,#N/A,TRUE,"6-5호 외화(갑)";#N/A,#N/A,TRUE,"6-5호 외화(을)";#N/A,#N/A,TRUE,"6-6호(부표) 자본적지출";#N/A,#N/A,TRUE,"6-7호 가지급금(갑)";#N/A,#N/A,TRUE,"6-7호 가지급(을)";#N/A,#N/A,TRUE,"6-10호 재고자산";#N/A,#N/A,TRUE,"6-11호 세금과공과";#N/A,#N/A,TRUE,"6-12호 선급비용";#N/A,#N/A,TRUE,"6-13호 기부금";#N/A,#N/A,TRUE,"6-14호 부동산보유";#N/A,#N/A,TRUE,"8호 기부금조정";#N/A,#N/A,TRUE,"9호 자본금(갑)";#N/A,#N/A,TRUE,"9호 자본금(을)";#N/A,#N/A,TRUE,"10(2)호 소득공제";#N/A,#N/A,TRUE,"10(3)호 주요계정";#N/A,#N/A,TRUE,"10(3)호 부표";#N/A,#N/A,TRUE,"10(4)호 조정수입";#N/A,#N/A,TRUE,"10(4)호 소득구분";#N/A,#N/A,TRUE,"12호 중소검토";#N/A,#N/A,TRUE,"13호 비상장";#N/A,#N/A,TRUE,"14(1)호 갑 주식";#N/A,#N/A,TRUE,"59호 해외특수";#N/A,#N/A,TRUE,"60호 갑 적정유보";#N/A,#N/A,TRUE,"60호 을 적정유보";#N/A,#N/A,TRUE,"요약 BS";#N/A,#N/A,TRUE,"요약 PL";#N/A,#N/A,TRUE,"요약원가";#N/A,#N/A,TRUE,"요약RE"}</definedName>
    <definedName name="투자" localSheetId="16" hidden="1">{#N/A,#N/A,FALSE,"Aging Summary";#N/A,#N/A,FALSE,"Ratio Analysis";#N/A,#N/A,FALSE,"Test 120 Day Accts";#N/A,#N/A,FALSE,"Tickmarks"}</definedName>
    <definedName name="투자" hidden="1">{#N/A,#N/A,FALSE,"Aging Summary";#N/A,#N/A,FALSE,"Ratio Analysis";#N/A,#N/A,FALSE,"Test 120 Day Accts";#N/A,#N/A,FALSE,"Tickmarks"}</definedName>
    <definedName name="투자유" localSheetId="16" hidden="1">{#N/A,#N/A,FALSE,"BS";#N/A,#N/A,FALSE,"PL";#N/A,#N/A,FALSE,"처분";#N/A,#N/A,FALSE,"현금";#N/A,#N/A,FALSE,"매출";#N/A,#N/A,FALSE,"원가";#N/A,#N/A,FALSE,"경영"}</definedName>
    <definedName name="투자유" hidden="1">{#N/A,#N/A,FALSE,"BS";#N/A,#N/A,FALSE,"PL";#N/A,#N/A,FALSE,"처분";#N/A,#N/A,FALSE,"현금";#N/A,#N/A,FALSE,"매출";#N/A,#N/A,FALSE,"원가";#N/A,#N/A,FALSE,"경영"}</definedName>
    <definedName name="ㅍ" localSheetId="16" hidden="1">{#N/A,#N/A,FALSE,"2~8번"}</definedName>
    <definedName name="ㅍ" hidden="1">{#N/A,#N/A,FALSE,"2~8번"}</definedName>
    <definedName name="ㅍㅍ" localSheetId="16" hidden="1">{#N/A,#N/A,TRUE,"토적및재료집계";#N/A,#N/A,TRUE,"토적및재료집계";#N/A,#N/A,TRUE,"단위량"}</definedName>
    <definedName name="ㅍㅍ" hidden="1">{#N/A,#N/A,TRUE,"토적및재료집계";#N/A,#N/A,TRUE,"토적및재료집계";#N/A,#N/A,TRUE,"단위량"}</definedName>
    <definedName name="ㅍㅍㄹ"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ㅍㅍㄹ"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ㅍㅍㅍ"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ㅍㅍㅍ"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파일" localSheetId="4" hidden="1">#REF!</definedName>
    <definedName name="파일" localSheetId="16" hidden="1">#REF!</definedName>
    <definedName name="파일" hidden="1">#REF!</definedName>
    <definedName name="판관비" localSheetId="4" hidden="1">[44]경비!#REF!</definedName>
    <definedName name="판관비" localSheetId="16" hidden="1">[44]경비!#REF!</definedName>
    <definedName name="판관비" hidden="1">[44]경비!#REF!</definedName>
    <definedName name="팔" localSheetId="4" hidden="1">#REF!</definedName>
    <definedName name="팔" localSheetId="16" hidden="1">#REF!</definedName>
    <definedName name="팔" hidden="1">#REF!</definedName>
    <definedName name="팔레"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팔레" hidden="1">{#N/A,#N/A,FALSE,"손익표지";#N/A,#N/A,FALSE,"손익계산";#N/A,#N/A,FALSE,"일반관리비";#N/A,#N/A,FALSE,"영업외수익";#N/A,#N/A,FALSE,"영업외비용";#N/A,#N/A,FALSE,"매출액";#N/A,#N/A,FALSE,"요약손익";#N/A,#N/A,FALSE,"요약대차";#N/A,#N/A,FALSE,"매출채권현황";#N/A,#N/A,FALSE,"매출채권명세"}</definedName>
    <definedName name="페이지" localSheetId="16" hidden="1">{"'Firr(선)'!$AS$1:$AY$62","'Firr(사)'!$AS$1:$AY$62","'Firr(회)'!$AS$1:$AY$62","'Firr(선)'!$L$1:$V$62","'Firr(사)'!$L$1:$V$62","'Firr(회)'!$L$1:$V$62"}</definedName>
    <definedName name="페이지" hidden="1">{"'Firr(선)'!$AS$1:$AY$62","'Firr(사)'!$AS$1:$AY$62","'Firr(회)'!$AS$1:$AY$62","'Firr(선)'!$L$1:$V$62","'Firr(사)'!$L$1:$V$62","'Firr(회)'!$L$1:$V$62"}</definedName>
    <definedName name="평균이자율" localSheetId="4" hidden="1">[67]이자율!#REF!</definedName>
    <definedName name="평균이자율" localSheetId="16" hidden="1">[67]이자율!#REF!</definedName>
    <definedName name="평균이자율" hidden="1">[67]이자율!#REF!</definedName>
    <definedName name="포스코" localSheetId="16" hidden="1">{#N/A,#N/A,TRUE,"대 차 대 조 표"}</definedName>
    <definedName name="포스코" hidden="1">{#N/A,#N/A,TRUE,"대 차 대 조 표"}</definedName>
    <definedName name="포장2월ocf" localSheetId="16" hidden="1">{#N/A,#N/A,FALSE,"지침";#N/A,#N/A,FALSE,"환경분석";#N/A,#N/A,FALSE,"Sheet16"}</definedName>
    <definedName name="포장2월ocf" hidden="1">{#N/A,#N/A,FALSE,"지침";#N/A,#N/A,FALSE,"환경분석";#N/A,#N/A,FALSE,"Sheet16"}</definedName>
    <definedName name="포장ocf" localSheetId="16" hidden="1">{#N/A,#N/A,FALSE,"지침";#N/A,#N/A,FALSE,"환경분석";#N/A,#N/A,FALSE,"Sheet16"}</definedName>
    <definedName name="포장ocf" hidden="1">{#N/A,#N/A,FALSE,"지침";#N/A,#N/A,FALSE,"환경분석";#N/A,#N/A,FALSE,"Sheet16"}</definedName>
    <definedName name="표" localSheetId="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표지" localSheetId="16" hidden="1">{#N/A,#N/A,FALSE,"동부"}</definedName>
    <definedName name="표지" hidden="1">{#N/A,#N/A,FALSE,"동부"}</definedName>
    <definedName name="표지2" localSheetId="4" hidden="1">#REF!</definedName>
    <definedName name="표지2" localSheetId="16" hidden="1">#REF!</definedName>
    <definedName name="표지2" hidden="1">#REF!</definedName>
    <definedName name="풀" localSheetId="16" hidden="1">{#N/A,#N/A,FALSE,"동부"}</definedName>
    <definedName name="풀" hidden="1">{#N/A,#N/A,FALSE,"동부"}</definedName>
    <definedName name="풍납동" localSheetId="4" hidden="1">#REF!</definedName>
    <definedName name="풍납동" localSheetId="16" hidden="1">#REF!</definedName>
    <definedName name="풍납동" hidden="1">#REF!</definedName>
    <definedName name="풍납동아파트" localSheetId="4" hidden="1">#REF!</definedName>
    <definedName name="풍납동아파트" localSheetId="16" hidden="1">#REF!</definedName>
    <definedName name="풍납동아파트" hidden="1">#REF!</definedName>
    <definedName name="피로티" localSheetId="16" hidden="1">{#N/A,#N/A,FALSE,"이태원철근"}</definedName>
    <definedName name="피로티" hidden="1">{#N/A,#N/A,FALSE,"이태원철근"}</definedName>
    <definedName name="피로티1" localSheetId="16" hidden="1">{#N/A,#N/A,FALSE,"이태원철근"}</definedName>
    <definedName name="피로티1" hidden="1">{#N/A,#N/A,FALSE,"이태원철근"}</definedName>
    <definedName name="ㅎ" localSheetId="6" hidden="1">{#N/A,#N/A,FALSE,"PART-1234-8-12-9(41)";#N/A,#N/A,FALSE,"PARTS-2(3)";#N/A,#N/A,FALSE,"VAN SYSTEM";#N/A,#N/A,FALSE,"PARTS-10(26)";#N/A,#N/A,FALSE,"PART-5-6-7-11(14)";#N/A,#N/A,FALSE,"PARTS-4(3)";#N/A,#N/A,FALSE,"PCLASS"}</definedName>
    <definedName name="ㅎ5" localSheetId="16" hidden="1">{#N/A,#N/A,FALSE,"골재소요량";#N/A,#N/A,FALSE,"골재소요량"}</definedName>
    <definedName name="ㅎ5" hidden="1">{#N/A,#N/A,FALSE,"골재소요량";#N/A,#N/A,FALSE,"골재소요량"}</definedName>
    <definedName name="ㅎ노ㅠ" localSheetId="16" hidden="1">{#N/A,#N/A,FALSE,"배수1"}</definedName>
    <definedName name="ㅎ노ㅠ" hidden="1">{#N/A,#N/A,FALSE,"배수1"}</definedName>
    <definedName name="ㅎㄶ" localSheetId="16" hidden="1">{#N/A,#N/A,FALSE,"속도"}</definedName>
    <definedName name="ㅎㄶ" hidden="1">{#N/A,#N/A,FALSE,"속도"}</definedName>
    <definedName name="ㅎ도ㅓㄷ" localSheetId="16" hidden="1">{#N/A,#N/A,FALSE,"2~8번"}</definedName>
    <definedName name="ㅎ도ㅓㄷ" hidden="1">{#N/A,#N/A,FALSE,"2~8번"}</definedName>
    <definedName name="ㅎㄹㄴ" localSheetId="16" hidden="1">{#N/A,#N/A,FALSE,"혼합골재"}</definedName>
    <definedName name="ㅎㄹㄴ" hidden="1">{#N/A,#N/A,FALSE,"혼합골재"}</definedName>
    <definedName name="ㅎ라ㅓㅓㅗㅎ라러" localSheetId="16" hidden="1">{#N/A,#N/A,FALSE,"이태원철근"}</definedName>
    <definedName name="ㅎ라ㅓㅓㅗㅎ라러" hidden="1">{#N/A,#N/A,FALSE,"이태원철근"}</definedName>
    <definedName name="ㅎ러ㅗ엉ㅎ러ㅗㅎㄹㅇ" localSheetId="16" hidden="1">{#N/A,#N/A,FALSE,"이태원철근"}</definedName>
    <definedName name="ㅎ러ㅗ엉ㅎ러ㅗㅎㄹㅇ" hidden="1">{#N/A,#N/A,FALSE,"이태원철근"}</definedName>
    <definedName name="ㅎㅀㄹ"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ㅎㅀㄹ"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ㅎㅎ" localSheetId="16" hidden="1">{"'별표'!$N$220"}</definedName>
    <definedName name="ㅎㅎ" hidden="1">{"'별표'!$N$220"}</definedName>
    <definedName name="ㅎㅎㅎ" localSheetId="6" hidden="1">{#N/A,#N/A,FALSE,"이태원철근"}</definedName>
    <definedName name="ㅎㅎㅎㅇ"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ㅎㅎㅎㅎ" localSheetId="16" hidden="1">{#N/A,#N/A,FALSE,"BS";#N/A,#N/A,FALSE,"PL";#N/A,#N/A,FALSE,"처분";#N/A,#N/A,FALSE,"현금";#N/A,#N/A,FALSE,"매출";#N/A,#N/A,FALSE,"원가";#N/A,#N/A,FALSE,"경영"}</definedName>
    <definedName name="ㅎㅎㅎㅎ" hidden="1">{#N/A,#N/A,FALSE,"BS";#N/A,#N/A,FALSE,"PL";#N/A,#N/A,FALSE,"처분";#N/A,#N/A,FALSE,"현금";#N/A,#N/A,FALSE,"매출";#N/A,#N/A,FALSE,"원가";#N/A,#N/A,FALSE,"경영"}</definedName>
    <definedName name="하도사"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도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독급대비1" localSheetId="4" hidden="1">#REF!</definedName>
    <definedName name="하독급대비1" localSheetId="16" hidden="1">#REF!</definedName>
    <definedName name="하독급대비1" hidden="1">#REF!</definedName>
    <definedName name="하동사"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동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반기차입금계획"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하반기차입금계획" hidden="1">{#N/A,#N/A,FALSE,"손익표지";#N/A,#N/A,FALSE,"손익계산";#N/A,#N/A,FALSE,"일반관리비";#N/A,#N/A,FALSE,"영업외수익";#N/A,#N/A,FALSE,"영업외비용";#N/A,#N/A,FALSE,"매출액";#N/A,#N/A,FALSE,"요약손익";#N/A,#N/A,FALSE,"요약대차";#N/A,#N/A,FALSE,"매출채권현황";#N/A,#N/A,FALSE,"매출채권명세"}</definedName>
    <definedName name="하수도" localSheetId="16" hidden="1">{#N/A,#N/A,FALSE,"PART-1234-8-12-9(41)";#N/A,#N/A,FALSE,"PARTS-2(3)";#N/A,#N/A,FALSE,"VAN SYSTEM";#N/A,#N/A,FALSE,"PARTS-10(26)";#N/A,#N/A,FALSE,"PART-5-6-7-11(14)";#N/A,#N/A,FALSE,"PARTS-4(3)";#N/A,#N/A,FALSE,"PCLASS"}</definedName>
    <definedName name="하수도" hidden="1">{#N/A,#N/A,FALSE,"PART-1234-8-12-9(41)";#N/A,#N/A,FALSE,"PARTS-2(3)";#N/A,#N/A,FALSE,"VAN SYSTEM";#N/A,#N/A,FALSE,"PARTS-10(26)";#N/A,#N/A,FALSE,"PART-5-6-7-11(14)";#N/A,#N/A,FALSE,"PARTS-4(3)";#N/A,#N/A,FALSE,"PCLASS"}</definedName>
    <definedName name="하수도2"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수도2"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하이얀" localSheetId="16" hidden="1">{#N/A,#N/A,FALSE,"이태원철근"}</definedName>
    <definedName name="하이얀" hidden="1">{#N/A,#N/A,FALSE,"이태원철근"}</definedName>
    <definedName name="하이이" localSheetId="16" hidden="1">{#N/A,#N/A,FALSE,"이태원철근"}</definedName>
    <definedName name="하이이" hidden="1">{#N/A,#N/A,FALSE,"이태원철근"}</definedName>
    <definedName name="한" localSheetId="6" hidden="1">{#N/A,#N/A,FALSE,"조골재"}</definedName>
    <definedName name="한" localSheetId="3" hidden="1">#REF!</definedName>
    <definedName name="한" localSheetId="4" hidden="1">#REF!</definedName>
    <definedName name="한" localSheetId="5" hidden="1">#REF!</definedName>
    <definedName name="한" localSheetId="16" hidden="1">#REF!</definedName>
    <definedName name="한" localSheetId="0" hidden="1">#REF!</definedName>
    <definedName name="한" hidden="1">#REF!</definedName>
    <definedName name="한동" localSheetId="16" hidden="1">{#N/A,#N/A,FALSE,"단가표지"}</definedName>
    <definedName name="한동" hidden="1">{#N/A,#N/A,FALSE,"단가표지"}</definedName>
    <definedName name="함"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함"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해외특수" localSheetId="16"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해외특수" hidden="1">{#N/A,#N/A,FALSE,"일반적사항";#N/A,#N/A,FALSE,"주요재무자료";#N/A,#N/A,FALSE,"표지";#N/A,#N/A,FALSE,"총괄표";#N/A,#N/A,FALSE,"1호 과표세액";#N/A,#N/A,FALSE,"2호 서식";#N/A,#N/A,FALSE,"2호부표 최저한세";#N/A,#N/A,FALSE,"3(1)호 공제감면";#N/A,#N/A,FALSE,"3(1) 부1 공제감면";#N/A,#N/A,FALSE,"임시특별감면";#N/A,#N/A,FALSE,"3(1)부7 기업합리";#N/A,#N/A,FALSE,"3(3)호(갑) 원천납부";#N/A,#N/A,FALSE,"5호 농어촌";#N/A,#N/A,FALSE,"6호 소득금액";#N/A,#N/A,FALSE,"6호 첨부(익)";#N/A,#N/A,FALSE,"6호 첨부(손)";#N/A,#N/A,FALSE,"재고자산추인";#N/A,#N/A,FALSE,"6-1호 수입금액";#N/A,#N/A,FALSE,"6-2(2)호 중소투자";#N/A,#N/A,FALSE,"6-2(4)호 해외시장";#N/A,#N/A,FALSE,"6-2(12)호 수출손실";#N/A,#N/A,FALSE,"6-3호 퇴충";#N/A,#N/A,FALSE,"6-3(3)호 단퇴";#N/A,#N/A,FALSE,"6-3(4)호 대손";#N/A,#N/A,FALSE,"6-4호 접대(갑)";#N/A,#N/A,FALSE,"6-4호 접대(을)";#N/A,#N/A,FALSE,"6-5호 외화(갑)";#N/A,#N/A,FALSE,"6-5호 외화(을)";#N/A,#N/A,FALSE,"6-6호(부표) 자본적지출";#N/A,#N/A,FALSE,"감가총괄";#N/A,#N/A,FALSE,"6-10호 재고자산";#N/A,#N/A,FALSE,"6-11호 세금과공과";#N/A,#N/A,FALSE,"6-12호 선급비용";#N/A,#N/A,FALSE,"6-13호 기부금";#N/A,#N/A,FALSE,"6-14호 부동산보유";#N/A,#N/A,FALSE,"8호 기부금조정";#N/A,#N/A,FALSE,"9호 자본금(갑)";#N/A,#N/A,FALSE,"9호 자본금(을)";#N/A,#N/A,FALSE,"10(3)호 주요계정";#N/A,#N/A,FALSE,"10(3)호 부표";#N/A,#N/A,FALSE,"10(4)호 조정수입";#N/A,#N/A,FALSE,"10(4)호 소득구분";#N/A,#N/A,FALSE,"12호 중소검토";#N/A,#N/A,FALSE,"14(1)호 갑 주식";#N/A,#N/A,FALSE,"59호 해외특수";#N/A,#N/A,FALSE,"요약 BS";#N/A,#N/A,FALSE,"요약 PL";#N/A,#N/A,FALSE,"요약원가";#N/A,#N/A,FALSE,"요약RE"}</definedName>
    <definedName name="허ㅗ혀ㅛㅎ효ㅕ호호" localSheetId="16" hidden="1">{#N/A,#N/A,FALSE,"이태원철근"}</definedName>
    <definedName name="허ㅗ혀ㅛㅎ효ㅕ호호" hidden="1">{#N/A,#N/A,FALSE,"이태원철근"}</definedName>
    <definedName name="허ㅗ혛" localSheetId="16" hidden="1">{#N/A,#N/A,FALSE,"이태원철근"}</definedName>
    <definedName name="허ㅗ혛" hidden="1">{#N/A,#N/A,FALSE,"이태원철근"}</definedName>
    <definedName name="헣" localSheetId="16" hidden="1">{#N/A,#N/A,FALSE,"이태원철근"}</definedName>
    <definedName name="헣" hidden="1">{#N/A,#N/A,FALSE,"이태원철근"}</definedName>
    <definedName name="혀ㅛㅅ6ㅛ" localSheetId="16" hidden="1">{#N/A,#N/A,FALSE,"이태원철근"}</definedName>
    <definedName name="혀ㅛㅅ6ㅛ" hidden="1">{#N/A,#N/A,FALSE,"이태원철근"}</definedName>
    <definedName name="현"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현"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현대코아공통비" localSheetId="4" hidden="1">#REF!</definedName>
    <definedName name="현대코아공통비" localSheetId="16" hidden="1">#REF!</definedName>
    <definedName name="현대코아공통비" hidden="1">#REF!</definedName>
    <definedName name="현작성조서" localSheetId="16" hidden="1">{#N/A,#N/A,FALSE,"BS";#N/A,#N/A,FALSE,"PL";#N/A,#N/A,FALSE,"처분";#N/A,#N/A,FALSE,"현금";#N/A,#N/A,FALSE,"매출";#N/A,#N/A,FALSE,"원가";#N/A,#N/A,FALSE,"경영"}</definedName>
    <definedName name="현작성조서" hidden="1">{#N/A,#N/A,FALSE,"BS";#N/A,#N/A,FALSE,"PL";#N/A,#N/A,FALSE,"처분";#N/A,#N/A,FALSE,"현금";#N/A,#N/A,FALSE,"매출";#N/A,#N/A,FALSE,"원가";#N/A,#N/A,FALSE,"경영"}</definedName>
    <definedName name="현장" hidden="1">'[68]BREAKDOWN(철거설치)'!$CH$24</definedName>
    <definedName name="현장주변사진" localSheetId="16" hidden="1">{#N/A,#N/A,FALSE,"이태원철근"}</definedName>
    <definedName name="현장주변사진" hidden="1">{#N/A,#N/A,FALSE,"이태원철근"}</definedName>
    <definedName name="협의1" localSheetId="4" hidden="1">[4]방배2E!#REF!</definedName>
    <definedName name="협의1" localSheetId="16" hidden="1">[4]방배2E!#REF!</definedName>
    <definedName name="협의1" hidden="1">[4]방배2E!#REF!</definedName>
    <definedName name="협조전" localSheetId="4" hidden="1">#REF!</definedName>
    <definedName name="협조전" localSheetId="16" hidden="1">#REF!</definedName>
    <definedName name="협조전" hidden="1">#REF!</definedName>
    <definedName name="호"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호"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호렬롤숄" localSheetId="16" hidden="1">{#N/A,#N/A,FALSE,"이태원철근"}</definedName>
    <definedName name="호렬롤숄" hidden="1">{#N/A,#N/A,FALSE,"이태원철근"}</definedName>
    <definedName name="호ㅎ"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호ㅎ"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호호혀ㅛ혀ㅛ" localSheetId="16" hidden="1">{#N/A,#N/A,FALSE,"이태원철근"}</definedName>
    <definedName name="호호혀ㅛ혀ㅛ" hidden="1">{#N/A,#N/A,FALSE,"이태원철근"}</definedName>
    <definedName name="호ㅓ" localSheetId="4" hidden="1">#REF!</definedName>
    <definedName name="호ㅓ" localSheetId="16" hidden="1">#REF!</definedName>
    <definedName name="호ㅓ" hidden="1">#REF!</definedName>
    <definedName name="호ㅓㅎ"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호ㅓㅎ" hidden="1">{#N/A,#N/A,FALSE,"손익표지";#N/A,#N/A,FALSE,"손익계산";#N/A,#N/A,FALSE,"일반관리비";#N/A,#N/A,FALSE,"영업외수익";#N/A,#N/A,FALSE,"영업외비용";#N/A,#N/A,FALSE,"매출액";#N/A,#N/A,FALSE,"요약손익";#N/A,#N/A,FALSE,"요약대차";#N/A,#N/A,FALSE,"매출채권현황";#N/A,#N/A,FALSE,"매출채권명세"}</definedName>
    <definedName name="호ㅓ호ㅓ"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호ㅓ호ㅓ" hidden="1">{#N/A,#N/A,FALSE,"손익표지";#N/A,#N/A,FALSE,"손익계산";#N/A,#N/A,FALSE,"일반관리비";#N/A,#N/A,FALSE,"영업외수익";#N/A,#N/A,FALSE,"영업외비용";#N/A,#N/A,FALSE,"매출액";#N/A,#N/A,FALSE,"요약손익";#N/A,#N/A,FALSE,"요약대차";#N/A,#N/A,FALSE,"매출채권현황";#N/A,#N/A,FALSE,"매출채권명세"}</definedName>
    <definedName name="호ㅓㅏ호"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호ㅓㅏ호" hidden="1">{#N/A,#N/A,FALSE,"손익표지";#N/A,#N/A,FALSE,"손익계산";#N/A,#N/A,FALSE,"일반관리비";#N/A,#N/A,FALSE,"영업외수익";#N/A,#N/A,FALSE,"영업외비용";#N/A,#N/A,FALSE,"매출액";#N/A,#N/A,FALSE,"요약손익";#N/A,#N/A,FALSE,"요약대차";#N/A,#N/A,FALSE,"매출채권현황";#N/A,#N/A,FALSE,"매출채권명세"}</definedName>
    <definedName name="홀엄ㄴㄱ" localSheetId="16" hidden="1">{#N/A,#N/A,FALSE,"2~8번"}</definedName>
    <definedName name="홀엄ㄴㄱ" hidden="1">{#N/A,#N/A,FALSE,"2~8번"}</definedName>
    <definedName name="홍범표" localSheetId="16" hidden="1">{#N/A,#N/A,FALSE,"이태원철근"}</definedName>
    <definedName name="홍범표" hidden="1">{#N/A,#N/A,FALSE,"이태원철근"}</definedName>
    <definedName name="홍성태"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홍성태" hidden="1">{#N/A,#N/A,FALSE,"손익표지";#N/A,#N/A,FALSE,"손익계산";#N/A,#N/A,FALSE,"일반관리비";#N/A,#N/A,FALSE,"영업외수익";#N/A,#N/A,FALSE,"영업외비용";#N/A,#N/A,FALSE,"매출액";#N/A,#N/A,FALSE,"요약손익";#N/A,#N/A,FALSE,"요약대차";#N/A,#N/A,FALSE,"매출채권현황";#N/A,#N/A,FALSE,"매출채권명세"}</definedName>
    <definedName name="화ㅓㅗ허ㅏㅎ" localSheetId="16" hidden="1">{#N/A,#N/A,FALSE,"이태원철근"}</definedName>
    <definedName name="화ㅓㅗ허ㅏㅎ" hidden="1">{#N/A,#N/A,FALSE,"이태원철근"}</definedName>
    <definedName name="확" localSheetId="4" hidden="1">[69]상가지급현황!#REF!</definedName>
    <definedName name="확" localSheetId="16" hidden="1">[69]상가지급현황!#REF!</definedName>
    <definedName name="확" hidden="1">[69]상가지급현황!#REF!</definedName>
    <definedName name="회현" localSheetId="16" hidden="1">{#N/A,#N/A,FALSE,"손익표지";#N/A,#N/A,FALSE,"손익계산";#N/A,#N/A,FALSE,"일반관리비";#N/A,#N/A,FALSE,"영업외수익";#N/A,#N/A,FALSE,"영업외비용";#N/A,#N/A,FALSE,"매출액";#N/A,#N/A,FALSE,"요약손익";#N/A,#N/A,FALSE,"요약대차";#N/A,#N/A,FALSE,"매출채권현황";#N/A,#N/A,FALSE,"매출채권명세"}</definedName>
    <definedName name="회현" hidden="1">{#N/A,#N/A,FALSE,"손익표지";#N/A,#N/A,FALSE,"손익계산";#N/A,#N/A,FALSE,"일반관리비";#N/A,#N/A,FALSE,"영업외수익";#N/A,#N/A,FALSE,"영업외비용";#N/A,#N/A,FALSE,"매출액";#N/A,#N/A,FALSE,"요약손익";#N/A,#N/A,FALSE,"요약대차";#N/A,#N/A,FALSE,"매출채권현황";#N/A,#N/A,FALSE,"매출채권명세"}</definedName>
    <definedName name="효석" localSheetId="16" hidden="1">{"'Firr(선)'!$AS$1:$AY$62","'Firr(사)'!$AS$1:$AY$62","'Firr(회)'!$AS$1:$AY$62","'Firr(선)'!$L$1:$V$62","'Firr(사)'!$L$1:$V$62","'Firr(회)'!$L$1:$V$62"}</definedName>
    <definedName name="효석" hidden="1">{"'Firr(선)'!$AS$1:$AY$62","'Firr(사)'!$AS$1:$AY$62","'Firr(회)'!$AS$1:$AY$62","'Firr(선)'!$L$1:$V$62","'Firr(사)'!$L$1:$V$62","'Firr(회)'!$L$1:$V$62"}</definedName>
    <definedName name="후순위대출">'사업수지표 '!$R$46:$R$47</definedName>
    <definedName name="흐름" localSheetId="16" hidden="1">{#N/A,#N/A,FALSE,"BS";#N/A,#N/A,FALSE,"PL";#N/A,#N/A,FALSE,"처분";#N/A,#N/A,FALSE,"현금";#N/A,#N/A,FALSE,"매출";#N/A,#N/A,FALSE,"원가";#N/A,#N/A,FALSE,"경영"}</definedName>
    <definedName name="흐름" hidden="1">{#N/A,#N/A,FALSE,"BS";#N/A,#N/A,FALSE,"PL";#N/A,#N/A,FALSE,"처분";#N/A,#N/A,FALSE,"현금";#N/A,#N/A,FALSE,"매출";#N/A,#N/A,FALSE,"원가";#N/A,#N/A,FALSE,"경영"}</definedName>
    <definedName name="ㅏ" localSheetId="16" hidden="1">{#N/A,#N/A,FALSE,"이태원철근"}</definedName>
    <definedName name="ㅏ" hidden="1">{#N/A,#N/A,FALSE,"이태원철근"}</definedName>
    <definedName name="ㅏㅏㅏ" localSheetId="4" hidden="1">#REF!</definedName>
    <definedName name="ㅏㅏㅏ" localSheetId="16" hidden="1">#REF!</definedName>
    <definedName name="ㅏㅏㅏ" hidden="1">#REF!</definedName>
    <definedName name="ㅏㅏㅏ갸"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갸"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ㅏ데"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ㅏㅣ"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ㅏㅓㅏㅓㅣ" localSheetId="16" hidden="1">{#N/A,#N/A,FALSE,"이태원철근"}</definedName>
    <definedName name="ㅏㅓㅏㅓㅣ" hidden="1">{#N/A,#N/A,FALSE,"이태원철근"}</definedName>
    <definedName name="ㅏㅓㅣㅏㅓㅣㅏㅓㅣ" localSheetId="16" hidden="1">{#N/A,#N/A,FALSE,"이태원철근"}</definedName>
    <definedName name="ㅏㅓㅣㅏㅓㅣㅏㅓㅣ" hidden="1">{#N/A,#N/A,FALSE,"이태원철근"}</definedName>
    <definedName name="ㅏㅓㅣㅏㅓㅣㅏㅓㅣㅓ" localSheetId="16" hidden="1">{#N/A,#N/A,FALSE,"이태원철근"}</definedName>
    <definedName name="ㅏㅓㅣㅏㅓㅣㅏㅓㅣㅓ" hidden="1">{#N/A,#N/A,FALSE,"이태원철근"}</definedName>
    <definedName name="ㅏㅓㅣㅓㅏㅏㅏㅓ" localSheetId="16" hidden="1">{#N/A,#N/A,FALSE,"이태원철근"}</definedName>
    <definedName name="ㅏㅓㅣㅓㅏㅏㅏㅓ" hidden="1">{#N/A,#N/A,FALSE,"이태원철근"}</definedName>
    <definedName name="ㅏㅣㅓㅏㅣㅓㅏㅣ" localSheetId="16" hidden="1">{#N/A,#N/A,FALSE,"이태원철근"}</definedName>
    <definedName name="ㅏㅣㅓㅏㅣㅓㅏㅣ" hidden="1">{#N/A,#N/A,FALSE,"이태원철근"}</definedName>
    <definedName name="ㅐ" localSheetId="16" hidden="1">{#N/A,#N/A,FALSE,"이태원철근"}</definedName>
    <definedName name="ㅐ" hidden="1">{#N/A,#N/A,FALSE,"이태원철근"}</definedName>
    <definedName name="ㅐㅐㅐ" localSheetId="16" hidden="1">{#N/A,#N/A,FALSE,"지침";#N/A,#N/A,FALSE,"환경분석";#N/A,#N/A,FALSE,"Sheet16"}</definedName>
    <definedName name="ㅐㅐㅐ" hidden="1">{#N/A,#N/A,FALSE,"지침";#N/A,#N/A,FALSE,"환경분석";#N/A,#N/A,FALSE,"Sheet16"}</definedName>
    <definedName name="ㅐㅑㅛㅅ"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ㅐㅑㅛㅅ"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ㅑ"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ㅑㅑㅑ"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ㅑㅑㅑ"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 localSheetId="16" hidden="1">{#N/A,#N/A,FALSE,"이태원철근"}</definedName>
    <definedName name="ㅓ" hidden="1">{#N/A,#N/A,FALSE,"이태원철근"}</definedName>
    <definedName name="ㅓ7" localSheetId="16" hidden="1">{#N/A,#N/A,FALSE,"단가표지"}</definedName>
    <definedName name="ㅓ7" hidden="1">{#N/A,#N/A,FALSE,"단가표지"}</definedName>
    <definedName name="ㅓㄱㄹ" localSheetId="16" hidden="1">{#N/A,#N/A,FALSE,"2~8번"}</definedName>
    <definedName name="ㅓㄱㄹ" hidden="1">{#N/A,#N/A,FALSE,"2~8번"}</definedName>
    <definedName name="ㅓㄴㅇ러" localSheetId="16" hidden="1">{#N/A,#N/A,FALSE,"골재소요량";#N/A,#N/A,FALSE,"골재소요량"}</definedName>
    <definedName name="ㅓㄴㅇ러" hidden="1">{#N/A,#N/A,FALSE,"골재소요량";#N/A,#N/A,FALSE,"골재소요량"}</definedName>
    <definedName name="ㅓ난"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난"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ㅎ호ㅘㅓㅓㅏㅗ" localSheetId="16" hidden="1">{#N/A,#N/A,FALSE,"이태원철근"}</definedName>
    <definedName name="ㅓㅎ호ㅘㅓㅓㅏㅗ" hidden="1">{#N/A,#N/A,FALSE,"이태원철근"}</definedName>
    <definedName name="ㅓㅏ어아럼ㄴ알" localSheetId="16" hidden="1">{#N/A,#N/A,FALSE,"이태원철근"}</definedName>
    <definedName name="ㅓㅏ어아럼ㄴ알" hidden="1">{#N/A,#N/A,FALSE,"이태원철근"}</definedName>
    <definedName name="ㅓㅏㅣㅓㅣㅓㅣㅓㅏ" localSheetId="16" hidden="1">{#N/A,#N/A,FALSE,"이태원철근"}</definedName>
    <definedName name="ㅓㅏㅣㅓㅣㅓㅣㅓㅏ" hidden="1">{#N/A,#N/A,FALSE,"이태원철근"}</definedName>
    <definedName name="ㅓㅓ"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ㅏ니ㅣㅇ"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ㅓ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ㅓㅗㅎ" localSheetId="16" hidden="1">{#N/A,#N/A,FALSE,"이태원철근"}</definedName>
    <definedName name="ㅓㅗㅎ" hidden="1">{#N/A,#N/A,FALSE,"이태원철근"}</definedName>
    <definedName name="ㅓㅗㅓㅗㅓㅗ" hidden="1">[70]A1!$F$45</definedName>
    <definedName name="ㅓㅛ" localSheetId="4" hidden="1">#REF!</definedName>
    <definedName name="ㅓㅛ" localSheetId="16" hidden="1">#REF!</definedName>
    <definedName name="ㅓㅛ" hidden="1">#REF!</definedName>
    <definedName name="ㅓㅛ서ㅛ서ㅑ쇼ㅕ" localSheetId="16" hidden="1">{#N/A,#N/A,FALSE,"이태원철근"}</definedName>
    <definedName name="ㅓㅛ서ㅛ서ㅑ쇼ㅕ" hidden="1">{#N/A,#N/A,FALSE,"이태원철근"}</definedName>
    <definedName name="ㅔ" localSheetId="16" hidden="1">{#N/A,#N/A,FALSE,"이태원철근"}</definedName>
    <definedName name="ㅔ" hidden="1">{#N/A,#N/A,FALSE,"이태원철근"}</definedName>
    <definedName name="ㅔ3" localSheetId="16" hidden="1">{#N/A,#N/A,FALSE,"배수1"}</definedName>
    <definedName name="ㅔ3" hidden="1">{#N/A,#N/A,FALSE,"배수1"}</definedName>
    <definedName name="ㅔㅐㅑㅕ" localSheetId="4" hidden="1">#REF!</definedName>
    <definedName name="ㅔㅐㅑㅕ" localSheetId="16" hidden="1">#REF!</definedName>
    <definedName name="ㅔㅐㅑㅕ" hidden="1">#REF!</definedName>
    <definedName name="ㅔㅔㅔㅔㅔㅔㅔㅔㅔㅔㅔㅔㅔㅔ" localSheetId="16" hidden="1">{#N/A,#N/A,FALSE,"이태원철근"}</definedName>
    <definedName name="ㅔㅔㅔㅔㅔㅔㅔㅔㅔㅔㅔㅔㅔㅔ" hidden="1">{#N/A,#N/A,FALSE,"이태원철근"}</definedName>
    <definedName name="ㅕ" localSheetId="16" hidden="1">{#N/A,#N/A,FALSE,"BS";#N/A,#N/A,FALSE,"PL";#N/A,#N/A,FALSE,"처분";#N/A,#N/A,FALSE,"현금";#N/A,#N/A,FALSE,"매출";#N/A,#N/A,FALSE,"원가";#N/A,#N/A,FALSE,"경영"}</definedName>
    <definedName name="ㅕ" hidden="1">{#N/A,#N/A,FALSE,"BS";#N/A,#N/A,FALSE,"PL";#N/A,#N/A,FALSE,"처분";#N/A,#N/A,FALSE,"현금";#N/A,#N/A,FALSE,"매출";#N/A,#N/A,FALSE,"원가";#N/A,#N/A,FALSE,"경영"}</definedName>
    <definedName name="ㅕ겨겨"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겨겨"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ㅕㅑ" localSheetId="16" hidden="1">{#N/A,#N/A,FALSE,"이태원철근"}</definedName>
    <definedName name="ㅕㅑ" hidden="1">{#N/A,#N/A,FALSE,"이태원철근"}</definedName>
    <definedName name="ㅕㅑㅐㅕㅑ" localSheetId="16" hidden="1">{#N/A,#N/A,FALSE,"이태원철근"}</definedName>
    <definedName name="ㅕㅑㅐㅕㅑ" hidden="1">{#N/A,#N/A,FALSE,"이태원철근"}</definedName>
    <definedName name="ㅕㅑㅐㅕㅑㅐ" localSheetId="16" hidden="1">{#N/A,#N/A,FALSE,"이태원철근"}</definedName>
    <definedName name="ㅕㅑㅐㅕㅑㅐ" hidden="1">{#N/A,#N/A,FALSE,"이태원철근"}</definedName>
    <definedName name="ㅕㅑㅜㅐㅑ" localSheetId="16" hidden="1">{#N/A,#N/A,FALSE,"이태원철근"}</definedName>
    <definedName name="ㅕㅑㅜㅐㅑ" hidden="1">{#N/A,#N/A,FALSE,"이태원철근"}</definedName>
    <definedName name="ㅗ" localSheetId="16" hidden="1">{#N/A,#N/A,FALSE,"이태원철근"}</definedName>
    <definedName name="ㅗ" hidden="1">{#N/A,#N/A,FALSE,"이태원철근"}</definedName>
    <definedName name="ㅗㄷㅇㄴ" localSheetId="16" hidden="1">{#N/A,#N/A,FALSE,"혼합골재"}</definedName>
    <definedName name="ㅗㄷㅇㄴ" hidden="1">{#N/A,#N/A,FALSE,"혼합골재"}</definedName>
    <definedName name="ㅗㄹ호홓로" localSheetId="4" hidden="1">#REF!</definedName>
    <definedName name="ㅗㄹ호홓로" localSheetId="16" hidden="1">#REF!</definedName>
    <definedName name="ㅗㄹ호홓로" hidden="1">#REF!</definedName>
    <definedName name="ㅗㅀㅅㄹ호" localSheetId="16" hidden="1">{#N/A,#N/A,FALSE,"이태원철근"}</definedName>
    <definedName name="ㅗㅀㅅㄹ호" hidden="1">{#N/A,#N/A,FALSE,"이태원철근"}</definedName>
    <definedName name="ㅗ마ㅓ리"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마ㅓ리"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촤여" localSheetId="16" hidden="1">{#N/A,#N/A,FALSE,"이태원철근"}</definedName>
    <definedName name="ㅗ촤여" hidden="1">{#N/A,#N/A,FALSE,"이태원철근"}</definedName>
    <definedName name="ㅗㅎ러ㅗㅎ럴호" localSheetId="16" hidden="1">{#N/A,#N/A,FALSE,"이태원철근"}</definedName>
    <definedName name="ㅗㅎ러ㅗㅎ럴호" hidden="1">{#N/A,#N/A,FALSE,"이태원철근"}</definedName>
    <definedName name="ㅗㅎ렿료ㅕ셧" localSheetId="16" hidden="1">{#N/A,#N/A,FALSE,"이태원철근"}</definedName>
    <definedName name="ㅗㅎ렿료ㅕ셧" hidden="1">{#N/A,#N/A,FALSE,"이태원철근"}</definedName>
    <definedName name="ㅗㅎㅎ호ㅗ퓨ㅗㅎㅎ" localSheetId="16" hidden="1">{#N/A,#N/A,FALSE,"이태원철근"}</definedName>
    <definedName name="ㅗㅎㅎ호ㅗ퓨ㅗㅎㅎ" hidden="1">{#N/A,#N/A,FALSE,"이태원철근"}</definedName>
    <definedName name="ㅗ허호ㅓ" localSheetId="16" hidden="1">{#N/A,#N/A,FALSE,"손익표지";#N/A,#N/A,FALSE,"손익계산";#N/A,#N/A,FALSE,"일반관리비";#N/A,#N/A,FALSE,"영업외수익";#N/A,#N/A,FALSE,"영업외비용";#N/A,#N/A,FALSE,"매출액";#N/A,#N/A,FALSE,"요약손익";#N/A,#N/A,FALSE,"요약대차";#N/A,#N/A,FALSE,"매출채권현황";#N/A,#N/A,FALSE,"매출채권명세"}</definedName>
    <definedName name="ㅗ허호ㅓ" hidden="1">{#N/A,#N/A,FALSE,"손익표지";#N/A,#N/A,FALSE,"손익계산";#N/A,#N/A,FALSE,"일반관리비";#N/A,#N/A,FALSE,"영업외수익";#N/A,#N/A,FALSE,"영업외비용";#N/A,#N/A,FALSE,"매출액";#N/A,#N/A,FALSE,"요약손익";#N/A,#N/A,FALSE,"요약대차";#N/A,#N/A,FALSE,"매출채권현황";#N/A,#N/A,FALSE,"매출채권명세"}</definedName>
    <definedName name="ㅗㅓㅏㅗㅕㅗㅑㅕ" localSheetId="16" hidden="1">{#N/A,#N/A,FALSE,"이태원철근"}</definedName>
    <definedName name="ㅗㅓㅏㅗㅕㅗㅑㅕ" hidden="1">{#N/A,#N/A,FALSE,"이태원철근"}</definedName>
    <definedName name="ㅗㅓㅏㅣㅗㅓㅏㅣ" localSheetId="16" hidden="1">{#N/A,#N/A,FALSE,"이태원철근"}</definedName>
    <definedName name="ㅗㅓㅏㅣㅗㅓㅏㅣ" hidden="1">{#N/A,#N/A,FALSE,"이태원철근"}</definedName>
    <definedName name="ㅗㅗ" localSheetId="16"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ㅗㅗ" hidden="1">{#N/A,#N/A,TRUE,"1.경영비젼";#N/A,#N/A,TRUE,"2.환경분석";#N/A,#N/A,TRUE,"3.경영목표";#N/A,#N/A,TRUE,"4.중점추진";#N/A,#N/A,TRUE,"5.경영목표";#N/A,#N/A,TRUE,"6.경영계획";#N/A,#N/A,TRUE,"7.매출계획";#N/A,#N/A,TRUE,"8.손익계획";#N/A,#N/A,TRUE,"11.인원계획";#N/A,#N/A,TRUE,"12.변경현황";#N/A,#N/A,TRUE,"표지";#N/A,#N/A,TRUE,"목차";#N/A,#N/A,TRUE,"수립과정 "}</definedName>
    <definedName name="ㅗㅗㅗ"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ㅗㅗㅗ"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 localSheetId="16" hidden="1">{#N/A,#N/A,FALSE,"이태원철근"}</definedName>
    <definedName name="ㅛ" hidden="1">{#N/A,#N/A,FALSE,"이태원철근"}</definedName>
    <definedName name="ㅛ셔쇼려ㅛ셔" localSheetId="16" hidden="1">{#N/A,#N/A,FALSE,"이태원철근"}</definedName>
    <definedName name="ㅛ셔쇼려ㅛ셔" hidden="1">{#N/A,#N/A,FALSE,"이태원철근"}</definedName>
    <definedName name="ㅛ셔ㅛ셔ㅛ쇼ㅕ" localSheetId="16" hidden="1">{#N/A,#N/A,FALSE,"이태원철근"}</definedName>
    <definedName name="ㅛ셔ㅛ셔ㅛ쇼ㅕ" hidden="1">{#N/A,#N/A,FALSE,"이태원철근"}</definedName>
    <definedName name="ㅛㅛㅛ"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ㅛㅛㅛ"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ㅜ" localSheetId="6" hidden="1">{#N/A,#N/A,FALSE,"조골재"}</definedName>
    <definedName name="ㅜㅂㅂㅂㅂㅂㅂ" localSheetId="16" hidden="1">{#N/A,#N/A,FALSE,"이태원철근"}</definedName>
    <definedName name="ㅜㅂㅂㅂㅂㅂㅂ" hidden="1">{#N/A,#N/A,FALSE,"이태원철근"}</definedName>
    <definedName name="ㅜㅂㅂㅂㅂㅂㅂㅂㅂㅂㅂㅂ" localSheetId="16" hidden="1">{#N/A,#N/A,FALSE,"이태원철근"}</definedName>
    <definedName name="ㅜㅂㅂㅂㅂㅂㅂㅂㅂㅂㅂㅂ" hidden="1">{#N/A,#N/A,FALSE,"이태원철근"}</definedName>
    <definedName name="ㅜㅍ츄ㅜㅠㅍ춫ㅍ" localSheetId="16" hidden="1">{#N/A,#N/A,FALSE,"이태원철근"}</definedName>
    <definedName name="ㅜㅍ츄ㅜㅠㅍ춫ㅍ" hidden="1">{#N/A,#N/A,FALSE,"이태원철근"}</definedName>
    <definedName name="ㅝㄱㅇ너" localSheetId="16" hidden="1">{#N/A,#N/A,FALSE,"골재소요량";#N/A,#N/A,FALSE,"골재소요량"}</definedName>
    <definedName name="ㅝㄱㅇ너" hidden="1">{#N/A,#N/A,FALSE,"골재소요량";#N/A,#N/A,FALSE,"골재소요량"}</definedName>
    <definedName name="ㅠ" localSheetId="16" hidden="1">{#N/A,#N/A,FALSE,"이태원철근"}</definedName>
    <definedName name="ㅠ" hidden="1">{#N/A,#N/A,FALSE,"이태원철근"}</definedName>
    <definedName name="ㅠ뮤ㅐ" localSheetId="4" hidden="1">#REF!</definedName>
    <definedName name="ㅠ뮤ㅐ" localSheetId="16" hidden="1">#REF!</definedName>
    <definedName name="ㅠ뮤ㅐ" hidden="1">#REF!</definedName>
    <definedName name="ㅠㅍ" localSheetId="16"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ㅠㅍ" hidden="1">{#N/A,#N/A,FALSE,"하중 계산 (1)";#N/A,#N/A,FALSE,"토압계수계산";#N/A,#N/A,FALSE,"횡토압계산";#N/A,#N/A,FALSE,"전도에 대한 안정";#N/A,#N/A,FALSE,"활동에 대한 안정";#N/A,#N/A,FALSE,"지지력 검토";#N/A,#N/A,FALSE,"PILE 계산";#N/A,#N/A,FALSE,"PILE계산결과";#N/A,#N/A,FALSE,"PILE검토";#N/A,#N/A,FALSE,"벽체의 설계"}</definedName>
    <definedName name="ㅠㅎㅇㅈ" localSheetId="16" hidden="1">{#N/A,#N/A,FALSE,"2~8번"}</definedName>
    <definedName name="ㅠㅎㅇㅈ" hidden="1">{#N/A,#N/A,FALSE,"2~8번"}</definedName>
    <definedName name="ㅠㅗㅠ" localSheetId="16" hidden="1">{#N/A,#N/A,FALSE,"골재소요량";#N/A,#N/A,FALSE,"골재소요량"}</definedName>
    <definedName name="ㅠㅗㅠ" hidden="1">{#N/A,#N/A,FALSE,"골재소요량";#N/A,#N/A,FALSE,"골재소요량"}</definedName>
    <definedName name="ㅠㅠㅠ" localSheetId="16" hidden="1">{#N/A,#N/A,FALSE,"동부"}</definedName>
    <definedName name="ㅠㅠㅠ" hidden="1">{#N/A,#N/A,FALSE,"동부"}</definedName>
    <definedName name="ㅡ" localSheetId="16" hidden="1">{#N/A,#N/A,FALSE,"이태원철근"}</definedName>
    <definedName name="ㅡ" hidden="1">{#N/A,#N/A,FALSE,"이태원철근"}</definedName>
    <definedName name="ㅡㅡㅡ" localSheetId="16" hidden="1">{#N/A,#N/A,FALSE,"지침";#N/A,#N/A,FALSE,"환경분석";#N/A,#N/A,FALSE,"Sheet16"}</definedName>
    <definedName name="ㅡㅡㅡ" hidden="1">{#N/A,#N/A,FALSE,"지침";#N/A,#N/A,FALSE,"환경분석";#N/A,#N/A,FALSE,"Sheet16"}</definedName>
    <definedName name="ㅣ" localSheetId="6" hidden="1">{#N/A,#N/A,FALSE,"PART-1234-8-12-9(41)";#N/A,#N/A,FALSE,"PARTS-2(3)";#N/A,#N/A,FALSE,"VAN SYSTEM";#N/A,#N/A,FALSE,"PARTS-10(26)";#N/A,#N/A,FALSE,"PART-5-6-7-11(14)";#N/A,#N/A,FALSE,"PARTS-4(3)";#N/A,#N/A,FALSE,"PCLASS"}</definedName>
    <definedName name="ㅣㅏ아ㅓㄴ"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아ㅓㄴ"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ㅏㅓ" localSheetId="16" hidden="1">{#N/A,#N/A,FALSE,"운반시간"}</definedName>
    <definedName name="ㅣㅏㅓ" hidden="1">{#N/A,#N/A,FALSE,"운반시간"}</definedName>
    <definedName name="ㅣㅣ" localSheetId="4" hidden="1">#REF!</definedName>
    <definedName name="ㅣㅣ" localSheetId="16" hidden="1">#REF!</definedName>
    <definedName name="ㅣㅣ" hidden="1">#REF!</definedName>
    <definedName name="ㅣㅣㅣ노원문화" localSheetId="16"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노원문화" hidden="1">{#N/A,#N/A,FALSE,"총괄표지";#N/A,#N/A,FALSE,"표지";#N/A,#N/A,FALSE,"총표지";#N/A,#N/A,FALSE,"집계(총괄)";#N/A,#N/A,FALSE,"집계(토목)";#N/A,#N/A,FALSE,"집계 (R.C)";#N/A,#N/A,FALSE,"집계(철골)";#N/A,#N/A,FALSE,"집계(PC)";#N/A,#N/A,FALSE,"지급자재";#N/A,#N/A,FALSE,"RC";#N/A,#N/A,FALSE,"철골";#N/A,#N/A,FALSE,"PC";#N/A,#N/A,FALSE,"PC";#N/A,#N/A,FALSE,"하도급총괄표";#N/A,#N/A,FALSE,"하도급사항";#N/A,#N/A,FALSE,"하도급산출내역별지";#N/A,#N/A,FALSE,"세부표지";#N/A,#N/A,FALSE,"부대입찰에 관한 확약서";#N/A,#N/A,FALSE,"토목"}</definedName>
    <definedName name="ㅣㅣㅣㅣ" localSheetId="16" hidden="1">{#N/A,#N/A,FALSE,"BS";#N/A,#N/A,FALSE,"PL";#N/A,#N/A,FALSE,"처분";#N/A,#N/A,FALSE,"현금";#N/A,#N/A,FALSE,"매출";#N/A,#N/A,FALSE,"원가";#N/A,#N/A,FALSE,"경영"}</definedName>
    <definedName name="ㅣㅣㅣㅣ" hidden="1">{#N/A,#N/A,FALSE,"BS";#N/A,#N/A,FALSE,"PL";#N/A,#N/A,FALSE,"처분";#N/A,#N/A,FALSE,"현금";#N/A,#N/A,FALSE,"매출";#N/A,#N/A,FALSE,"원가";#N/A,#N/A,FALSE,"경영"}</definedName>
  </definedNames>
  <calcPr calcId="191029" iterate="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72" i="25" l="1"/>
  <c r="L63" i="25"/>
  <c r="E25" i="25"/>
  <c r="C24" i="23"/>
  <c r="R48" i="25"/>
  <c r="J77" i="29" l="1"/>
  <c r="K77" i="29"/>
  <c r="L77" i="29"/>
  <c r="M77" i="29"/>
  <c r="N77" i="29"/>
  <c r="O77" i="29"/>
  <c r="P77" i="29"/>
  <c r="Q77" i="29"/>
  <c r="R77" i="29"/>
  <c r="S77" i="29"/>
  <c r="T77" i="29"/>
  <c r="U77" i="29"/>
  <c r="V77" i="29"/>
  <c r="W77" i="29"/>
  <c r="X77" i="29"/>
  <c r="Y77" i="29"/>
  <c r="Z77" i="29"/>
  <c r="AA77" i="29"/>
  <c r="AB77" i="29"/>
  <c r="AC77" i="29"/>
  <c r="AD77" i="29"/>
  <c r="AE77" i="29"/>
  <c r="AF77" i="29"/>
  <c r="AG77" i="29"/>
  <c r="AH77" i="29"/>
  <c r="AI77" i="29"/>
  <c r="AJ77" i="29"/>
  <c r="AK77" i="29"/>
  <c r="AL77" i="29"/>
  <c r="AM77" i="29"/>
  <c r="AN77" i="29"/>
  <c r="AO77" i="29"/>
  <c r="AP77" i="29"/>
  <c r="AQ77" i="29"/>
  <c r="AR77" i="29"/>
  <c r="AS77" i="29"/>
  <c r="AT77" i="29"/>
  <c r="AU77" i="29"/>
  <c r="AV77" i="29"/>
  <c r="AW77" i="29"/>
  <c r="AX77" i="29"/>
  <c r="AY77" i="29"/>
  <c r="AZ77" i="29"/>
  <c r="BA77" i="29"/>
  <c r="BB77" i="29"/>
  <c r="BC77" i="29"/>
  <c r="BD77" i="29"/>
  <c r="BE77" i="29"/>
  <c r="BF77" i="29"/>
  <c r="BG77" i="29"/>
  <c r="BH77" i="29"/>
  <c r="BI77" i="29"/>
  <c r="BJ77" i="29"/>
  <c r="BK77" i="29"/>
  <c r="BL77" i="29"/>
  <c r="BM77" i="29"/>
  <c r="BN77" i="29"/>
  <c r="BO77" i="29"/>
  <c r="BP77" i="29"/>
  <c r="J78" i="29"/>
  <c r="K78" i="29"/>
  <c r="L78" i="29"/>
  <c r="M78" i="29"/>
  <c r="N78" i="29"/>
  <c r="O78" i="29"/>
  <c r="P78" i="29"/>
  <c r="Q78" i="29"/>
  <c r="R78" i="29"/>
  <c r="S78" i="29"/>
  <c r="T78" i="29"/>
  <c r="U78" i="29"/>
  <c r="V78" i="29"/>
  <c r="W78" i="29"/>
  <c r="X78" i="29"/>
  <c r="Y78" i="29"/>
  <c r="Z78" i="29"/>
  <c r="AA78" i="29"/>
  <c r="AB78" i="29"/>
  <c r="AC78" i="29"/>
  <c r="AD78" i="29"/>
  <c r="AE78" i="29"/>
  <c r="AF78" i="29"/>
  <c r="AG78" i="29"/>
  <c r="AH78" i="29"/>
  <c r="AI78" i="29"/>
  <c r="AJ78" i="29"/>
  <c r="AK78" i="29"/>
  <c r="AL78" i="29"/>
  <c r="AM78" i="29"/>
  <c r="AN78" i="29"/>
  <c r="AO78" i="29"/>
  <c r="AP78" i="29"/>
  <c r="AT78" i="29"/>
  <c r="AU78" i="29"/>
  <c r="AV78" i="29"/>
  <c r="AW78" i="29"/>
  <c r="AX78" i="29"/>
  <c r="AY78" i="29"/>
  <c r="AZ78" i="29"/>
  <c r="BA78" i="29"/>
  <c r="BB78" i="29"/>
  <c r="BC78" i="29"/>
  <c r="BD78" i="29"/>
  <c r="BE78" i="29"/>
  <c r="BF78" i="29"/>
  <c r="BG78" i="29"/>
  <c r="BH78" i="29"/>
  <c r="BI78" i="29"/>
  <c r="BJ78" i="29"/>
  <c r="BK78" i="29"/>
  <c r="BL78" i="29"/>
  <c r="BM78" i="29"/>
  <c r="BN78" i="29"/>
  <c r="BO78" i="29"/>
  <c r="BP78" i="29"/>
  <c r="J79" i="29"/>
  <c r="K79" i="29"/>
  <c r="L79" i="29"/>
  <c r="M79" i="29"/>
  <c r="N79" i="29"/>
  <c r="O79" i="29"/>
  <c r="P79" i="29"/>
  <c r="Q79" i="29"/>
  <c r="R79" i="29"/>
  <c r="S79" i="29"/>
  <c r="T79" i="29"/>
  <c r="U79" i="29"/>
  <c r="V79" i="29"/>
  <c r="W79" i="29"/>
  <c r="X79" i="29"/>
  <c r="Y79" i="29"/>
  <c r="Z79" i="29"/>
  <c r="AA79" i="29"/>
  <c r="AB79" i="29"/>
  <c r="AC79" i="29"/>
  <c r="AD79" i="29"/>
  <c r="AE79" i="29"/>
  <c r="AF79" i="29"/>
  <c r="AG79" i="29"/>
  <c r="AH79" i="29"/>
  <c r="AI79" i="29"/>
  <c r="AJ79" i="29"/>
  <c r="AK79" i="29"/>
  <c r="AL79" i="29"/>
  <c r="AM79" i="29"/>
  <c r="AN79" i="29"/>
  <c r="AO79" i="29"/>
  <c r="AP79" i="29"/>
  <c r="AQ79" i="29"/>
  <c r="AR79" i="29"/>
  <c r="AS79" i="29"/>
  <c r="AT79" i="29"/>
  <c r="AU79" i="29"/>
  <c r="AV79" i="29"/>
  <c r="AW79" i="29"/>
  <c r="AX79" i="29"/>
  <c r="AY79" i="29"/>
  <c r="AZ79" i="29"/>
  <c r="BA79" i="29"/>
  <c r="BB79" i="29"/>
  <c r="BC79" i="29"/>
  <c r="BD79" i="29"/>
  <c r="BE79" i="29"/>
  <c r="BF79" i="29"/>
  <c r="BG79" i="29"/>
  <c r="BH79" i="29"/>
  <c r="BI79" i="29"/>
  <c r="BJ79" i="29"/>
  <c r="BK79" i="29"/>
  <c r="BL79" i="29"/>
  <c r="BM79" i="29"/>
  <c r="BN79" i="29"/>
  <c r="BO79" i="29"/>
  <c r="BP79" i="29"/>
  <c r="J80" i="29"/>
  <c r="K80" i="29"/>
  <c r="L80" i="29"/>
  <c r="M80" i="29"/>
  <c r="N80" i="29"/>
  <c r="O80" i="29"/>
  <c r="P80" i="29"/>
  <c r="Q80" i="29"/>
  <c r="R80" i="29"/>
  <c r="S80" i="29"/>
  <c r="T80" i="29"/>
  <c r="U80" i="29"/>
  <c r="V80" i="29"/>
  <c r="W80" i="29"/>
  <c r="X80" i="29"/>
  <c r="Y80" i="29"/>
  <c r="Z80" i="29"/>
  <c r="AA80" i="29"/>
  <c r="AB80" i="29"/>
  <c r="AC80" i="29"/>
  <c r="AD80" i="29"/>
  <c r="AE80" i="29"/>
  <c r="AF80" i="29"/>
  <c r="AG80" i="29"/>
  <c r="AH80" i="29"/>
  <c r="AI80" i="29"/>
  <c r="AJ80" i="29"/>
  <c r="AK80" i="29"/>
  <c r="AL80" i="29"/>
  <c r="AM80" i="29"/>
  <c r="AN80" i="29"/>
  <c r="AO80" i="29"/>
  <c r="AP80" i="29"/>
  <c r="AQ80" i="29"/>
  <c r="AR80" i="29"/>
  <c r="AS80" i="29"/>
  <c r="AT80" i="29"/>
  <c r="AU80" i="29"/>
  <c r="AV80" i="29"/>
  <c r="AW80" i="29"/>
  <c r="AX80" i="29"/>
  <c r="AY80" i="29"/>
  <c r="AZ80" i="29"/>
  <c r="BA80" i="29"/>
  <c r="BB80" i="29"/>
  <c r="BC80" i="29"/>
  <c r="BD80" i="29"/>
  <c r="BE80" i="29"/>
  <c r="BF80" i="29"/>
  <c r="BG80" i="29"/>
  <c r="BH80" i="29"/>
  <c r="BI80" i="29"/>
  <c r="BJ80" i="29"/>
  <c r="BK80" i="29"/>
  <c r="BL80" i="29"/>
  <c r="BM80" i="29"/>
  <c r="BN80" i="29"/>
  <c r="BO80" i="29"/>
  <c r="BP80" i="29"/>
  <c r="J81" i="29"/>
  <c r="K81" i="29"/>
  <c r="L81" i="29"/>
  <c r="M81" i="29"/>
  <c r="N81" i="29"/>
  <c r="O81" i="29"/>
  <c r="P81" i="29"/>
  <c r="Q81" i="29"/>
  <c r="R81" i="29"/>
  <c r="S81" i="29"/>
  <c r="T81" i="29"/>
  <c r="U81" i="29"/>
  <c r="V81" i="29"/>
  <c r="W81" i="29"/>
  <c r="X81" i="29"/>
  <c r="Y81" i="29"/>
  <c r="Z81" i="29"/>
  <c r="AA81" i="29"/>
  <c r="AB81" i="29"/>
  <c r="AC81" i="29"/>
  <c r="AD81" i="29"/>
  <c r="AE81" i="29"/>
  <c r="AF81" i="29"/>
  <c r="AG81" i="29"/>
  <c r="AH81" i="29"/>
  <c r="AI81" i="29"/>
  <c r="AJ81" i="29"/>
  <c r="AK81" i="29"/>
  <c r="AL81" i="29"/>
  <c r="AM81" i="29"/>
  <c r="AN81" i="29"/>
  <c r="AO81" i="29"/>
  <c r="AP81" i="29"/>
  <c r="AQ81" i="29"/>
  <c r="AR81" i="29"/>
  <c r="AS81" i="29"/>
  <c r="AT81" i="29"/>
  <c r="AU81" i="29"/>
  <c r="AV81" i="29"/>
  <c r="AW81" i="29"/>
  <c r="AX81" i="29"/>
  <c r="AY81" i="29"/>
  <c r="AZ81" i="29"/>
  <c r="BA81" i="29"/>
  <c r="BB81" i="29"/>
  <c r="BC81" i="29"/>
  <c r="BD81" i="29"/>
  <c r="BE81" i="29"/>
  <c r="BF81" i="29"/>
  <c r="BG81" i="29"/>
  <c r="BH81" i="29"/>
  <c r="BI81" i="29"/>
  <c r="BJ81" i="29"/>
  <c r="BK81" i="29"/>
  <c r="BL81" i="29"/>
  <c r="BM81" i="29"/>
  <c r="BN81" i="29"/>
  <c r="BO81" i="29"/>
  <c r="BP81" i="29"/>
  <c r="I80" i="29"/>
  <c r="I79" i="29"/>
  <c r="I78" i="29"/>
  <c r="BS29" i="29" l="1"/>
  <c r="BS26" i="29"/>
  <c r="BS23" i="29"/>
  <c r="BS20" i="29"/>
  <c r="BS17" i="29"/>
  <c r="BS14" i="29"/>
  <c r="BS11" i="29"/>
  <c r="BS8" i="29"/>
  <c r="I77" i="29"/>
  <c r="BW78" i="28"/>
  <c r="BV78" i="28"/>
  <c r="M78" i="28"/>
  <c r="L78" i="28"/>
  <c r="K78" i="28"/>
  <c r="J78" i="28"/>
  <c r="BW77" i="28"/>
  <c r="BV77" i="28"/>
  <c r="M77" i="28"/>
  <c r="L77" i="28"/>
  <c r="K77" i="28"/>
  <c r="J77" i="28"/>
  <c r="BW273" i="28" l="1"/>
  <c r="BX273" i="28"/>
  <c r="BV273" i="28"/>
  <c r="BW263" i="28"/>
  <c r="BX263" i="28"/>
  <c r="BV263" i="28"/>
  <c r="BW253" i="28"/>
  <c r="BX253" i="28"/>
  <c r="BV253" i="28"/>
  <c r="BW243" i="28"/>
  <c r="BX243" i="28"/>
  <c r="BV243" i="28"/>
  <c r="BW233" i="28"/>
  <c r="BX233" i="28"/>
  <c r="BV233" i="28"/>
  <c r="BW223" i="28"/>
  <c r="BX223" i="28"/>
  <c r="BV223" i="28"/>
  <c r="BW213" i="28"/>
  <c r="BX213" i="28"/>
  <c r="BV213" i="28"/>
  <c r="BW203" i="28"/>
  <c r="BX203" i="28"/>
  <c r="BV203" i="28"/>
  <c r="BW193" i="28"/>
  <c r="BX193" i="28"/>
  <c r="BV193" i="28"/>
  <c r="BQ12" i="29"/>
  <c r="BR12" i="29" s="1"/>
  <c r="BS12" i="29" s="1"/>
  <c r="BQ30" i="29"/>
  <c r="BR30" i="29" s="1"/>
  <c r="BS30" i="29" s="1"/>
  <c r="BQ27" i="29"/>
  <c r="BR27" i="29" s="1"/>
  <c r="BS27" i="29" s="1"/>
  <c r="BQ24" i="29"/>
  <c r="BR24" i="29" s="1"/>
  <c r="BS24" i="29" s="1"/>
  <c r="BQ21" i="29"/>
  <c r="BR21" i="29" s="1"/>
  <c r="BS21" i="29" s="1"/>
  <c r="BQ18" i="29"/>
  <c r="BR18" i="29" s="1"/>
  <c r="BS18" i="29" s="1"/>
  <c r="BQ15" i="29"/>
  <c r="BR15" i="29" s="1"/>
  <c r="BS15" i="29" s="1"/>
  <c r="BQ9" i="29"/>
  <c r="BR9" i="29" s="1"/>
  <c r="BS9" i="29" s="1"/>
  <c r="K12" i="28" l="1"/>
  <c r="K13" i="28" s="1"/>
  <c r="K15" i="28"/>
  <c r="K16" i="28" s="1"/>
  <c r="K18" i="28"/>
  <c r="K19" i="28" s="1"/>
  <c r="K21" i="28"/>
  <c r="K22" i="28" s="1"/>
  <c r="K24" i="28"/>
  <c r="K25" i="28" s="1"/>
  <c r="K27" i="28"/>
  <c r="K28" i="28" s="1"/>
  <c r="K30" i="28"/>
  <c r="K31" i="28" s="1"/>
  <c r="L31" i="28" s="1"/>
  <c r="K33" i="28"/>
  <c r="K34" i="28" s="1"/>
  <c r="F12" i="29"/>
  <c r="G12" i="29" s="1"/>
  <c r="H12" i="29" s="1"/>
  <c r="F30" i="29"/>
  <c r="G30" i="29" s="1"/>
  <c r="H30" i="29" s="1"/>
  <c r="F27" i="29"/>
  <c r="G27" i="29" s="1"/>
  <c r="H27" i="29" s="1"/>
  <c r="F24" i="29"/>
  <c r="G24" i="29" s="1"/>
  <c r="H24" i="29" s="1"/>
  <c r="F21" i="29"/>
  <c r="G21" i="29" s="1"/>
  <c r="H21" i="29" s="1"/>
  <c r="F18" i="29"/>
  <c r="G18" i="29" s="1"/>
  <c r="H18" i="29" s="1"/>
  <c r="F15" i="29"/>
  <c r="G15" i="29" s="1"/>
  <c r="H15" i="29" s="1"/>
  <c r="F9" i="29"/>
  <c r="G9" i="29" s="1"/>
  <c r="H9" i="29" s="1"/>
  <c r="L33" i="28"/>
  <c r="M33" i="28"/>
  <c r="L30" i="28"/>
  <c r="M30" i="28"/>
  <c r="L27" i="28"/>
  <c r="M27" i="28"/>
  <c r="L24" i="28"/>
  <c r="M24" i="28"/>
  <c r="N24" i="28"/>
  <c r="O24" i="28"/>
  <c r="L15" i="28"/>
  <c r="M15" i="28"/>
  <c r="L12" i="28"/>
  <c r="L13" i="28" s="1"/>
  <c r="M12" i="28"/>
  <c r="L21" i="28"/>
  <c r="M21" i="28"/>
  <c r="L18" i="28"/>
  <c r="M18" i="28"/>
  <c r="N18" i="28"/>
  <c r="L28" i="28" l="1"/>
  <c r="L22" i="28"/>
  <c r="L34" i="28"/>
  <c r="L16" i="28"/>
  <c r="BV96" i="28"/>
  <c r="BW96" i="28"/>
  <c r="BX96" i="28"/>
  <c r="L76" i="25"/>
  <c r="D91" i="28"/>
  <c r="BX91" i="28" s="1"/>
  <c r="BV88" i="28"/>
  <c r="BW88" i="28"/>
  <c r="BX88" i="28"/>
  <c r="BQ66" i="29"/>
  <c r="BV57" i="28"/>
  <c r="BW57" i="28"/>
  <c r="BX57" i="28"/>
  <c r="BV68" i="28"/>
  <c r="BW68" i="28"/>
  <c r="BX68" i="28"/>
  <c r="BV75" i="28"/>
  <c r="BW75" i="28"/>
  <c r="BX75" i="28"/>
  <c r="BX49" i="28"/>
  <c r="BW49" i="28"/>
  <c r="BV49" i="28"/>
  <c r="AD41" i="29"/>
  <c r="BV42" i="28"/>
  <c r="BW42" i="28"/>
  <c r="BX42" i="28"/>
  <c r="BX86" i="28"/>
  <c r="BQ82" i="29"/>
  <c r="BQ63" i="29"/>
  <c r="BQ49" i="29"/>
  <c r="AC43" i="29"/>
  <c r="BQ122" i="29"/>
  <c r="BR122" i="29"/>
  <c r="BZ9" i="28"/>
  <c r="BQ4" i="29"/>
  <c r="D234" i="28"/>
  <c r="D224" i="28"/>
  <c r="D214" i="28"/>
  <c r="BQ3" i="29" l="1"/>
  <c r="BV7" i="28" s="1"/>
  <c r="AQ78" i="29"/>
  <c r="J91" i="28"/>
  <c r="K91" i="28"/>
  <c r="M91" i="28"/>
  <c r="BV91" i="28"/>
  <c r="L91" i="28"/>
  <c r="BW91" i="28"/>
  <c r="BQ143" i="29"/>
  <c r="BQ136" i="29"/>
  <c r="BQ137" i="29" s="1"/>
  <c r="BQ138" i="29" s="1"/>
  <c r="BQ114" i="29"/>
  <c r="BQ133" i="29"/>
  <c r="BQ134" i="29" s="1"/>
  <c r="BV8" i="28"/>
  <c r="BR4" i="29"/>
  <c r="AR78" i="29" s="1"/>
  <c r="BQ141" i="29" l="1"/>
  <c r="BW8" i="28"/>
  <c r="BW119" i="28" s="1"/>
  <c r="BR133" i="29"/>
  <c r="BR134" i="29" s="1"/>
  <c r="BR114" i="29"/>
  <c r="BR136" i="29"/>
  <c r="BR143" i="29"/>
  <c r="BR41" i="29"/>
  <c r="BQ144" i="29"/>
  <c r="BQ118" i="29"/>
  <c r="BV158" i="28"/>
  <c r="BV105" i="28" s="1"/>
  <c r="BV119" i="28"/>
  <c r="BR3" i="29"/>
  <c r="BW7" i="28" s="1"/>
  <c r="BS4" i="29"/>
  <c r="AS78" i="29" s="1"/>
  <c r="BW158" i="28" l="1"/>
  <c r="BW105" i="28" s="1"/>
  <c r="BR137" i="29"/>
  <c r="BX8" i="28"/>
  <c r="BS133" i="29"/>
  <c r="BS134" i="29" s="1"/>
  <c r="BS114" i="29"/>
  <c r="BS136" i="29"/>
  <c r="BS41" i="29"/>
  <c r="BS143" i="29"/>
  <c r="BW163" i="28"/>
  <c r="BW161" i="28"/>
  <c r="BW162" i="28" s="1"/>
  <c r="BR144" i="29"/>
  <c r="BR118" i="29"/>
  <c r="BS3" i="29"/>
  <c r="BX7" i="28" s="1"/>
  <c r="BS137" i="29" l="1"/>
  <c r="BS138" i="29" s="1"/>
  <c r="BX163" i="28"/>
  <c r="BX158" i="28"/>
  <c r="BX105" i="28" s="1"/>
  <c r="BR138" i="29"/>
  <c r="BR141" i="29"/>
  <c r="BS144" i="29"/>
  <c r="BS118" i="29"/>
  <c r="L19" i="28"/>
  <c r="L25" i="28"/>
  <c r="BS141" i="29" l="1"/>
  <c r="C121" i="29"/>
  <c r="Y126" i="29"/>
  <c r="Z126" i="29"/>
  <c r="AI126" i="29"/>
  <c r="AK126" i="29"/>
  <c r="BL126" i="29"/>
  <c r="C150" i="29"/>
  <c r="I129" i="29" s="1"/>
  <c r="J62" i="29"/>
  <c r="K62" i="29"/>
  <c r="L62" i="29"/>
  <c r="M62" i="29"/>
  <c r="N62" i="29"/>
  <c r="O62" i="29"/>
  <c r="P62" i="29"/>
  <c r="Q62" i="29"/>
  <c r="R62" i="29"/>
  <c r="S62" i="29"/>
  <c r="T62" i="29"/>
  <c r="U62" i="29"/>
  <c r="V62" i="29"/>
  <c r="W62" i="29"/>
  <c r="X62" i="29"/>
  <c r="Y62" i="29"/>
  <c r="Z62" i="29"/>
  <c r="AA62" i="29"/>
  <c r="AB62" i="29"/>
  <c r="AC62" i="29"/>
  <c r="AD62" i="29"/>
  <c r="AE62" i="29"/>
  <c r="AF62" i="29"/>
  <c r="AG62" i="29"/>
  <c r="AH62" i="29"/>
  <c r="AI62" i="29"/>
  <c r="AJ62" i="29"/>
  <c r="AK62" i="29"/>
  <c r="AL62" i="29"/>
  <c r="AM62" i="29"/>
  <c r="AN62" i="29"/>
  <c r="AO62" i="29"/>
  <c r="AP62" i="29"/>
  <c r="AQ62" i="29"/>
  <c r="AR62" i="29"/>
  <c r="AS62" i="29"/>
  <c r="AT62" i="29"/>
  <c r="AU62" i="29"/>
  <c r="AV62" i="29"/>
  <c r="AW62" i="29"/>
  <c r="AX62" i="29"/>
  <c r="AY62" i="29"/>
  <c r="AZ62" i="29"/>
  <c r="BA62" i="29"/>
  <c r="BB62" i="29"/>
  <c r="BC62" i="29"/>
  <c r="BD62" i="29"/>
  <c r="BE62" i="29"/>
  <c r="BF62" i="29"/>
  <c r="BG62" i="29"/>
  <c r="BH62" i="29"/>
  <c r="BI62" i="29"/>
  <c r="BJ62" i="29"/>
  <c r="BK62" i="29"/>
  <c r="BL62" i="29"/>
  <c r="BM62" i="29"/>
  <c r="BN62" i="29"/>
  <c r="BO62" i="29"/>
  <c r="BP62" i="29"/>
  <c r="I62" i="29"/>
  <c r="AG42" i="29"/>
  <c r="AH42" i="29"/>
  <c r="AI42" i="29"/>
  <c r="AJ42" i="29"/>
  <c r="AK42" i="29"/>
  <c r="AL42" i="29"/>
  <c r="AM42" i="29"/>
  <c r="AN42" i="29"/>
  <c r="AO42" i="29"/>
  <c r="AP42" i="29"/>
  <c r="AQ42" i="29"/>
  <c r="AR42" i="29"/>
  <c r="AS42" i="29"/>
  <c r="AT42" i="29"/>
  <c r="AU42" i="29"/>
  <c r="AV42" i="29"/>
  <c r="AW42" i="29"/>
  <c r="AX42" i="29"/>
  <c r="AY42" i="29"/>
  <c r="AZ42" i="29"/>
  <c r="BA42" i="29"/>
  <c r="BB42" i="29"/>
  <c r="BC42" i="29"/>
  <c r="BD42" i="29"/>
  <c r="BE42" i="29"/>
  <c r="BF42" i="29"/>
  <c r="BG42" i="29"/>
  <c r="BH42" i="29"/>
  <c r="BI42" i="29"/>
  <c r="BJ42" i="29"/>
  <c r="BK42" i="29"/>
  <c r="BL42" i="29"/>
  <c r="BM42" i="29"/>
  <c r="BN42" i="29"/>
  <c r="BO42" i="29"/>
  <c r="BP42" i="29"/>
  <c r="I42" i="29"/>
  <c r="J42" i="29"/>
  <c r="K42" i="29"/>
  <c r="L42" i="29"/>
  <c r="M42" i="29"/>
  <c r="N42" i="29"/>
  <c r="O42" i="29"/>
  <c r="P42" i="29"/>
  <c r="Q42" i="29"/>
  <c r="R42" i="29"/>
  <c r="S42" i="29"/>
  <c r="T42" i="29"/>
  <c r="U42" i="29"/>
  <c r="V42" i="29"/>
  <c r="W42" i="29"/>
  <c r="X42" i="29"/>
  <c r="Y42" i="29"/>
  <c r="Z42" i="29"/>
  <c r="AA42" i="29"/>
  <c r="AB42" i="29"/>
  <c r="AC42" i="29"/>
  <c r="AD42" i="29"/>
  <c r="AE42" i="29"/>
  <c r="AF42" i="29"/>
  <c r="I52" i="29"/>
  <c r="I93" i="29"/>
  <c r="I85" i="29"/>
  <c r="K57" i="29"/>
  <c r="L57" i="29"/>
  <c r="M57" i="29"/>
  <c r="N57" i="29"/>
  <c r="O57" i="29"/>
  <c r="P57" i="29"/>
  <c r="Q57" i="29"/>
  <c r="R57" i="29"/>
  <c r="S57" i="29"/>
  <c r="T57" i="29"/>
  <c r="U57" i="29"/>
  <c r="V57" i="29"/>
  <c r="W57" i="29"/>
  <c r="X57" i="29"/>
  <c r="Y57" i="29"/>
  <c r="Z57" i="29"/>
  <c r="AA57" i="29"/>
  <c r="AB57" i="29"/>
  <c r="AC57" i="29"/>
  <c r="AD57" i="29"/>
  <c r="AE57" i="29"/>
  <c r="AF57" i="29"/>
  <c r="AG57" i="29"/>
  <c r="AH57" i="29"/>
  <c r="AI57" i="29"/>
  <c r="AJ57" i="29"/>
  <c r="AK57" i="29"/>
  <c r="AL57" i="29"/>
  <c r="AM57" i="29"/>
  <c r="AN57" i="29"/>
  <c r="AO57" i="29"/>
  <c r="AP57" i="29"/>
  <c r="AQ57" i="29"/>
  <c r="AR57" i="29"/>
  <c r="AS57" i="29"/>
  <c r="AT57" i="29"/>
  <c r="AU57" i="29"/>
  <c r="AV57" i="29"/>
  <c r="AW57" i="29"/>
  <c r="AX57" i="29"/>
  <c r="AY57" i="29"/>
  <c r="AZ57" i="29"/>
  <c r="BA57" i="29"/>
  <c r="BB57" i="29"/>
  <c r="BC57" i="29"/>
  <c r="BD57" i="29"/>
  <c r="BE57" i="29"/>
  <c r="BF57" i="29"/>
  <c r="BG57" i="29"/>
  <c r="BH57" i="29"/>
  <c r="BI57" i="29"/>
  <c r="BJ57" i="29"/>
  <c r="BK57" i="29"/>
  <c r="BL57" i="29"/>
  <c r="BM57" i="29"/>
  <c r="BN57" i="29"/>
  <c r="BO57" i="29"/>
  <c r="BP57" i="29"/>
  <c r="J57" i="29"/>
  <c r="BQ62" i="29" l="1"/>
  <c r="J126" i="29"/>
  <c r="BQ126" i="29"/>
  <c r="BR126" i="29"/>
  <c r="BR124" i="29" s="1"/>
  <c r="BQ57" i="29"/>
  <c r="BQ42" i="29"/>
  <c r="X126" i="29"/>
  <c r="W126" i="29"/>
  <c r="O126" i="29"/>
  <c r="BJ126" i="29"/>
  <c r="BI126" i="29"/>
  <c r="BG126" i="29"/>
  <c r="AU126" i="29"/>
  <c r="BH126" i="29"/>
  <c r="N126" i="29"/>
  <c r="AZ126" i="29"/>
  <c r="AW126" i="29"/>
  <c r="AV126" i="29"/>
  <c r="M126" i="29"/>
  <c r="AO126" i="29"/>
  <c r="AM126" i="29"/>
  <c r="BM126" i="29"/>
  <c r="AN126" i="29"/>
  <c r="L126" i="29"/>
  <c r="BK126" i="29"/>
  <c r="AL126" i="29"/>
  <c r="BA126" i="29"/>
  <c r="AJ126" i="29"/>
  <c r="K126" i="29"/>
  <c r="AY126" i="29"/>
  <c r="AB126" i="29"/>
  <c r="AX126" i="29"/>
  <c r="AA126" i="29"/>
  <c r="U126" i="29"/>
  <c r="BF126" i="29"/>
  <c r="AT126" i="29"/>
  <c r="AG126" i="29"/>
  <c r="T126" i="29"/>
  <c r="I126" i="29"/>
  <c r="BE126" i="29"/>
  <c r="AS126" i="29"/>
  <c r="AF126" i="29"/>
  <c r="S126" i="29"/>
  <c r="BP126" i="29"/>
  <c r="BD126" i="29"/>
  <c r="AR126" i="29"/>
  <c r="AE126" i="29"/>
  <c r="R126" i="29"/>
  <c r="BO126" i="29"/>
  <c r="BC126" i="29"/>
  <c r="AQ126" i="29"/>
  <c r="AD126" i="29"/>
  <c r="Q126" i="29"/>
  <c r="BN126" i="29"/>
  <c r="BB126" i="29"/>
  <c r="AP126" i="29"/>
  <c r="AC126" i="29"/>
  <c r="P126" i="29"/>
  <c r="AH126" i="29"/>
  <c r="V126" i="29"/>
  <c r="I90" i="29" l="1"/>
  <c r="I46" i="29"/>
  <c r="H46" i="29"/>
  <c r="F46" i="29"/>
  <c r="G46" i="29"/>
  <c r="I81" i="29"/>
  <c r="BQ81" i="29" l="1"/>
  <c r="AF22" i="25"/>
  <c r="AB43" i="25" l="1"/>
  <c r="AB44" i="25"/>
  <c r="AB28" i="25"/>
  <c r="AB37" i="25"/>
  <c r="AB45" i="25"/>
  <c r="AB51" i="25"/>
  <c r="AB77" i="25"/>
  <c r="AB32" i="25"/>
  <c r="AB49" i="25"/>
  <c r="AB36" i="25"/>
  <c r="AB29" i="25"/>
  <c r="AB38" i="25"/>
  <c r="AB46" i="25"/>
  <c r="AB54" i="25"/>
  <c r="AB62" i="25"/>
  <c r="AB78" i="25"/>
  <c r="AB61" i="25"/>
  <c r="AB69" i="25"/>
  <c r="AB30" i="25"/>
  <c r="AB39" i="25"/>
  <c r="AB47" i="25"/>
  <c r="AB55" i="25"/>
  <c r="AB63" i="25"/>
  <c r="AB80" i="25"/>
  <c r="AB50" i="25"/>
  <c r="AB31" i="25"/>
  <c r="AB40" i="25"/>
  <c r="AB48" i="25"/>
  <c r="AB56" i="25"/>
  <c r="AB70" i="25"/>
  <c r="AB79" i="25"/>
  <c r="D117" i="28"/>
  <c r="B109" i="28"/>
  <c r="Y94" i="25"/>
  <c r="Y13" i="24"/>
  <c r="C93" i="25" l="1"/>
  <c r="Y93" i="25" s="1"/>
  <c r="B108" i="28" l="1"/>
  <c r="BY108" i="28" s="1"/>
  <c r="H6" i="31"/>
  <c r="H7" i="31" s="1"/>
  <c r="H5" i="31"/>
  <c r="I13" i="35" l="1"/>
  <c r="E5" i="35"/>
  <c r="G19" i="35" s="1"/>
  <c r="H19" i="35" s="1"/>
  <c r="E2" i="35"/>
  <c r="B59" i="9" l="1"/>
  <c r="B24" i="9"/>
  <c r="B22" i="9"/>
  <c r="B6" i="9"/>
  <c r="B23" i="9" s="1"/>
  <c r="B7" i="9"/>
  <c r="B60" i="9" s="1"/>
  <c r="B8" i="9"/>
  <c r="B25" i="9" s="1"/>
  <c r="B9" i="9"/>
  <c r="B26" i="9" s="1"/>
  <c r="B10" i="9"/>
  <c r="B27" i="9" s="1"/>
  <c r="B11" i="9"/>
  <c r="B64" i="9" s="1"/>
  <c r="B12" i="9"/>
  <c r="B29" i="9" s="1"/>
  <c r="B13" i="9"/>
  <c r="B30" i="9" s="1"/>
  <c r="B5" i="9"/>
  <c r="B58" i="9" s="1"/>
  <c r="B65" i="9" l="1"/>
  <c r="B28" i="9"/>
  <c r="B63" i="9"/>
  <c r="B66" i="9"/>
  <c r="B62" i="9"/>
  <c r="B61" i="9"/>
  <c r="U102" i="25"/>
  <c r="J32" i="9"/>
  <c r="J31" i="9"/>
  <c r="T56" i="23" l="1"/>
  <c r="T54" i="23"/>
  <c r="T52" i="23"/>
  <c r="T50" i="23"/>
  <c r="T48" i="23"/>
  <c r="T46" i="23"/>
  <c r="T44" i="23"/>
  <c r="T42" i="23"/>
  <c r="T40" i="23"/>
  <c r="T38" i="23"/>
  <c r="T36" i="23"/>
  <c r="T34" i="23"/>
  <c r="T32" i="23"/>
  <c r="T30" i="23"/>
  <c r="T28" i="23"/>
  <c r="T26" i="23"/>
  <c r="T24" i="23"/>
  <c r="T22" i="23"/>
  <c r="T20" i="23"/>
  <c r="T18" i="23"/>
  <c r="T16" i="23"/>
  <c r="Q8" i="24" l="1"/>
  <c r="R8" i="24" s="1"/>
  <c r="Q9" i="24" l="1"/>
  <c r="Q10" i="24"/>
  <c r="Q11" i="24"/>
  <c r="D29" i="20" l="1"/>
  <c r="E30" i="9" l="1"/>
  <c r="E66" i="9" s="1"/>
  <c r="D30" i="9"/>
  <c r="D66" i="9" s="1"/>
  <c r="E29" i="9"/>
  <c r="E65" i="9" s="1"/>
  <c r="E28" i="9"/>
  <c r="E64" i="9" s="1"/>
  <c r="E27" i="9"/>
  <c r="E63" i="9" s="1"/>
  <c r="E26" i="9"/>
  <c r="E62" i="9" s="1"/>
  <c r="E25" i="9"/>
  <c r="E61" i="9" s="1"/>
  <c r="E24" i="9"/>
  <c r="E60" i="9" s="1"/>
  <c r="E23" i="9"/>
  <c r="E59" i="9" s="1"/>
  <c r="E22" i="9"/>
  <c r="E58" i="9" s="1"/>
  <c r="R14" i="20"/>
  <c r="Q14" i="20"/>
  <c r="R13" i="20"/>
  <c r="R12" i="20"/>
  <c r="R11" i="20"/>
  <c r="R10" i="20"/>
  <c r="R9" i="20"/>
  <c r="R8" i="20"/>
  <c r="R7" i="20"/>
  <c r="R6" i="20"/>
  <c r="U56" i="23" l="1"/>
  <c r="U54" i="23"/>
  <c r="U52" i="23"/>
  <c r="U50" i="23"/>
  <c r="U48" i="23"/>
  <c r="U46" i="23"/>
  <c r="U44" i="23"/>
  <c r="U42" i="23"/>
  <c r="U40" i="23"/>
  <c r="U38" i="23"/>
  <c r="U34" i="23"/>
  <c r="E19" i="23"/>
  <c r="T15" i="23" l="1"/>
  <c r="B118" i="28" l="1"/>
  <c r="O108" i="28" l="1"/>
  <c r="AA108" i="28"/>
  <c r="AM108" i="28"/>
  <c r="AY108" i="28"/>
  <c r="BK108" i="28"/>
  <c r="BW108" i="28"/>
  <c r="P108" i="28"/>
  <c r="AB108" i="28"/>
  <c r="AN108" i="28"/>
  <c r="AZ108" i="28"/>
  <c r="BL108" i="28"/>
  <c r="BX108" i="28"/>
  <c r="Q108" i="28"/>
  <c r="AC108" i="28"/>
  <c r="AO108" i="28"/>
  <c r="BA108" i="28"/>
  <c r="BM108" i="28"/>
  <c r="N108" i="28"/>
  <c r="R108" i="28"/>
  <c r="AD108" i="28"/>
  <c r="AP108" i="28"/>
  <c r="BB108" i="28"/>
  <c r="BN108" i="28"/>
  <c r="S108" i="28"/>
  <c r="AE108" i="28"/>
  <c r="AQ108" i="28"/>
  <c r="BC108" i="28"/>
  <c r="BO108" i="28"/>
  <c r="T108" i="28"/>
  <c r="AF108" i="28"/>
  <c r="AR108" i="28"/>
  <c r="BD108" i="28"/>
  <c r="BP108" i="28"/>
  <c r="U108" i="28"/>
  <c r="AG108" i="28"/>
  <c r="AS108" i="28"/>
  <c r="BE108" i="28"/>
  <c r="BQ108" i="28"/>
  <c r="BV108" i="28"/>
  <c r="V108" i="28"/>
  <c r="AH108" i="28"/>
  <c r="AT108" i="28"/>
  <c r="BF108" i="28"/>
  <c r="BR108" i="28"/>
  <c r="BJ108" i="28"/>
  <c r="W108" i="28"/>
  <c r="AI108" i="28"/>
  <c r="AU108" i="28"/>
  <c r="BG108" i="28"/>
  <c r="BS108" i="28"/>
  <c r="Z108" i="28"/>
  <c r="X108" i="28"/>
  <c r="AJ108" i="28"/>
  <c r="AV108" i="28"/>
  <c r="BH108" i="28"/>
  <c r="BT108" i="28"/>
  <c r="AL108" i="28"/>
  <c r="Y108" i="28"/>
  <c r="AK108" i="28"/>
  <c r="AW108" i="28"/>
  <c r="BI108" i="28"/>
  <c r="BU108" i="28"/>
  <c r="AX108" i="28"/>
  <c r="L92" i="25"/>
  <c r="L91" i="25"/>
  <c r="BV106" i="28" l="1"/>
  <c r="BW106" i="28"/>
  <c r="BX106" i="28"/>
  <c r="BV107" i="28"/>
  <c r="BW107" i="28"/>
  <c r="BX107" i="28"/>
  <c r="BZ108" i="28"/>
  <c r="S94" i="25"/>
  <c r="D160" i="28" l="1"/>
  <c r="D159" i="28"/>
  <c r="D158" i="28"/>
  <c r="B107" i="28" l="1"/>
  <c r="BY107" i="28" s="1"/>
  <c r="D107" i="28"/>
  <c r="F92" i="25"/>
  <c r="Y92" i="25"/>
  <c r="W12" i="24" l="1"/>
  <c r="AC4" i="24" l="1"/>
  <c r="AC5" i="24"/>
  <c r="AC3" i="24"/>
  <c r="AB4" i="24"/>
  <c r="AB5" i="24"/>
  <c r="AB3" i="24"/>
  <c r="C147" i="29"/>
  <c r="C148" i="29" s="1"/>
  <c r="C146" i="29"/>
  <c r="I128" i="29" l="1"/>
  <c r="G14" i="20" l="1"/>
  <c r="G13" i="20"/>
  <c r="G12" i="20"/>
  <c r="G11" i="20"/>
  <c r="G10" i="20"/>
  <c r="G9" i="20"/>
  <c r="G8" i="20"/>
  <c r="G7" i="20"/>
  <c r="D274" i="28"/>
  <c r="W55" i="23"/>
  <c r="G55" i="23"/>
  <c r="Z55" i="23" s="1"/>
  <c r="F55" i="23"/>
  <c r="Y55" i="23" s="1"/>
  <c r="E55" i="23"/>
  <c r="X55" i="23" s="1"/>
  <c r="Z54" i="23"/>
  <c r="Y54" i="23"/>
  <c r="X54" i="23"/>
  <c r="W54" i="23"/>
  <c r="R54" i="23"/>
  <c r="H54" i="23"/>
  <c r="AA54" i="23" s="1"/>
  <c r="W51" i="23"/>
  <c r="G51" i="23"/>
  <c r="Z51" i="23" s="1"/>
  <c r="F51" i="23"/>
  <c r="Y51" i="23" s="1"/>
  <c r="E51" i="23"/>
  <c r="Z50" i="23"/>
  <c r="Y50" i="23"/>
  <c r="X50" i="23"/>
  <c r="W50" i="23"/>
  <c r="R50" i="23"/>
  <c r="H50" i="23"/>
  <c r="H51" i="23" s="1"/>
  <c r="AA51" i="23" s="1"/>
  <c r="I54" i="23" l="1"/>
  <c r="H55" i="23"/>
  <c r="AA55" i="23" s="1"/>
  <c r="I50" i="23"/>
  <c r="X51" i="23"/>
  <c r="AA50" i="23"/>
  <c r="AL76" i="29" l="1"/>
  <c r="AQ78" i="28" s="1"/>
  <c r="AR76" i="29"/>
  <c r="AW78" i="28" s="1"/>
  <c r="AX76" i="29"/>
  <c r="BC78" i="28" s="1"/>
  <c r="BD76" i="29"/>
  <c r="BI78" i="28" s="1"/>
  <c r="BJ76" i="29"/>
  <c r="BO78" i="28" s="1"/>
  <c r="BP76" i="29"/>
  <c r="BU78" i="28" s="1"/>
  <c r="O76" i="29"/>
  <c r="T78" i="28" s="1"/>
  <c r="U76" i="29"/>
  <c r="Z78" i="28" s="1"/>
  <c r="AA76" i="29"/>
  <c r="AF78" i="28" s="1"/>
  <c r="AG76" i="29"/>
  <c r="AL78" i="28" s="1"/>
  <c r="AT76" i="29"/>
  <c r="AY78" i="28" s="1"/>
  <c r="BF76" i="29"/>
  <c r="BK78" i="28" s="1"/>
  <c r="K76" i="29"/>
  <c r="P78" i="28" s="1"/>
  <c r="W76" i="29"/>
  <c r="AB78" i="28" s="1"/>
  <c r="AI76" i="29"/>
  <c r="AN78" i="28" s="1"/>
  <c r="BA76" i="29"/>
  <c r="BF78" i="28" s="1"/>
  <c r="BM76" i="29"/>
  <c r="BR78" i="28" s="1"/>
  <c r="X76" i="29"/>
  <c r="AC78" i="28" s="1"/>
  <c r="AJ76" i="29"/>
  <c r="AO78" i="28" s="1"/>
  <c r="AM76" i="29"/>
  <c r="AR78" i="28" s="1"/>
  <c r="AS76" i="29"/>
  <c r="AX78" i="28" s="1"/>
  <c r="AY76" i="29"/>
  <c r="BD78" i="28" s="1"/>
  <c r="BE76" i="29"/>
  <c r="BJ78" i="28" s="1"/>
  <c r="BK76" i="29"/>
  <c r="BP78" i="28" s="1"/>
  <c r="J76" i="29"/>
  <c r="O78" i="28" s="1"/>
  <c r="P76" i="29"/>
  <c r="U78" i="28" s="1"/>
  <c r="V76" i="29"/>
  <c r="AA78" i="28" s="1"/>
  <c r="AB76" i="29"/>
  <c r="AG78" i="28" s="1"/>
  <c r="AH76" i="29"/>
  <c r="AM78" i="28" s="1"/>
  <c r="AN76" i="29"/>
  <c r="AS78" i="28" s="1"/>
  <c r="AZ76" i="29"/>
  <c r="BE78" i="28" s="1"/>
  <c r="BL76" i="29"/>
  <c r="BQ78" i="28" s="1"/>
  <c r="Q76" i="29"/>
  <c r="V78" i="28" s="1"/>
  <c r="AC76" i="29"/>
  <c r="AH78" i="28" s="1"/>
  <c r="AO76" i="29"/>
  <c r="AT78" i="28" s="1"/>
  <c r="AU76" i="29"/>
  <c r="AZ78" i="28" s="1"/>
  <c r="BG76" i="29"/>
  <c r="BL78" i="28" s="1"/>
  <c r="L76" i="29"/>
  <c r="Q78" i="28" s="1"/>
  <c r="R76" i="29"/>
  <c r="W78" i="28" s="1"/>
  <c r="AD76" i="29"/>
  <c r="AI78" i="28" s="1"/>
  <c r="AP76" i="29"/>
  <c r="AU78" i="28" s="1"/>
  <c r="AV76" i="29"/>
  <c r="BA78" i="28" s="1"/>
  <c r="BB76" i="29"/>
  <c r="BG78" i="28" s="1"/>
  <c r="BH76" i="29"/>
  <c r="BM78" i="28" s="1"/>
  <c r="BN76" i="29"/>
  <c r="BS78" i="28" s="1"/>
  <c r="M76" i="29"/>
  <c r="R78" i="28" s="1"/>
  <c r="S76" i="29"/>
  <c r="X78" i="28" s="1"/>
  <c r="Y76" i="29"/>
  <c r="AD78" i="28" s="1"/>
  <c r="AE76" i="29"/>
  <c r="AJ78" i="28" s="1"/>
  <c r="I76" i="29"/>
  <c r="N78" i="28" s="1"/>
  <c r="AK76" i="29"/>
  <c r="AP78" i="28" s="1"/>
  <c r="AQ76" i="29"/>
  <c r="AV78" i="28" s="1"/>
  <c r="AW76" i="29"/>
  <c r="BB78" i="28" s="1"/>
  <c r="BC76" i="29"/>
  <c r="BH78" i="28" s="1"/>
  <c r="BI76" i="29"/>
  <c r="BN78" i="28" s="1"/>
  <c r="BO76" i="29"/>
  <c r="BT78" i="28" s="1"/>
  <c r="N76" i="29"/>
  <c r="S78" i="28" s="1"/>
  <c r="T76" i="29"/>
  <c r="Y78" i="28" s="1"/>
  <c r="Z76" i="29"/>
  <c r="AE78" i="28" s="1"/>
  <c r="AF76" i="29"/>
  <c r="AK78" i="28" s="1"/>
  <c r="I55" i="23"/>
  <c r="J54" i="23"/>
  <c r="AB54" i="23"/>
  <c r="AB50" i="23"/>
  <c r="I51" i="23"/>
  <c r="J50" i="23"/>
  <c r="AB55" i="23" l="1"/>
  <c r="O54" i="23"/>
  <c r="Q54" i="23" s="1"/>
  <c r="J55" i="23"/>
  <c r="AB51" i="23"/>
  <c r="O50" i="23"/>
  <c r="Q50" i="23" s="1"/>
  <c r="J51" i="23"/>
  <c r="BY219" i="28"/>
  <c r="BY220" i="28"/>
  <c r="F37" i="23" l="1"/>
  <c r="E37" i="23"/>
  <c r="G35" i="23"/>
  <c r="F35" i="23"/>
  <c r="E35" i="23"/>
  <c r="G33" i="23"/>
  <c r="F33" i="23"/>
  <c r="E33" i="23"/>
  <c r="G31" i="23"/>
  <c r="F31" i="23"/>
  <c r="E31" i="23"/>
  <c r="G29" i="23"/>
  <c r="F29" i="23"/>
  <c r="E29" i="23"/>
  <c r="G27" i="23"/>
  <c r="F27" i="23"/>
  <c r="E27" i="23"/>
  <c r="G25" i="23"/>
  <c r="F25" i="23"/>
  <c r="E25" i="23"/>
  <c r="G23" i="23"/>
  <c r="F23" i="23"/>
  <c r="E23" i="23"/>
  <c r="G21" i="23"/>
  <c r="F21" i="23"/>
  <c r="E21" i="23"/>
  <c r="G19" i="23"/>
  <c r="F19" i="23"/>
  <c r="G17" i="23"/>
  <c r="F17" i="23"/>
  <c r="E17" i="23"/>
  <c r="E130" i="28" l="1"/>
  <c r="E125" i="28"/>
  <c r="E120" i="28"/>
  <c r="D244" i="28" l="1"/>
  <c r="B16" i="25" l="1"/>
  <c r="D10" i="9"/>
  <c r="C10" i="9"/>
  <c r="C39" i="9"/>
  <c r="B243" i="28"/>
  <c r="BY252" i="28"/>
  <c r="J252" i="28"/>
  <c r="I252" i="28"/>
  <c r="H252" i="28"/>
  <c r="G252" i="28"/>
  <c r="BY251" i="28"/>
  <c r="BY250" i="28"/>
  <c r="BY249" i="28"/>
  <c r="BY248" i="28"/>
  <c r="BY247" i="28"/>
  <c r="BY246" i="28"/>
  <c r="BY245" i="28"/>
  <c r="BY244" i="28"/>
  <c r="M28" i="28"/>
  <c r="BU27" i="28"/>
  <c r="BT27" i="28"/>
  <c r="BS27" i="28"/>
  <c r="BR27" i="28"/>
  <c r="BQ27" i="28"/>
  <c r="BP27" i="28"/>
  <c r="BO27" i="28"/>
  <c r="BN27" i="28"/>
  <c r="BM27" i="28"/>
  <c r="BL27" i="28"/>
  <c r="BK27" i="28"/>
  <c r="BJ27" i="28"/>
  <c r="BI27" i="28"/>
  <c r="BH27" i="28"/>
  <c r="BG27" i="28"/>
  <c r="BF27" i="28"/>
  <c r="BE27" i="28"/>
  <c r="BD27" i="28"/>
  <c r="BC27" i="28"/>
  <c r="BB27" i="28"/>
  <c r="BA27" i="28"/>
  <c r="AZ27" i="28"/>
  <c r="AY27" i="28"/>
  <c r="AX27" i="28"/>
  <c r="AW27" i="28"/>
  <c r="AV27" i="28"/>
  <c r="AU27" i="28"/>
  <c r="AT27" i="28"/>
  <c r="AS27" i="28"/>
  <c r="AR27" i="28"/>
  <c r="AQ27" i="28"/>
  <c r="AP27" i="28"/>
  <c r="AO27" i="28"/>
  <c r="AN27" i="28"/>
  <c r="AM27" i="28"/>
  <c r="AL27" i="28"/>
  <c r="AK27" i="28"/>
  <c r="AJ27" i="28"/>
  <c r="AI27" i="28"/>
  <c r="AH27" i="28"/>
  <c r="AG27" i="28"/>
  <c r="AF27" i="28"/>
  <c r="AE27" i="28"/>
  <c r="AD27" i="28"/>
  <c r="AC27" i="28"/>
  <c r="AB27" i="28"/>
  <c r="AA27" i="28"/>
  <c r="Z27" i="28"/>
  <c r="Y27" i="28"/>
  <c r="X27" i="28"/>
  <c r="W27" i="28"/>
  <c r="V27" i="28"/>
  <c r="U27" i="28"/>
  <c r="T27" i="28"/>
  <c r="S27" i="28"/>
  <c r="R27" i="28"/>
  <c r="Q27" i="28"/>
  <c r="P27" i="28"/>
  <c r="O27" i="28"/>
  <c r="N27" i="28"/>
  <c r="I24" i="29"/>
  <c r="J24" i="29" s="1"/>
  <c r="K24" i="29" s="1"/>
  <c r="L24" i="29" s="1"/>
  <c r="M24" i="29" s="1"/>
  <c r="N24" i="29" s="1"/>
  <c r="O24" i="29" s="1"/>
  <c r="P24" i="29" s="1"/>
  <c r="Q24" i="29" s="1"/>
  <c r="R24" i="29" s="1"/>
  <c r="S24" i="29" s="1"/>
  <c r="T24" i="29" s="1"/>
  <c r="U24" i="29" s="1"/>
  <c r="V24" i="29" s="1"/>
  <c r="W24" i="29" s="1"/>
  <c r="X24" i="29" s="1"/>
  <c r="Y24" i="29" s="1"/>
  <c r="Z24" i="29" s="1"/>
  <c r="AA24" i="29" s="1"/>
  <c r="AB24" i="29" s="1"/>
  <c r="AC24" i="29" s="1"/>
  <c r="AD24" i="29" s="1"/>
  <c r="AE24" i="29" s="1"/>
  <c r="AF24" i="29" s="1"/>
  <c r="AG24" i="29" s="1"/>
  <c r="AH24" i="29" s="1"/>
  <c r="AI24" i="29" s="1"/>
  <c r="AJ24" i="29" s="1"/>
  <c r="AK24" i="29" s="1"/>
  <c r="AL24" i="29" s="1"/>
  <c r="AM24" i="29" s="1"/>
  <c r="AN24" i="29" s="1"/>
  <c r="AO24" i="29" s="1"/>
  <c r="AP24" i="29" s="1"/>
  <c r="AQ24" i="29" s="1"/>
  <c r="AR24" i="29" s="1"/>
  <c r="AS24" i="29" s="1"/>
  <c r="AT24" i="29" s="1"/>
  <c r="AU24" i="29" s="1"/>
  <c r="AV24" i="29" s="1"/>
  <c r="AW24" i="29" s="1"/>
  <c r="AX24" i="29" s="1"/>
  <c r="AY24" i="29" s="1"/>
  <c r="AZ24" i="29" s="1"/>
  <c r="BA24" i="29" s="1"/>
  <c r="BB24" i="29" s="1"/>
  <c r="BC24" i="29" s="1"/>
  <c r="BD24" i="29" s="1"/>
  <c r="BE24" i="29" s="1"/>
  <c r="BF24" i="29" s="1"/>
  <c r="BG24" i="29" s="1"/>
  <c r="BH24" i="29" s="1"/>
  <c r="BI24" i="29" s="1"/>
  <c r="BJ24" i="29" s="1"/>
  <c r="BK24" i="29" s="1"/>
  <c r="BL24" i="29" s="1"/>
  <c r="BM24" i="29" s="1"/>
  <c r="BN24" i="29" s="1"/>
  <c r="BO24" i="29" s="1"/>
  <c r="BP24" i="29" s="1"/>
  <c r="D23" i="29"/>
  <c r="H32" i="20"/>
  <c r="F32" i="20"/>
  <c r="D32" i="20"/>
  <c r="D248" i="28" s="1"/>
  <c r="J11" i="20"/>
  <c r="K11" i="20" s="1"/>
  <c r="F10" i="9" s="1"/>
  <c r="C12" i="23"/>
  <c r="C16" i="25" s="1"/>
  <c r="B23" i="29" l="1"/>
  <c r="BY243" i="28"/>
  <c r="D249" i="28"/>
  <c r="D250" i="28"/>
  <c r="D246" i="28"/>
  <c r="D247" i="28"/>
  <c r="D245" i="28"/>
  <c r="D251" i="28"/>
  <c r="E10" i="9"/>
  <c r="N28" i="28"/>
  <c r="O28" i="28" s="1"/>
  <c r="D252" i="28" l="1"/>
  <c r="P28" i="28"/>
  <c r="C14" i="23"/>
  <c r="C13" i="23"/>
  <c r="C11" i="23"/>
  <c r="C10" i="23"/>
  <c r="C9" i="23"/>
  <c r="C8" i="23"/>
  <c r="J66" i="25" s="1"/>
  <c r="C7" i="23"/>
  <c r="C15" i="23" s="1"/>
  <c r="Q28" i="28" l="1"/>
  <c r="R28" i="28" l="1"/>
  <c r="Z48" i="23"/>
  <c r="Z42" i="23"/>
  <c r="W49" i="23"/>
  <c r="G49" i="23"/>
  <c r="Z49" i="23" s="1"/>
  <c r="F49" i="23"/>
  <c r="Y49" i="23" s="1"/>
  <c r="E49" i="23"/>
  <c r="X49" i="23" s="1"/>
  <c r="Y48" i="23"/>
  <c r="X48" i="23"/>
  <c r="W48" i="23"/>
  <c r="R48" i="23"/>
  <c r="H48" i="23"/>
  <c r="W47" i="23"/>
  <c r="G47" i="23"/>
  <c r="Z47" i="23" s="1"/>
  <c r="F47" i="23"/>
  <c r="Y47" i="23" s="1"/>
  <c r="E47" i="23"/>
  <c r="X47" i="23" s="1"/>
  <c r="Z46" i="23"/>
  <c r="Y46" i="23"/>
  <c r="X46" i="23"/>
  <c r="W46" i="23"/>
  <c r="R46" i="23"/>
  <c r="H46" i="23"/>
  <c r="I46" i="23" s="1"/>
  <c r="W45" i="23"/>
  <c r="G45" i="23"/>
  <c r="Z45" i="23" s="1"/>
  <c r="F45" i="23"/>
  <c r="Y45" i="23" s="1"/>
  <c r="E45" i="23"/>
  <c r="X45" i="23" s="1"/>
  <c r="Z44" i="23"/>
  <c r="Y44" i="23"/>
  <c r="X44" i="23"/>
  <c r="W44" i="23"/>
  <c r="R44" i="23"/>
  <c r="H44" i="23"/>
  <c r="I44" i="23" s="1"/>
  <c r="W43" i="23"/>
  <c r="G43" i="23"/>
  <c r="Z43" i="23" s="1"/>
  <c r="F43" i="23"/>
  <c r="Y43" i="23" s="1"/>
  <c r="E43" i="23"/>
  <c r="X43" i="23" s="1"/>
  <c r="Y42" i="23"/>
  <c r="X42" i="23"/>
  <c r="W42" i="23"/>
  <c r="R42" i="23"/>
  <c r="H42" i="23"/>
  <c r="I42" i="23" s="1"/>
  <c r="S28" i="28" l="1"/>
  <c r="H47" i="23"/>
  <c r="AA47" i="23" s="1"/>
  <c r="H43" i="23"/>
  <c r="AA43" i="23" s="1"/>
  <c r="I48" i="23"/>
  <c r="AB48" i="23" s="1"/>
  <c r="AA42" i="23"/>
  <c r="AA46" i="23"/>
  <c r="H45" i="23"/>
  <c r="AA45" i="23" s="1"/>
  <c r="H49" i="23"/>
  <c r="AA49" i="23" s="1"/>
  <c r="AA44" i="23"/>
  <c r="AA48" i="23"/>
  <c r="AB42" i="23"/>
  <c r="I43" i="23"/>
  <c r="J42" i="23"/>
  <c r="I47" i="23"/>
  <c r="J46" i="23"/>
  <c r="AB46" i="23"/>
  <c r="AB44" i="23"/>
  <c r="I45" i="23"/>
  <c r="J44" i="23"/>
  <c r="BY105" i="28"/>
  <c r="J105" i="28"/>
  <c r="T28" i="28" l="1"/>
  <c r="J48" i="23"/>
  <c r="D105" i="28"/>
  <c r="I49" i="23"/>
  <c r="J49" i="23" s="1"/>
  <c r="AB49" i="23"/>
  <c r="AB47" i="23"/>
  <c r="J47" i="23"/>
  <c r="O46" i="23"/>
  <c r="Q46" i="23" s="1"/>
  <c r="AB45" i="23"/>
  <c r="J45" i="23"/>
  <c r="O44" i="23"/>
  <c r="Q44" i="23" s="1"/>
  <c r="AB43" i="23"/>
  <c r="J43" i="23"/>
  <c r="O42" i="23"/>
  <c r="Q42" i="23" s="1"/>
  <c r="E37" i="28"/>
  <c r="U28" i="28" l="1"/>
  <c r="O48" i="23"/>
  <c r="Q48" i="23" s="1"/>
  <c r="I44" i="29"/>
  <c r="D34" i="20"/>
  <c r="D33" i="20"/>
  <c r="D31" i="20"/>
  <c r="D27" i="20"/>
  <c r="V28" i="28" l="1"/>
  <c r="A1" i="25"/>
  <c r="C3" i="25"/>
  <c r="W28" i="28" l="1"/>
  <c r="I110" i="28"/>
  <c r="H110" i="28"/>
  <c r="G110" i="28"/>
  <c r="X28" i="28" l="1"/>
  <c r="Y28" i="28" l="1"/>
  <c r="B119" i="25"/>
  <c r="B116" i="25"/>
  <c r="B115" i="25"/>
  <c r="Z28" i="28" l="1"/>
  <c r="AA83" i="25"/>
  <c r="AA80" i="25"/>
  <c r="AA79" i="25"/>
  <c r="AA78" i="25"/>
  <c r="AA71" i="25"/>
  <c r="AA59" i="25"/>
  <c r="AA58" i="25"/>
  <c r="AA55" i="25"/>
  <c r="AA54" i="25"/>
  <c r="AA51" i="25"/>
  <c r="AA50" i="25"/>
  <c r="AA49" i="25"/>
  <c r="AA48" i="25"/>
  <c r="AA43" i="25"/>
  <c r="AA40" i="25"/>
  <c r="AA39" i="25"/>
  <c r="AA38" i="25"/>
  <c r="AA37" i="25"/>
  <c r="AA36" i="25"/>
  <c r="AA32" i="25"/>
  <c r="AA31" i="25"/>
  <c r="AA28" i="25"/>
  <c r="AA28" i="28" l="1"/>
  <c r="AB28" i="28" s="1"/>
  <c r="AC28" i="28" s="1"/>
  <c r="AD28" i="28" s="1"/>
  <c r="AE28" i="28" s="1"/>
  <c r="AF28" i="28" s="1"/>
  <c r="AG28" i="28" s="1"/>
  <c r="AH28" i="28" s="1"/>
  <c r="AI28" i="28" s="1"/>
  <c r="AJ28" i="28" s="1"/>
  <c r="AK28" i="28" s="1"/>
  <c r="AL28" i="28" s="1"/>
  <c r="AM28" i="28" s="1"/>
  <c r="AN28" i="28" s="1"/>
  <c r="AO28" i="28" s="1"/>
  <c r="AP28" i="28" s="1"/>
  <c r="AQ28" i="28" s="1"/>
  <c r="AR28" i="28" s="1"/>
  <c r="AS28" i="28" s="1"/>
  <c r="AT28" i="28" s="1"/>
  <c r="AU28" i="28" s="1"/>
  <c r="F78" i="25"/>
  <c r="G78" i="25" s="1"/>
  <c r="E94" i="28"/>
  <c r="B94" i="28"/>
  <c r="BY94" i="28" s="1"/>
  <c r="B106" i="28"/>
  <c r="D106" i="28"/>
  <c r="F91" i="25"/>
  <c r="F94" i="25"/>
  <c r="Y78" i="25"/>
  <c r="Y91" i="25"/>
  <c r="M94" i="28" l="1"/>
  <c r="BW94" i="28"/>
  <c r="BX94" i="28"/>
  <c r="AV28" i="28"/>
  <c r="AW28" i="28"/>
  <c r="AX28" i="28" s="1"/>
  <c r="AY28" i="28" s="1"/>
  <c r="AZ28" i="28" s="1"/>
  <c r="K94" i="28"/>
  <c r="J94" i="28"/>
  <c r="L94" i="28"/>
  <c r="F79" i="25"/>
  <c r="G79" i="25" s="1"/>
  <c r="BB28" i="28" l="1"/>
  <c r="BC28" i="28" s="1"/>
  <c r="BD28" i="28" s="1"/>
  <c r="BA28" i="28"/>
  <c r="BE28" i="28" l="1"/>
  <c r="BF28" i="28" s="1"/>
  <c r="BG28" i="28" s="1"/>
  <c r="BH28" i="28" s="1"/>
  <c r="BI28" i="28" s="1"/>
  <c r="BJ28" i="28" s="1"/>
  <c r="BK28" i="28" s="1"/>
  <c r="BL28" i="28" s="1"/>
  <c r="BM28" i="28" s="1"/>
  <c r="BN28" i="28" s="1"/>
  <c r="BO28" i="28" s="1"/>
  <c r="BP28" i="28" s="1"/>
  <c r="BQ28" i="28" s="1"/>
  <c r="BR28" i="28" l="1"/>
  <c r="BS28" i="28" s="1"/>
  <c r="BT28" i="28" s="1"/>
  <c r="BU28" i="28" s="1"/>
  <c r="BV28" i="28" s="1"/>
  <c r="BW28" i="28" s="1"/>
  <c r="BX28" i="28" s="1"/>
  <c r="K120" i="28"/>
  <c r="T46" i="25"/>
  <c r="T44" i="25"/>
  <c r="D120" i="28" l="1"/>
  <c r="J133" i="29"/>
  <c r="K133" i="29"/>
  <c r="L133" i="29"/>
  <c r="M133" i="29"/>
  <c r="N133" i="29"/>
  <c r="O133" i="29"/>
  <c r="P133" i="29"/>
  <c r="Q133" i="29"/>
  <c r="R133" i="29"/>
  <c r="S133" i="29"/>
  <c r="T133" i="29"/>
  <c r="U133" i="29"/>
  <c r="V133" i="29"/>
  <c r="W133" i="29"/>
  <c r="X133" i="29"/>
  <c r="Y133" i="29"/>
  <c r="Z133" i="29"/>
  <c r="AA133" i="29"/>
  <c r="AB133" i="29"/>
  <c r="AC133" i="29"/>
  <c r="AD133" i="29"/>
  <c r="AE133" i="29"/>
  <c r="AF133" i="29"/>
  <c r="AG133" i="29"/>
  <c r="AH133" i="29"/>
  <c r="AI133" i="29"/>
  <c r="AJ133" i="29"/>
  <c r="AK133" i="29"/>
  <c r="AL133" i="29"/>
  <c r="AM133" i="29"/>
  <c r="AN133" i="29"/>
  <c r="AO133" i="29"/>
  <c r="AP133" i="29"/>
  <c r="AQ133" i="29"/>
  <c r="AR133" i="29"/>
  <c r="AS133" i="29"/>
  <c r="AT133" i="29"/>
  <c r="AU133" i="29"/>
  <c r="AV133" i="29"/>
  <c r="AW133" i="29"/>
  <c r="AX133" i="29"/>
  <c r="AY133" i="29"/>
  <c r="AZ133" i="29"/>
  <c r="BA133" i="29"/>
  <c r="BB133" i="29"/>
  <c r="BC133" i="29"/>
  <c r="BD133" i="29"/>
  <c r="BE133" i="29"/>
  <c r="BF133" i="29"/>
  <c r="BG133" i="29"/>
  <c r="BH133" i="29"/>
  <c r="BI133" i="29"/>
  <c r="BJ133" i="29"/>
  <c r="BK133" i="29"/>
  <c r="BL133" i="29"/>
  <c r="BM133" i="29"/>
  <c r="BN133" i="29"/>
  <c r="BO133" i="29"/>
  <c r="BP133" i="29"/>
  <c r="I133" i="29"/>
  <c r="H5" i="25" l="1"/>
  <c r="J5" i="25" s="1"/>
  <c r="H4" i="25"/>
  <c r="J30" i="25" s="1"/>
  <c r="H3" i="25"/>
  <c r="J3" i="25" s="1"/>
  <c r="B273" i="28"/>
  <c r="BY273" i="28" s="1"/>
  <c r="BY276" i="28"/>
  <c r="J276" i="28"/>
  <c r="I276" i="28"/>
  <c r="H276" i="28"/>
  <c r="G276" i="28"/>
  <c r="BY275" i="28"/>
  <c r="BY274" i="28"/>
  <c r="BY277" i="28"/>
  <c r="J42" i="28"/>
  <c r="K42" i="28"/>
  <c r="L42" i="28"/>
  <c r="M42" i="28"/>
  <c r="N42" i="28"/>
  <c r="O42" i="28"/>
  <c r="P42" i="28"/>
  <c r="Q42" i="28"/>
  <c r="R42" i="28"/>
  <c r="S42" i="28"/>
  <c r="T42" i="28"/>
  <c r="U42" i="28"/>
  <c r="V42" i="28"/>
  <c r="W42" i="28"/>
  <c r="X42" i="28"/>
  <c r="Y42" i="28"/>
  <c r="Z42" i="28"/>
  <c r="AA42" i="28"/>
  <c r="AB42" i="28"/>
  <c r="AC42" i="28"/>
  <c r="AD42" i="28"/>
  <c r="AE42" i="28"/>
  <c r="AF42" i="28"/>
  <c r="AG42" i="28"/>
  <c r="AH42" i="28"/>
  <c r="AI42" i="28"/>
  <c r="AJ42" i="28"/>
  <c r="AK42" i="28"/>
  <c r="AL42" i="28"/>
  <c r="AM42" i="28"/>
  <c r="AN42" i="28"/>
  <c r="AO42" i="28"/>
  <c r="AP42" i="28"/>
  <c r="AQ42" i="28"/>
  <c r="AR42" i="28"/>
  <c r="AS42" i="28"/>
  <c r="AT42" i="28"/>
  <c r="AU42" i="28"/>
  <c r="AV42" i="28"/>
  <c r="AW42" i="28"/>
  <c r="AX42" i="28"/>
  <c r="AY42" i="28"/>
  <c r="AZ42" i="28"/>
  <c r="BA42" i="28"/>
  <c r="BB42" i="28"/>
  <c r="BC42" i="28"/>
  <c r="BD42" i="28"/>
  <c r="BE42" i="28"/>
  <c r="BF42" i="28"/>
  <c r="BG42" i="28"/>
  <c r="BH42" i="28"/>
  <c r="BI42" i="28"/>
  <c r="BJ42" i="28"/>
  <c r="BK42" i="28"/>
  <c r="BL42" i="28"/>
  <c r="BM42" i="28"/>
  <c r="BN42" i="28"/>
  <c r="BO42" i="28"/>
  <c r="BP42" i="28"/>
  <c r="BQ42" i="28"/>
  <c r="BR42" i="28"/>
  <c r="BS42" i="28"/>
  <c r="BT42" i="28"/>
  <c r="BU42" i="28"/>
  <c r="CA42" i="28"/>
  <c r="F42" i="28" s="1"/>
  <c r="E44" i="28"/>
  <c r="BX44" i="28" l="1"/>
  <c r="BV44" i="28"/>
  <c r="BW44" i="28"/>
  <c r="K44" i="28"/>
  <c r="BU44" i="28"/>
  <c r="BJ44" i="28"/>
  <c r="AZ44" i="28"/>
  <c r="AO44" i="28"/>
  <c r="AD44" i="28"/>
  <c r="T44" i="28"/>
  <c r="BP44" i="28"/>
  <c r="BE44" i="28"/>
  <c r="AT44" i="28"/>
  <c r="AJ44" i="28"/>
  <c r="Y44" i="28"/>
  <c r="N44" i="28"/>
  <c r="BL44" i="28"/>
  <c r="BA44" i="28"/>
  <c r="AP44" i="28"/>
  <c r="AF44" i="28"/>
  <c r="U44" i="28"/>
  <c r="J44" i="28"/>
  <c r="BQ44" i="28"/>
  <c r="BF44" i="28"/>
  <c r="AV44" i="28"/>
  <c r="AK44" i="28"/>
  <c r="Z44" i="28"/>
  <c r="P44" i="28"/>
  <c r="J4" i="25"/>
  <c r="BT44" i="28"/>
  <c r="BN44" i="28"/>
  <c r="BI44" i="28"/>
  <c r="BD44" i="28"/>
  <c r="AX44" i="28"/>
  <c r="AS44" i="28"/>
  <c r="AN44" i="28"/>
  <c r="AH44" i="28"/>
  <c r="AC44" i="28"/>
  <c r="X44" i="28"/>
  <c r="R44" i="28"/>
  <c r="M44" i="28"/>
  <c r="BR44" i="28"/>
  <c r="BM44" i="28"/>
  <c r="BH44" i="28"/>
  <c r="BB44" i="28"/>
  <c r="AW44" i="28"/>
  <c r="AR44" i="28"/>
  <c r="AL44" i="28"/>
  <c r="AG44" i="28"/>
  <c r="AB44" i="28"/>
  <c r="V44" i="28"/>
  <c r="Q44" i="28"/>
  <c r="L44" i="28"/>
  <c r="BS44" i="28"/>
  <c r="BO44" i="28"/>
  <c r="BK44" i="28"/>
  <c r="BG44" i="28"/>
  <c r="BC44" i="28"/>
  <c r="AY44" i="28"/>
  <c r="AU44" i="28"/>
  <c r="AQ44" i="28"/>
  <c r="AM44" i="28"/>
  <c r="AI44" i="28"/>
  <c r="AE44" i="28"/>
  <c r="AA44" i="28"/>
  <c r="W44" i="28"/>
  <c r="S44" i="28"/>
  <c r="O44" i="28"/>
  <c r="BZ44" i="28" l="1"/>
  <c r="CA44" i="28" s="1"/>
  <c r="F44" i="28" s="1"/>
  <c r="E48" i="28" l="1"/>
  <c r="BX48" i="28" l="1"/>
  <c r="BW48" i="28"/>
  <c r="H16" i="23"/>
  <c r="F90" i="25" l="1"/>
  <c r="F89" i="25"/>
  <c r="F87" i="25"/>
  <c r="F85" i="25"/>
  <c r="F83" i="25"/>
  <c r="F80" i="25"/>
  <c r="F75" i="25"/>
  <c r="F74" i="25"/>
  <c r="F69" i="25"/>
  <c r="F59" i="25"/>
  <c r="F58" i="25"/>
  <c r="F57" i="25"/>
  <c r="F56" i="25"/>
  <c r="F55" i="25"/>
  <c r="F53" i="25"/>
  <c r="F51" i="25"/>
  <c r="F50" i="25"/>
  <c r="F49" i="25"/>
  <c r="F48" i="25"/>
  <c r="F47" i="25"/>
  <c r="F46" i="25"/>
  <c r="F45" i="25"/>
  <c r="F44" i="25"/>
  <c r="F43" i="25"/>
  <c r="F42" i="25"/>
  <c r="F40" i="25"/>
  <c r="F39" i="25"/>
  <c r="F38" i="25"/>
  <c r="F37" i="25"/>
  <c r="F36" i="25"/>
  <c r="F32" i="25"/>
  <c r="F31" i="25"/>
  <c r="F28" i="25"/>
  <c r="F25" i="25"/>
  <c r="F24" i="25"/>
  <c r="F23" i="25"/>
  <c r="G55" i="25" l="1"/>
  <c r="G43" i="25"/>
  <c r="G58" i="25"/>
  <c r="G59" i="25"/>
  <c r="G49" i="25"/>
  <c r="G50" i="25"/>
  <c r="G51" i="25"/>
  <c r="G38" i="25"/>
  <c r="G36" i="25"/>
  <c r="G37" i="25"/>
  <c r="G83" i="25"/>
  <c r="G28" i="25"/>
  <c r="G48" i="25"/>
  <c r="G80" i="25"/>
  <c r="G40" i="25"/>
  <c r="G39" i="25"/>
  <c r="G32" i="25"/>
  <c r="G31" i="25"/>
  <c r="F52" i="25"/>
  <c r="F26" i="25"/>
  <c r="E36" i="28" l="1"/>
  <c r="O23" i="9" l="1"/>
  <c r="F3" i="31"/>
  <c r="S4" i="24" l="1"/>
  <c r="D10" i="14" l="1"/>
  <c r="C39" i="16"/>
  <c r="J6" i="31" l="1"/>
  <c r="J5" i="31"/>
  <c r="J4" i="31"/>
  <c r="D3" i="31"/>
  <c r="D5" i="31" s="1"/>
  <c r="D17" i="31" s="1"/>
  <c r="D20" i="31" s="1"/>
  <c r="D22" i="31" s="1"/>
  <c r="W57" i="23"/>
  <c r="F57" i="23"/>
  <c r="Y57" i="23" s="1"/>
  <c r="E57" i="23"/>
  <c r="X57" i="23" s="1"/>
  <c r="Y56" i="23"/>
  <c r="X56" i="23"/>
  <c r="W56" i="23"/>
  <c r="H56" i="23"/>
  <c r="H57" i="23" s="1"/>
  <c r="AA57" i="23" s="1"/>
  <c r="K4" i="31" l="1"/>
  <c r="D4" i="31" s="1"/>
  <c r="E5" i="31" s="1"/>
  <c r="D7" i="31"/>
  <c r="D9" i="31" s="1"/>
  <c r="D16" i="31"/>
  <c r="I56" i="23"/>
  <c r="I57" i="23" s="1"/>
  <c r="Z56" i="23"/>
  <c r="AA56" i="23"/>
  <c r="G57" i="23"/>
  <c r="Z57" i="23" s="1"/>
  <c r="D10" i="31" l="1"/>
  <c r="J56" i="23"/>
  <c r="AB56" i="23"/>
  <c r="E17" i="31"/>
  <c r="E20" i="31" s="1"/>
  <c r="E22" i="31" s="1"/>
  <c r="E7" i="31"/>
  <c r="E9" i="31" s="1"/>
  <c r="F5" i="31"/>
  <c r="AB57" i="23"/>
  <c r="J57" i="23"/>
  <c r="O56" i="23"/>
  <c r="Q56" i="23" s="1"/>
  <c r="D23" i="31" l="1"/>
  <c r="D24" i="31" s="1"/>
  <c r="E23" i="31"/>
  <c r="E24" i="31" s="1"/>
  <c r="D11" i="31"/>
  <c r="D12" i="31" s="1"/>
  <c r="F7" i="31"/>
  <c r="F9" i="31" s="1"/>
  <c r="F17" i="31"/>
  <c r="F20" i="31" s="1"/>
  <c r="F22" i="31" s="1"/>
  <c r="E10" i="31"/>
  <c r="F10" i="31" l="1"/>
  <c r="F23" i="31"/>
  <c r="I23" i="31" s="1"/>
  <c r="E57" i="25" s="1"/>
  <c r="E11" i="31"/>
  <c r="E12" i="31" s="1"/>
  <c r="I55" i="29"/>
  <c r="I28" i="20"/>
  <c r="I29" i="20" s="1"/>
  <c r="I30" i="20" s="1"/>
  <c r="I31" i="20" s="1"/>
  <c r="X18" i="23"/>
  <c r="Y18" i="23"/>
  <c r="Z18" i="23"/>
  <c r="X20" i="23"/>
  <c r="Y20" i="23"/>
  <c r="Z20" i="23"/>
  <c r="X22" i="23"/>
  <c r="Y22" i="23"/>
  <c r="Z22" i="23"/>
  <c r="X24" i="23"/>
  <c r="Y24" i="23"/>
  <c r="Z24" i="23"/>
  <c r="X26" i="23"/>
  <c r="Y26" i="23"/>
  <c r="Z26" i="23"/>
  <c r="X28" i="23"/>
  <c r="Y28" i="23"/>
  <c r="Z28" i="23"/>
  <c r="X30" i="23"/>
  <c r="Y30" i="23"/>
  <c r="Z30" i="23"/>
  <c r="X32" i="23"/>
  <c r="Y32" i="23"/>
  <c r="Z32" i="23"/>
  <c r="X34" i="23"/>
  <c r="Y34" i="23"/>
  <c r="Z34" i="23"/>
  <c r="X36" i="23"/>
  <c r="Y36" i="23"/>
  <c r="X40" i="23"/>
  <c r="Y40" i="23"/>
  <c r="Z40" i="23"/>
  <c r="X52" i="23"/>
  <c r="Y52" i="23"/>
  <c r="Z52" i="23"/>
  <c r="Z16" i="23"/>
  <c r="Y16" i="23"/>
  <c r="X16" i="23"/>
  <c r="R92" i="25"/>
  <c r="R93" i="25"/>
  <c r="R91" i="25"/>
  <c r="R86" i="25"/>
  <c r="R87" i="25"/>
  <c r="R85" i="25"/>
  <c r="I33" i="20" l="1"/>
  <c r="I34" i="20" s="1"/>
  <c r="I32" i="20"/>
  <c r="AA57" i="25"/>
  <c r="F24" i="31"/>
  <c r="F25" i="31" s="1"/>
  <c r="F11" i="31"/>
  <c r="I11" i="31" s="1"/>
  <c r="E56" i="25" s="1"/>
  <c r="H9" i="24"/>
  <c r="H6" i="25" l="1"/>
  <c r="J47" i="25" s="1"/>
  <c r="E3" i="35"/>
  <c r="AA56" i="25"/>
  <c r="G57" i="25"/>
  <c r="E25" i="31"/>
  <c r="D25" i="31"/>
  <c r="F12" i="31"/>
  <c r="J6" i="25" l="1"/>
  <c r="G56" i="25"/>
  <c r="F13" i="31"/>
  <c r="E13" i="31"/>
  <c r="D13" i="31"/>
  <c r="R88" i="25"/>
  <c r="R94" i="25"/>
  <c r="E94" i="25" s="1"/>
  <c r="G94" i="25" l="1"/>
  <c r="AA94" i="25"/>
  <c r="K109" i="28"/>
  <c r="H28" i="23"/>
  <c r="H29" i="23" l="1"/>
  <c r="AA28" i="23"/>
  <c r="X27" i="23"/>
  <c r="AA29" i="23" l="1"/>
  <c r="D30" i="20" l="1"/>
  <c r="D28" i="20"/>
  <c r="M69" i="25"/>
  <c r="D219" i="28" l="1"/>
  <c r="D220" i="28"/>
  <c r="Y90" i="25"/>
  <c r="E6" i="20" l="1"/>
  <c r="E35" i="29" s="1"/>
  <c r="BK6" i="19" l="1"/>
  <c r="BL6" i="19"/>
  <c r="BM6" i="19"/>
  <c r="BN6" i="19"/>
  <c r="BJ122" i="29" s="1"/>
  <c r="BO6" i="19"/>
  <c r="BP6" i="19"/>
  <c r="BQ182" i="28" s="1"/>
  <c r="BQ6" i="19"/>
  <c r="BR6" i="19"/>
  <c r="BN122" i="29" s="1"/>
  <c r="BS6" i="19"/>
  <c r="BT6" i="19"/>
  <c r="BT119" i="28"/>
  <c r="BS119" i="28"/>
  <c r="BR119" i="28"/>
  <c r="BQ119" i="28"/>
  <c r="BP119" i="28"/>
  <c r="BO119" i="28"/>
  <c r="BN119" i="28"/>
  <c r="BM119" i="28"/>
  <c r="BL119" i="28"/>
  <c r="BU96" i="28"/>
  <c r="BT96" i="28"/>
  <c r="BS96" i="28"/>
  <c r="BR96" i="28"/>
  <c r="BQ96" i="28"/>
  <c r="BP96" i="28"/>
  <c r="BO96" i="28"/>
  <c r="BN96" i="28"/>
  <c r="BM96" i="28"/>
  <c r="BL96" i="28"/>
  <c r="BK96" i="28"/>
  <c r="BJ96" i="28"/>
  <c r="BI96" i="28"/>
  <c r="BH96" i="28"/>
  <c r="BG96" i="28"/>
  <c r="BF96" i="28"/>
  <c r="BU88" i="28"/>
  <c r="BT88" i="28"/>
  <c r="BS88" i="28"/>
  <c r="BR88" i="28"/>
  <c r="BQ88" i="28"/>
  <c r="BP88" i="28"/>
  <c r="BO88" i="28"/>
  <c r="BN88" i="28"/>
  <c r="BM88" i="28"/>
  <c r="BL88" i="28"/>
  <c r="BK88" i="28"/>
  <c r="BJ88" i="28"/>
  <c r="BI88" i="28"/>
  <c r="BH88" i="28"/>
  <c r="BG88" i="28"/>
  <c r="BF88" i="28"/>
  <c r="BU75" i="28"/>
  <c r="BT75" i="28"/>
  <c r="BS75" i="28"/>
  <c r="BR75" i="28"/>
  <c r="BQ75" i="28"/>
  <c r="BP75" i="28"/>
  <c r="BO75" i="28"/>
  <c r="BN75" i="28"/>
  <c r="BM75" i="28"/>
  <c r="BL75" i="28"/>
  <c r="BK75" i="28"/>
  <c r="BJ75" i="28"/>
  <c r="BI75" i="28"/>
  <c r="BH75" i="28"/>
  <c r="BG75" i="28"/>
  <c r="BF75" i="28"/>
  <c r="BU68" i="28"/>
  <c r="BT68" i="28"/>
  <c r="BS68" i="28"/>
  <c r="BR68" i="28"/>
  <c r="BQ68" i="28"/>
  <c r="BP68" i="28"/>
  <c r="BO68" i="28"/>
  <c r="BN68" i="28"/>
  <c r="BM68" i="28"/>
  <c r="BL68" i="28"/>
  <c r="BK68" i="28"/>
  <c r="BJ68" i="28"/>
  <c r="BI68" i="28"/>
  <c r="BH68" i="28"/>
  <c r="BG68" i="28"/>
  <c r="BF68" i="28"/>
  <c r="BU57" i="28"/>
  <c r="BT57" i="28"/>
  <c r="BS57" i="28"/>
  <c r="BR57" i="28"/>
  <c r="BQ57" i="28"/>
  <c r="BP57" i="28"/>
  <c r="BO57" i="28"/>
  <c r="BN57" i="28"/>
  <c r="BM57" i="28"/>
  <c r="BL57" i="28"/>
  <c r="BK57" i="28"/>
  <c r="BJ57" i="28"/>
  <c r="BI57" i="28"/>
  <c r="BH57" i="28"/>
  <c r="BG57" i="28"/>
  <c r="BF57" i="28"/>
  <c r="BU49" i="28"/>
  <c r="BT49" i="28"/>
  <c r="BS49" i="28"/>
  <c r="BR49" i="28"/>
  <c r="BQ49" i="28"/>
  <c r="BP49" i="28"/>
  <c r="BO49" i="28"/>
  <c r="BN49" i="28"/>
  <c r="BM49" i="28"/>
  <c r="BL49" i="28"/>
  <c r="BK49" i="28"/>
  <c r="BJ49" i="28"/>
  <c r="BI49" i="28"/>
  <c r="BH49" i="28"/>
  <c r="BG49" i="28"/>
  <c r="BF49" i="28"/>
  <c r="BU182" i="28"/>
  <c r="BT182" i="28"/>
  <c r="BR182" i="28"/>
  <c r="BP182" i="28"/>
  <c r="BN182" i="28"/>
  <c r="BM182" i="28"/>
  <c r="BL182" i="28"/>
  <c r="BU33" i="28"/>
  <c r="BT33" i="28"/>
  <c r="BS33" i="28"/>
  <c r="BR33" i="28"/>
  <c r="BQ33" i="28"/>
  <c r="BP33" i="28"/>
  <c r="BO33" i="28"/>
  <c r="BN33" i="28"/>
  <c r="BM33" i="28"/>
  <c r="BL33" i="28"/>
  <c r="BK33" i="28"/>
  <c r="BJ33" i="28"/>
  <c r="BI33" i="28"/>
  <c r="BH33" i="28"/>
  <c r="BG33" i="28"/>
  <c r="BF33" i="28"/>
  <c r="BU30" i="28"/>
  <c r="BT30" i="28"/>
  <c r="BS30" i="28"/>
  <c r="BR30" i="28"/>
  <c r="BQ30" i="28"/>
  <c r="BP30" i="28"/>
  <c r="BO30" i="28"/>
  <c r="BN30" i="28"/>
  <c r="BM30" i="28"/>
  <c r="BL30" i="28"/>
  <c r="BK30" i="28"/>
  <c r="BJ30" i="28"/>
  <c r="BI30" i="28"/>
  <c r="BH30" i="28"/>
  <c r="BG30" i="28"/>
  <c r="BF30" i="28"/>
  <c r="BU24" i="28"/>
  <c r="BT24" i="28"/>
  <c r="BS24" i="28"/>
  <c r="BR24" i="28"/>
  <c r="BQ24" i="28"/>
  <c r="BP24" i="28"/>
  <c r="BO24" i="28"/>
  <c r="BN24" i="28"/>
  <c r="BM24" i="28"/>
  <c r="BL24" i="28"/>
  <c r="BK24" i="28"/>
  <c r="BJ24" i="28"/>
  <c r="BI24" i="28"/>
  <c r="BH24" i="28"/>
  <c r="BG24" i="28"/>
  <c r="BF24" i="28"/>
  <c r="BU21" i="28"/>
  <c r="BT21" i="28"/>
  <c r="BS21" i="28"/>
  <c r="BR21" i="28"/>
  <c r="BQ21" i="28"/>
  <c r="BP21" i="28"/>
  <c r="BO21" i="28"/>
  <c r="BN21" i="28"/>
  <c r="BM21" i="28"/>
  <c r="BL21" i="28"/>
  <c r="BK21" i="28"/>
  <c r="BJ21" i="28"/>
  <c r="BI21" i="28"/>
  <c r="BH21" i="28"/>
  <c r="BG21" i="28"/>
  <c r="BF21" i="28"/>
  <c r="BU18" i="28"/>
  <c r="BT18" i="28"/>
  <c r="BS18" i="28"/>
  <c r="BR18" i="28"/>
  <c r="BQ18" i="28"/>
  <c r="BP18" i="28"/>
  <c r="BO18" i="28"/>
  <c r="BN18" i="28"/>
  <c r="BM18" i="28"/>
  <c r="BL18" i="28"/>
  <c r="BK18" i="28"/>
  <c r="BJ18" i="28"/>
  <c r="BI18" i="28"/>
  <c r="BH18" i="28"/>
  <c r="BG18" i="28"/>
  <c r="BF18" i="28"/>
  <c r="BU15" i="28"/>
  <c r="BT15" i="28"/>
  <c r="BS15" i="28"/>
  <c r="BR15" i="28"/>
  <c r="BQ15" i="28"/>
  <c r="BP15" i="28"/>
  <c r="BO15" i="28"/>
  <c r="BN15" i="28"/>
  <c r="BM15" i="28"/>
  <c r="BL15" i="28"/>
  <c r="BK15" i="28"/>
  <c r="BJ15" i="28"/>
  <c r="BI15" i="28"/>
  <c r="BH15" i="28"/>
  <c r="BG15" i="28"/>
  <c r="BF15" i="28"/>
  <c r="BU12" i="28"/>
  <c r="BT12" i="28"/>
  <c r="BS12" i="28"/>
  <c r="BR12" i="28"/>
  <c r="BQ12" i="28"/>
  <c r="BP12" i="28"/>
  <c r="BO12" i="28"/>
  <c r="BN12" i="28"/>
  <c r="BM12" i="28"/>
  <c r="BL12" i="28"/>
  <c r="BK12" i="28"/>
  <c r="BJ12" i="28"/>
  <c r="BI12" i="28"/>
  <c r="BH12" i="28"/>
  <c r="BG12" i="28"/>
  <c r="BF12" i="28"/>
  <c r="BP89" i="29"/>
  <c r="BU91" i="28" s="1"/>
  <c r="BO89" i="29"/>
  <c r="BT91" i="28" s="1"/>
  <c r="BN89" i="29"/>
  <c r="BS91" i="28" s="1"/>
  <c r="BM89" i="29"/>
  <c r="BR91" i="28" s="1"/>
  <c r="BL89" i="29"/>
  <c r="BQ91" i="28" s="1"/>
  <c r="BK89" i="29"/>
  <c r="BP91" i="28" s="1"/>
  <c r="BJ89" i="29"/>
  <c r="BO91" i="28" s="1"/>
  <c r="BI89" i="29"/>
  <c r="BN91" i="28" s="1"/>
  <c r="BH89" i="29"/>
  <c r="BM91" i="28" s="1"/>
  <c r="BG89" i="29"/>
  <c r="BL91" i="28" s="1"/>
  <c r="BF89" i="29"/>
  <c r="BK91" i="28" s="1"/>
  <c r="BE89" i="29"/>
  <c r="BJ91" i="28" s="1"/>
  <c r="BD89" i="29"/>
  <c r="BI91" i="28" s="1"/>
  <c r="BC89" i="29"/>
  <c r="BH91" i="28" s="1"/>
  <c r="BB89" i="29"/>
  <c r="BG91" i="28" s="1"/>
  <c r="BA89" i="29"/>
  <c r="BF91" i="28" s="1"/>
  <c r="BP88" i="29"/>
  <c r="BO88" i="29"/>
  <c r="BN88" i="29"/>
  <c r="BM88" i="29"/>
  <c r="BL88" i="29"/>
  <c r="BK88" i="29"/>
  <c r="BJ88" i="29"/>
  <c r="BI88" i="29"/>
  <c r="BH88" i="29"/>
  <c r="BG88" i="29"/>
  <c r="BF88" i="29"/>
  <c r="BE88" i="29"/>
  <c r="BD88" i="29"/>
  <c r="BC88" i="29"/>
  <c r="BB88" i="29"/>
  <c r="BA88" i="29"/>
  <c r="BP58" i="29"/>
  <c r="BO58" i="29"/>
  <c r="BN58" i="29"/>
  <c r="BM58" i="29"/>
  <c r="BL58" i="29"/>
  <c r="BK58" i="29"/>
  <c r="BJ58" i="29"/>
  <c r="BI58" i="29"/>
  <c r="BH58" i="29"/>
  <c r="BG58" i="29"/>
  <c r="BF58" i="29"/>
  <c r="BE58" i="29"/>
  <c r="BD58" i="29"/>
  <c r="BC58" i="29"/>
  <c r="BB58" i="29"/>
  <c r="BA58" i="29"/>
  <c r="BP55" i="29"/>
  <c r="BO55" i="29"/>
  <c r="BN55" i="29"/>
  <c r="BM55" i="29"/>
  <c r="BL55" i="29"/>
  <c r="BK55" i="29"/>
  <c r="BJ55" i="29"/>
  <c r="BI55" i="29"/>
  <c r="BH55" i="29"/>
  <c r="BG55" i="29"/>
  <c r="BF55" i="29"/>
  <c r="BE55" i="29"/>
  <c r="BD55" i="29"/>
  <c r="BC55" i="29"/>
  <c r="BB55" i="29"/>
  <c r="BA55" i="29"/>
  <c r="BP43" i="29"/>
  <c r="BO43" i="29"/>
  <c r="BN43" i="29"/>
  <c r="BM43" i="29"/>
  <c r="BL43" i="29"/>
  <c r="BK43" i="29"/>
  <c r="BJ43" i="29"/>
  <c r="BI43" i="29"/>
  <c r="BH43" i="29"/>
  <c r="BG43" i="29"/>
  <c r="BF43" i="29"/>
  <c r="BE43" i="29"/>
  <c r="BD43" i="29"/>
  <c r="BC43" i="29"/>
  <c r="BB43" i="29"/>
  <c r="BA43" i="29"/>
  <c r="BP41" i="29"/>
  <c r="BO41" i="29"/>
  <c r="BN41" i="29"/>
  <c r="BM41" i="29"/>
  <c r="BL41" i="29"/>
  <c r="BK41" i="29"/>
  <c r="BJ41" i="29"/>
  <c r="BI41" i="29"/>
  <c r="BH41" i="29"/>
  <c r="BG41" i="29"/>
  <c r="BF41" i="29"/>
  <c r="BE41" i="29"/>
  <c r="BD41" i="29"/>
  <c r="BC41" i="29"/>
  <c r="BB41" i="29"/>
  <c r="BA41" i="29"/>
  <c r="BP143" i="29"/>
  <c r="BO143" i="29"/>
  <c r="BN143" i="29"/>
  <c r="BM143" i="29"/>
  <c r="BL143" i="29"/>
  <c r="BK143" i="29"/>
  <c r="BJ143" i="29"/>
  <c r="BI143" i="29"/>
  <c r="BH143" i="29"/>
  <c r="BG143" i="29"/>
  <c r="BF143" i="29"/>
  <c r="BE143" i="29"/>
  <c r="BD143" i="29"/>
  <c r="BC143" i="29"/>
  <c r="BB143" i="29"/>
  <c r="BA143" i="29"/>
  <c r="BP136" i="29"/>
  <c r="BO136" i="29"/>
  <c r="BN136" i="29"/>
  <c r="BM136" i="29"/>
  <c r="BL136" i="29"/>
  <c r="BK136" i="29"/>
  <c r="BJ136" i="29"/>
  <c r="BI136" i="29"/>
  <c r="BH136" i="29"/>
  <c r="BG136" i="29"/>
  <c r="BF136" i="29"/>
  <c r="BE136" i="29"/>
  <c r="BD136" i="29"/>
  <c r="BC136" i="29"/>
  <c r="BB136" i="29"/>
  <c r="BA136" i="29"/>
  <c r="BP134" i="29"/>
  <c r="BO134" i="29"/>
  <c r="BN134" i="29"/>
  <c r="BM134" i="29"/>
  <c r="BL134" i="29"/>
  <c r="BK134" i="29"/>
  <c r="BJ134" i="29"/>
  <c r="BI134" i="29"/>
  <c r="BH134" i="29"/>
  <c r="BG134" i="29"/>
  <c r="BF134" i="29"/>
  <c r="BE134" i="29"/>
  <c r="BD134" i="29"/>
  <c r="BC134" i="29"/>
  <c r="BB134" i="29"/>
  <c r="BA134" i="29"/>
  <c r="BP122" i="29"/>
  <c r="BO122" i="29"/>
  <c r="BM122" i="29"/>
  <c r="BK122" i="29"/>
  <c r="BI122" i="29"/>
  <c r="BH122" i="29"/>
  <c r="BG122" i="29"/>
  <c r="BP114" i="29"/>
  <c r="BP118" i="29" s="1"/>
  <c r="BO114" i="29"/>
  <c r="BO118" i="29" s="1"/>
  <c r="BN114" i="29"/>
  <c r="BN118" i="29" s="1"/>
  <c r="BM114" i="29"/>
  <c r="BM118" i="29" s="1"/>
  <c r="BL114" i="29"/>
  <c r="BL118" i="29" s="1"/>
  <c r="BK114" i="29"/>
  <c r="BK118" i="29" s="1"/>
  <c r="BJ114" i="29"/>
  <c r="BJ118" i="29" s="1"/>
  <c r="BI114" i="29"/>
  <c r="BI118" i="29" s="1"/>
  <c r="BH114" i="29"/>
  <c r="BH118" i="29" s="1"/>
  <c r="BG114" i="29"/>
  <c r="BG118" i="29" s="1"/>
  <c r="BF114" i="29"/>
  <c r="BF118" i="29" s="1"/>
  <c r="BE114" i="29"/>
  <c r="BE118" i="29" s="1"/>
  <c r="BD114" i="29"/>
  <c r="BD118" i="29" s="1"/>
  <c r="BC114" i="29"/>
  <c r="BC118" i="29" s="1"/>
  <c r="BB114" i="29"/>
  <c r="BB118" i="29" s="1"/>
  <c r="BA114" i="29"/>
  <c r="BA118" i="29" s="1"/>
  <c r="BP5" i="29"/>
  <c r="BO5" i="29"/>
  <c r="BN5" i="29"/>
  <c r="BM5" i="29"/>
  <c r="BL5" i="29"/>
  <c r="BK5" i="29"/>
  <c r="BJ5" i="29"/>
  <c r="BI5" i="29"/>
  <c r="BH5" i="29"/>
  <c r="BG5" i="29"/>
  <c r="BF5" i="29"/>
  <c r="BE5" i="29"/>
  <c r="BD5" i="29"/>
  <c r="BC5" i="29"/>
  <c r="BB5" i="29"/>
  <c r="BA5" i="29"/>
  <c r="AZ5" i="29"/>
  <c r="BI52" i="29" l="1"/>
  <c r="BI85" i="29"/>
  <c r="BJ52" i="29"/>
  <c r="BJ85" i="29"/>
  <c r="BK52" i="29"/>
  <c r="BK85" i="29"/>
  <c r="AZ52" i="29"/>
  <c r="AZ85" i="29"/>
  <c r="BL52" i="29"/>
  <c r="BL85" i="29"/>
  <c r="BG52" i="29"/>
  <c r="BG85" i="29"/>
  <c r="BA52" i="29"/>
  <c r="BA85" i="29"/>
  <c r="BM52" i="29"/>
  <c r="BM85" i="29"/>
  <c r="BH52" i="29"/>
  <c r="BH85" i="29"/>
  <c r="BB52" i="29"/>
  <c r="BB85" i="29"/>
  <c r="BN52" i="29"/>
  <c r="BN85" i="29"/>
  <c r="BC52" i="29"/>
  <c r="BC85" i="29"/>
  <c r="BO52" i="29"/>
  <c r="BO85" i="29"/>
  <c r="BD85" i="29"/>
  <c r="BD52" i="29"/>
  <c r="BP85" i="29"/>
  <c r="BP52" i="29"/>
  <c r="BE85" i="29"/>
  <c r="BE52" i="29"/>
  <c r="BF52" i="29"/>
  <c r="BF85" i="29"/>
  <c r="BK90" i="29"/>
  <c r="BK46" i="29"/>
  <c r="AZ90" i="29"/>
  <c r="AZ46" i="29"/>
  <c r="BL90" i="29"/>
  <c r="BL46" i="29"/>
  <c r="BA90" i="29"/>
  <c r="BA46" i="29"/>
  <c r="BM90" i="29"/>
  <c r="BM46" i="29"/>
  <c r="BC46" i="29"/>
  <c r="BC90" i="29"/>
  <c r="BO46" i="29"/>
  <c r="BO90" i="29"/>
  <c r="BE90" i="29"/>
  <c r="BE46" i="29"/>
  <c r="BF46" i="29"/>
  <c r="BF90" i="29"/>
  <c r="BB90" i="29"/>
  <c r="BB46" i="29"/>
  <c r="BP46" i="29"/>
  <c r="BP90" i="29"/>
  <c r="BG90" i="29"/>
  <c r="BG46" i="29"/>
  <c r="BH46" i="29"/>
  <c r="BH90" i="29"/>
  <c r="BI90" i="29"/>
  <c r="BI46" i="29"/>
  <c r="BN90" i="29"/>
  <c r="BN46" i="29"/>
  <c r="BD46" i="29"/>
  <c r="BD90" i="29"/>
  <c r="BJ90" i="29"/>
  <c r="BJ46" i="29"/>
  <c r="BI144" i="29"/>
  <c r="BE144" i="29"/>
  <c r="BM144" i="29"/>
  <c r="BL122" i="29"/>
  <c r="BA144" i="29"/>
  <c r="BO182" i="28"/>
  <c r="BS182" i="28"/>
  <c r="BA137" i="29"/>
  <c r="BA138" i="29" s="1"/>
  <c r="BE137" i="29"/>
  <c r="BE141" i="29" s="1"/>
  <c r="BI137" i="29"/>
  <c r="BI141" i="29" s="1"/>
  <c r="BM137" i="29"/>
  <c r="BM141" i="29" s="1"/>
  <c r="BA44" i="29"/>
  <c r="BF48" i="28" s="1"/>
  <c r="BI64" i="29"/>
  <c r="BI93" i="29"/>
  <c r="BI44" i="29"/>
  <c r="BN48" i="28" s="1"/>
  <c r="BK144" i="29"/>
  <c r="BK93" i="29"/>
  <c r="BK64" i="29"/>
  <c r="BK44" i="29"/>
  <c r="BP48" i="28" s="1"/>
  <c r="BB144" i="29"/>
  <c r="BB93" i="29"/>
  <c r="BB64" i="29"/>
  <c r="BB44" i="29"/>
  <c r="BG48" i="28" s="1"/>
  <c r="BF144" i="29"/>
  <c r="BF93" i="29"/>
  <c r="BF64" i="29"/>
  <c r="BF44" i="29"/>
  <c r="BK48" i="28" s="1"/>
  <c r="BJ144" i="29"/>
  <c r="BJ93" i="29"/>
  <c r="BJ64" i="29"/>
  <c r="BJ44" i="29"/>
  <c r="BO48" i="28" s="1"/>
  <c r="BN144" i="29"/>
  <c r="BN93" i="29"/>
  <c r="BN64" i="29"/>
  <c r="BN44" i="29"/>
  <c r="BS48" i="28" s="1"/>
  <c r="BD137" i="29"/>
  <c r="BD141" i="29" s="1"/>
  <c r="BH137" i="29"/>
  <c r="BH141" i="29" s="1"/>
  <c r="BL137" i="29"/>
  <c r="BL138" i="29" s="1"/>
  <c r="BP137" i="29"/>
  <c r="BP138" i="29" s="1"/>
  <c r="BE44" i="29"/>
  <c r="BJ48" i="28" s="1"/>
  <c r="BE64" i="29"/>
  <c r="BE93" i="29"/>
  <c r="BC144" i="29"/>
  <c r="BC93" i="29"/>
  <c r="BC64" i="29"/>
  <c r="BO144" i="29"/>
  <c r="BO93" i="29"/>
  <c r="BO64" i="29"/>
  <c r="BO44" i="29"/>
  <c r="BT48" i="28" s="1"/>
  <c r="BD144" i="29"/>
  <c r="BD93" i="29"/>
  <c r="BD64" i="29"/>
  <c r="BH144" i="29"/>
  <c r="BH93" i="29"/>
  <c r="BH64" i="29"/>
  <c r="BH44" i="29"/>
  <c r="BM48" i="28" s="1"/>
  <c r="BL144" i="29"/>
  <c r="BL93" i="29"/>
  <c r="BL64" i="29"/>
  <c r="BL44" i="29"/>
  <c r="BQ48" i="28" s="1"/>
  <c r="BP144" i="29"/>
  <c r="BP93" i="29"/>
  <c r="BP64" i="29"/>
  <c r="BP44" i="29"/>
  <c r="BU48" i="28" s="1"/>
  <c r="BB137" i="29"/>
  <c r="BB141" i="29" s="1"/>
  <c r="BF137" i="29"/>
  <c r="BF141" i="29" s="1"/>
  <c r="BJ137" i="29"/>
  <c r="BJ138" i="29" s="1"/>
  <c r="BN137" i="29"/>
  <c r="BN138" i="29" s="1"/>
  <c r="BC44" i="29"/>
  <c r="BH48" i="28" s="1"/>
  <c r="BM44" i="29"/>
  <c r="BR48" i="28" s="1"/>
  <c r="BM64" i="29"/>
  <c r="BM93" i="29"/>
  <c r="BG144" i="29"/>
  <c r="BG93" i="29"/>
  <c r="BG64" i="29"/>
  <c r="BG44" i="29"/>
  <c r="BL48" i="28" s="1"/>
  <c r="BC137" i="29"/>
  <c r="BC141" i="29" s="1"/>
  <c r="BG137" i="29"/>
  <c r="BG141" i="29" s="1"/>
  <c r="BK137" i="29"/>
  <c r="BK141" i="29" s="1"/>
  <c r="BO137" i="29"/>
  <c r="BO138" i="29" s="1"/>
  <c r="BD44" i="29"/>
  <c r="BI48" i="28" s="1"/>
  <c r="BA64" i="29"/>
  <c r="BA93" i="29"/>
  <c r="BY109" i="28"/>
  <c r="BA141" i="29" l="1"/>
  <c r="BM138" i="29"/>
  <c r="BK138" i="29"/>
  <c r="BP141" i="29"/>
  <c r="BC138" i="29"/>
  <c r="BD138" i="29"/>
  <c r="BF138" i="29"/>
  <c r="BO141" i="29"/>
  <c r="BN141" i="29"/>
  <c r="BJ141" i="29"/>
  <c r="BH138" i="29"/>
  <c r="BB138" i="29"/>
  <c r="BE138" i="29"/>
  <c r="BI138" i="29"/>
  <c r="BG138" i="29"/>
  <c r="BL141" i="29"/>
  <c r="BY117" i="28" l="1"/>
  <c r="R41" i="25"/>
  <c r="BY88" i="28"/>
  <c r="AB27" i="25" l="1"/>
  <c r="BN83" i="29"/>
  <c r="BJ83" i="29"/>
  <c r="BF83" i="29"/>
  <c r="BB83" i="29"/>
  <c r="BN75" i="29"/>
  <c r="BS77" i="28" s="1"/>
  <c r="BJ75" i="29"/>
  <c r="BO77" i="28" s="1"/>
  <c r="BF75" i="29"/>
  <c r="BK77" i="28" s="1"/>
  <c r="BB75" i="29"/>
  <c r="BG77" i="28" s="1"/>
  <c r="BO83" i="29"/>
  <c r="BC83" i="29"/>
  <c r="BO75" i="29"/>
  <c r="BT77" i="28" s="1"/>
  <c r="BG75" i="29"/>
  <c r="BL77" i="28" s="1"/>
  <c r="BM83" i="29"/>
  <c r="BI83" i="29"/>
  <c r="BE83" i="29"/>
  <c r="BA83" i="29"/>
  <c r="BM75" i="29"/>
  <c r="BR77" i="28" s="1"/>
  <c r="BI75" i="29"/>
  <c r="BN77" i="28" s="1"/>
  <c r="BE75" i="29"/>
  <c r="BJ77" i="28" s="1"/>
  <c r="BA75" i="29"/>
  <c r="BF77" i="28" s="1"/>
  <c r="BG83" i="29"/>
  <c r="BK75" i="29"/>
  <c r="BP77" i="28" s="1"/>
  <c r="BC75" i="29"/>
  <c r="BH77" i="28" s="1"/>
  <c r="BP83" i="29"/>
  <c r="BL83" i="29"/>
  <c r="BH83" i="29"/>
  <c r="BD83" i="29"/>
  <c r="BP75" i="29"/>
  <c r="BU77" i="28" s="1"/>
  <c r="BL75" i="29"/>
  <c r="BQ77" i="28" s="1"/>
  <c r="BH75" i="29"/>
  <c r="BM77" i="28" s="1"/>
  <c r="BD75" i="29"/>
  <c r="BI77" i="28" s="1"/>
  <c r="BK83" i="29"/>
  <c r="N7" i="25"/>
  <c r="J11" i="24" l="1"/>
  <c r="D71" i="29" l="1"/>
  <c r="X17" i="23" l="1"/>
  <c r="T32" i="25" l="1"/>
  <c r="AC94" i="25"/>
  <c r="E23" i="11" l="1"/>
  <c r="G23" i="11" s="1"/>
  <c r="E83" i="14"/>
  <c r="E82" i="14"/>
  <c r="D81" i="14"/>
  <c r="G72" i="14"/>
  <c r="F47" i="14"/>
  <c r="F45" i="14"/>
  <c r="F44" i="14"/>
  <c r="D37" i="14"/>
  <c r="D16" i="14"/>
  <c r="J13" i="14"/>
  <c r="F13" i="14"/>
  <c r="F12" i="14"/>
  <c r="C12" i="14"/>
  <c r="D30" i="14" s="1"/>
  <c r="C11" i="14"/>
  <c r="D23" i="14" s="1"/>
  <c r="G10" i="14"/>
  <c r="G12" i="14" s="1"/>
  <c r="G13" i="14" s="1"/>
  <c r="F10" i="14"/>
  <c r="F11" i="14" s="1"/>
  <c r="E10" i="14"/>
  <c r="E11" i="14" s="1"/>
  <c r="D11" i="14"/>
  <c r="M60" i="18"/>
  <c r="E58" i="18"/>
  <c r="E56" i="18"/>
  <c r="F54" i="18"/>
  <c r="F56" i="18" s="1"/>
  <c r="F58" i="18" s="1"/>
  <c r="L42" i="18"/>
  <c r="N39" i="18"/>
  <c r="L39" i="18" s="1"/>
  <c r="L40" i="18" s="1"/>
  <c r="I38" i="18"/>
  <c r="F34" i="18"/>
  <c r="I33" i="18"/>
  <c r="I32" i="18"/>
  <c r="G20" i="18"/>
  <c r="H20" i="18" s="1"/>
  <c r="I20" i="18" s="1"/>
  <c r="L38" i="18" s="1"/>
  <c r="G19" i="18"/>
  <c r="H19" i="18" s="1"/>
  <c r="I19" i="18" s="1"/>
  <c r="G18" i="18"/>
  <c r="H18" i="18" s="1"/>
  <c r="I18" i="18" s="1"/>
  <c r="G17" i="18"/>
  <c r="H17" i="18" s="1"/>
  <c r="I17" i="18" s="1"/>
  <c r="E14" i="18"/>
  <c r="C14" i="18"/>
  <c r="C37" i="17"/>
  <c r="E37" i="17" s="1"/>
  <c r="C11" i="17"/>
  <c r="C27" i="17" s="1"/>
  <c r="E27" i="17" s="1"/>
  <c r="E7" i="17"/>
  <c r="E63" i="16"/>
  <c r="G63" i="16" s="1"/>
  <c r="I56" i="16"/>
  <c r="I57" i="16" s="1"/>
  <c r="C55" i="16" s="1"/>
  <c r="E55" i="16"/>
  <c r="L54" i="16"/>
  <c r="L55" i="16" s="1"/>
  <c r="L56" i="16" s="1"/>
  <c r="L57" i="16" s="1"/>
  <c r="C57" i="16" s="1"/>
  <c r="J54" i="16"/>
  <c r="J53" i="16"/>
  <c r="C53" i="16"/>
  <c r="J52" i="16"/>
  <c r="H46" i="16"/>
  <c r="D39" i="16"/>
  <c r="G39" i="16" s="1"/>
  <c r="D16" i="16"/>
  <c r="D17" i="16" s="1"/>
  <c r="F15" i="16"/>
  <c r="G15" i="16" s="1"/>
  <c r="F14" i="16"/>
  <c r="D13" i="16"/>
  <c r="F13" i="16" s="1"/>
  <c r="G13" i="16" s="1"/>
  <c r="F49" i="15"/>
  <c r="G36" i="15"/>
  <c r="G32" i="15"/>
  <c r="G31" i="15"/>
  <c r="G11" i="15"/>
  <c r="C6" i="19"/>
  <c r="C7" i="19" s="1"/>
  <c r="C8" i="19" s="1"/>
  <c r="C9" i="19" s="1"/>
  <c r="C10" i="19" s="1"/>
  <c r="C11" i="19" s="1"/>
  <c r="C12" i="19" s="1"/>
  <c r="C13" i="19" s="1"/>
  <c r="C14" i="19" s="1"/>
  <c r="C15" i="19" s="1"/>
  <c r="C16" i="19" s="1"/>
  <c r="C17" i="19" s="1"/>
  <c r="C18" i="19" s="1"/>
  <c r="C19" i="19" s="1"/>
  <c r="C20" i="19" s="1"/>
  <c r="C21" i="19" s="1"/>
  <c r="C22" i="19" s="1"/>
  <c r="C23" i="19" s="1"/>
  <c r="C24" i="19" s="1"/>
  <c r="C25" i="19" s="1"/>
  <c r="C26" i="19" s="1"/>
  <c r="C27" i="19" s="1"/>
  <c r="C28" i="19" s="1"/>
  <c r="C29" i="19" s="1"/>
  <c r="C30" i="19" s="1"/>
  <c r="C31" i="19" s="1"/>
  <c r="C32" i="19" s="1"/>
  <c r="C33" i="19" s="1"/>
  <c r="C34" i="19" s="1"/>
  <c r="C35" i="19" s="1"/>
  <c r="C36" i="19" s="1"/>
  <c r="C37" i="19" s="1"/>
  <c r="C38" i="19" s="1"/>
  <c r="C39" i="19" s="1"/>
  <c r="C40" i="19" s="1"/>
  <c r="C41" i="19" s="1"/>
  <c r="C42" i="19" s="1"/>
  <c r="C43" i="19" s="1"/>
  <c r="C44" i="19" s="1"/>
  <c r="C45" i="19" s="1"/>
  <c r="C46" i="19" s="1"/>
  <c r="C47" i="19" s="1"/>
  <c r="C48" i="19" s="1"/>
  <c r="C49" i="19" s="1"/>
  <c r="C50" i="19" s="1"/>
  <c r="C51" i="19" s="1"/>
  <c r="C52" i="19" s="1"/>
  <c r="C53" i="19" s="1"/>
  <c r="C54" i="19" s="1"/>
  <c r="C55" i="19" s="1"/>
  <c r="C56" i="19" s="1"/>
  <c r="C57" i="19" s="1"/>
  <c r="C58" i="19" s="1"/>
  <c r="C59" i="19" s="1"/>
  <c r="C60" i="19" s="1"/>
  <c r="C61" i="19" s="1"/>
  <c r="C62" i="19" s="1"/>
  <c r="C63" i="19" s="1"/>
  <c r="C64" i="19" s="1"/>
  <c r="C65" i="19" s="1"/>
  <c r="C66" i="19" s="1"/>
  <c r="C67" i="19" s="1"/>
  <c r="C68" i="19" s="1"/>
  <c r="C69" i="19" s="1"/>
  <c r="C70" i="19" s="1"/>
  <c r="C71" i="19" s="1"/>
  <c r="C72" i="19" s="1"/>
  <c r="C73" i="19" s="1"/>
  <c r="C74" i="19" s="1"/>
  <c r="C75" i="19" s="1"/>
  <c r="C76" i="19" s="1"/>
  <c r="C77" i="19" s="1"/>
  <c r="C78" i="19" s="1"/>
  <c r="C79" i="19" s="1"/>
  <c r="C80" i="19" s="1"/>
  <c r="C81" i="19" s="1"/>
  <c r="C82" i="19" s="1"/>
  <c r="C83" i="19" s="1"/>
  <c r="C84" i="19" s="1"/>
  <c r="C85" i="19" s="1"/>
  <c r="C86" i="19" s="1"/>
  <c r="C87" i="19" s="1"/>
  <c r="C88" i="19" s="1"/>
  <c r="C89" i="19" s="1"/>
  <c r="C90" i="19" s="1"/>
  <c r="C91" i="19" s="1"/>
  <c r="C92" i="19" s="1"/>
  <c r="C93" i="19" s="1"/>
  <c r="C94" i="19" s="1"/>
  <c r="C95" i="19" s="1"/>
  <c r="C96" i="19" s="1"/>
  <c r="C97" i="19" s="1"/>
  <c r="C98" i="19" s="1"/>
  <c r="C99" i="19" s="1"/>
  <c r="C100" i="19" s="1"/>
  <c r="C101" i="19" s="1"/>
  <c r="C102" i="19" s="1"/>
  <c r="C103" i="19" s="1"/>
  <c r="C104" i="19" s="1"/>
  <c r="C105" i="19" s="1"/>
  <c r="B3" i="19"/>
  <c r="D3" i="19" s="1"/>
  <c r="O22" i="9"/>
  <c r="O21" i="9"/>
  <c r="O20" i="9"/>
  <c r="O19" i="9"/>
  <c r="O18" i="9"/>
  <c r="O17" i="9"/>
  <c r="O16" i="9"/>
  <c r="E17" i="9"/>
  <c r="O15" i="9"/>
  <c r="O14" i="9"/>
  <c r="O13" i="9"/>
  <c r="O12" i="9"/>
  <c r="D13" i="9"/>
  <c r="C13" i="9"/>
  <c r="C42" i="9"/>
  <c r="O11" i="9"/>
  <c r="D12" i="9"/>
  <c r="C12" i="9"/>
  <c r="C41" i="9"/>
  <c r="O10" i="9"/>
  <c r="D11" i="9"/>
  <c r="C11" i="9"/>
  <c r="C40" i="9"/>
  <c r="O9" i="9"/>
  <c r="D9" i="9"/>
  <c r="C9" i="9"/>
  <c r="C38" i="9"/>
  <c r="O8" i="9"/>
  <c r="D8" i="9"/>
  <c r="C8" i="9"/>
  <c r="C37" i="9"/>
  <c r="O7" i="9"/>
  <c r="D7" i="9"/>
  <c r="C7" i="9"/>
  <c r="C36" i="9"/>
  <c r="D6" i="9"/>
  <c r="C6" i="9"/>
  <c r="C35" i="9"/>
  <c r="D5" i="9"/>
  <c r="C5" i="9"/>
  <c r="BY168" i="28"/>
  <c r="BV163" i="28"/>
  <c r="K163" i="28"/>
  <c r="M160" i="28"/>
  <c r="L160" i="28"/>
  <c r="K160" i="28"/>
  <c r="BY151" i="28"/>
  <c r="BY150" i="28"/>
  <c r="BY149" i="28"/>
  <c r="BY148" i="28"/>
  <c r="BY135" i="28"/>
  <c r="F135" i="28"/>
  <c r="BY134" i="28"/>
  <c r="F134" i="28"/>
  <c r="BY133" i="28"/>
  <c r="F133" i="28"/>
  <c r="BY132" i="28"/>
  <c r="F132" i="28"/>
  <c r="BY131" i="28"/>
  <c r="F131" i="28"/>
  <c r="BY130" i="28"/>
  <c r="F130" i="28"/>
  <c r="BY129" i="28"/>
  <c r="F129" i="28"/>
  <c r="BY128" i="28"/>
  <c r="F128" i="28"/>
  <c r="BY127" i="28"/>
  <c r="F127" i="28"/>
  <c r="BY126" i="28"/>
  <c r="F126" i="28"/>
  <c r="BY125" i="28"/>
  <c r="F125" i="28"/>
  <c r="BY124" i="28"/>
  <c r="F124" i="28"/>
  <c r="BY123" i="28"/>
  <c r="F123" i="28"/>
  <c r="BY122" i="28"/>
  <c r="F122" i="28"/>
  <c r="BY121" i="28"/>
  <c r="F121" i="28"/>
  <c r="BY120" i="28"/>
  <c r="BY119" i="28"/>
  <c r="BY118" i="28"/>
  <c r="F118" i="28"/>
  <c r="BY116" i="28"/>
  <c r="F116" i="28"/>
  <c r="BY115" i="28"/>
  <c r="F115" i="28"/>
  <c r="BY114" i="28"/>
  <c r="BY113" i="28"/>
  <c r="BY112" i="28"/>
  <c r="F112" i="28"/>
  <c r="BY111" i="28"/>
  <c r="BY110" i="28"/>
  <c r="G111" i="28"/>
  <c r="J104" i="28"/>
  <c r="B104" i="28"/>
  <c r="BY104" i="28" s="1"/>
  <c r="B103" i="28"/>
  <c r="BY103" i="28" s="1"/>
  <c r="J102" i="28"/>
  <c r="B102" i="28"/>
  <c r="BY102" i="28" s="1"/>
  <c r="B101" i="28"/>
  <c r="BY101" i="28" s="1"/>
  <c r="J100" i="28"/>
  <c r="B100" i="28"/>
  <c r="BY100" i="28" s="1"/>
  <c r="B99" i="28"/>
  <c r="BY99" i="28" s="1"/>
  <c r="E98" i="28"/>
  <c r="B98" i="28"/>
  <c r="BY98" i="28" s="1"/>
  <c r="B97" i="28"/>
  <c r="BY97" i="28" s="1"/>
  <c r="CA96" i="28"/>
  <c r="F96" i="28" s="1"/>
  <c r="BE96" i="28"/>
  <c r="BD96" i="28"/>
  <c r="BC96" i="28"/>
  <c r="BB96" i="28"/>
  <c r="BA96" i="28"/>
  <c r="AZ96" i="28"/>
  <c r="AY96" i="28"/>
  <c r="AX96" i="28"/>
  <c r="AW96" i="28"/>
  <c r="AV96" i="28"/>
  <c r="AU96" i="28"/>
  <c r="AT96" i="28"/>
  <c r="AS96" i="28"/>
  <c r="AR96" i="28"/>
  <c r="AQ96" i="28"/>
  <c r="AP96" i="28"/>
  <c r="AO96" i="28"/>
  <c r="AN96" i="28"/>
  <c r="AM96" i="28"/>
  <c r="AL96" i="28"/>
  <c r="AK96" i="28"/>
  <c r="AJ96" i="28"/>
  <c r="AI96" i="28"/>
  <c r="AH96" i="28"/>
  <c r="AG96" i="28"/>
  <c r="AF96" i="28"/>
  <c r="AE96" i="28"/>
  <c r="AD96" i="28"/>
  <c r="AC96" i="28"/>
  <c r="AB96" i="28"/>
  <c r="AA96" i="28"/>
  <c r="Z96" i="28"/>
  <c r="Y96" i="28"/>
  <c r="X96" i="28"/>
  <c r="W96" i="28"/>
  <c r="V96" i="28"/>
  <c r="U96" i="28"/>
  <c r="T96" i="28"/>
  <c r="S96" i="28"/>
  <c r="R96" i="28"/>
  <c r="Q96" i="28"/>
  <c r="P96" i="28"/>
  <c r="O96" i="28"/>
  <c r="N96" i="28"/>
  <c r="M96" i="28"/>
  <c r="L96" i="28"/>
  <c r="K96" i="28"/>
  <c r="J96" i="28"/>
  <c r="E95" i="28"/>
  <c r="B95" i="28"/>
  <c r="BY95" i="28" s="1"/>
  <c r="BY106" i="28"/>
  <c r="B93" i="28"/>
  <c r="BY93" i="28" s="1"/>
  <c r="B92" i="28"/>
  <c r="BY92" i="28" s="1"/>
  <c r="B91" i="28"/>
  <c r="BY91" i="28" s="1"/>
  <c r="B90" i="28"/>
  <c r="BY90" i="28" s="1"/>
  <c r="B89" i="28"/>
  <c r="BY89" i="28" s="1"/>
  <c r="CA88" i="28"/>
  <c r="F88" i="28" s="1"/>
  <c r="BE88" i="28"/>
  <c r="BD88" i="28"/>
  <c r="BC88" i="28"/>
  <c r="BB88" i="28"/>
  <c r="BA88" i="28"/>
  <c r="AZ88" i="28"/>
  <c r="AY88" i="28"/>
  <c r="AX88" i="28"/>
  <c r="AW88" i="28"/>
  <c r="AV88" i="28"/>
  <c r="AU88" i="28"/>
  <c r="AT88" i="28"/>
  <c r="AS88" i="28"/>
  <c r="AR88" i="28"/>
  <c r="AQ88" i="28"/>
  <c r="AP88" i="28"/>
  <c r="AO88" i="28"/>
  <c r="AN88" i="28"/>
  <c r="AM88" i="28"/>
  <c r="AL88" i="28"/>
  <c r="AK88" i="28"/>
  <c r="AJ88" i="28"/>
  <c r="AI88" i="28"/>
  <c r="AH88" i="28"/>
  <c r="AG88" i="28"/>
  <c r="AF88" i="28"/>
  <c r="AE88" i="28"/>
  <c r="AD88" i="28"/>
  <c r="AC88" i="28"/>
  <c r="AB88" i="28"/>
  <c r="AA88" i="28"/>
  <c r="Z88" i="28"/>
  <c r="Y88" i="28"/>
  <c r="X88" i="28"/>
  <c r="W88" i="28"/>
  <c r="V88" i="28"/>
  <c r="U88" i="28"/>
  <c r="T88" i="28"/>
  <c r="S88" i="28"/>
  <c r="R88" i="28"/>
  <c r="Q88" i="28"/>
  <c r="P88" i="28"/>
  <c r="O88" i="28"/>
  <c r="N88" i="28"/>
  <c r="M88" i="28"/>
  <c r="L88" i="28"/>
  <c r="K88" i="28"/>
  <c r="J88" i="28"/>
  <c r="B87" i="28"/>
  <c r="BY87" i="28" s="1"/>
  <c r="B86" i="28"/>
  <c r="BY86" i="28" s="1"/>
  <c r="B85" i="28"/>
  <c r="BY85" i="28" s="1"/>
  <c r="B84" i="28"/>
  <c r="BY84" i="28" s="1"/>
  <c r="B83" i="28"/>
  <c r="BY83" i="28" s="1"/>
  <c r="B82" i="28"/>
  <c r="BY82" i="28" s="1"/>
  <c r="B81" i="28"/>
  <c r="BY81" i="28" s="1"/>
  <c r="B80" i="28"/>
  <c r="BY80" i="28" s="1"/>
  <c r="B79" i="28"/>
  <c r="BY79" i="28" s="1"/>
  <c r="B78" i="28"/>
  <c r="BY78" i="28" s="1"/>
  <c r="B77" i="28"/>
  <c r="BY77" i="28" s="1"/>
  <c r="B76" i="28"/>
  <c r="BY76" i="28" s="1"/>
  <c r="CA75" i="28"/>
  <c r="F75" i="28" s="1"/>
  <c r="BE75" i="28"/>
  <c r="BD75" i="28"/>
  <c r="BC75" i="28"/>
  <c r="BB75" i="28"/>
  <c r="BA75" i="28"/>
  <c r="AZ75" i="28"/>
  <c r="AY75" i="28"/>
  <c r="AX75" i="28"/>
  <c r="AW75" i="28"/>
  <c r="AV75" i="28"/>
  <c r="AU75" i="28"/>
  <c r="AT75" i="28"/>
  <c r="AS75" i="28"/>
  <c r="AR75" i="28"/>
  <c r="AQ75" i="28"/>
  <c r="AP75" i="28"/>
  <c r="AO75" i="28"/>
  <c r="AN75" i="28"/>
  <c r="AM75" i="28"/>
  <c r="AL75" i="28"/>
  <c r="AK75" i="28"/>
  <c r="AJ75" i="28"/>
  <c r="AI75" i="28"/>
  <c r="AH75" i="28"/>
  <c r="AG75" i="28"/>
  <c r="AF75" i="28"/>
  <c r="AE75" i="28"/>
  <c r="AD75" i="28"/>
  <c r="AC75" i="28"/>
  <c r="AB75" i="28"/>
  <c r="AA75" i="28"/>
  <c r="Z75" i="28"/>
  <c r="Y75" i="28"/>
  <c r="X75" i="28"/>
  <c r="W75" i="28"/>
  <c r="V75" i="28"/>
  <c r="U75" i="28"/>
  <c r="T75" i="28"/>
  <c r="S75" i="28"/>
  <c r="R75" i="28"/>
  <c r="Q75" i="28"/>
  <c r="P75" i="28"/>
  <c r="O75" i="28"/>
  <c r="N75" i="28"/>
  <c r="M75" i="28"/>
  <c r="L75" i="28"/>
  <c r="K75" i="28"/>
  <c r="J75" i="28"/>
  <c r="E74" i="28"/>
  <c r="E73" i="28"/>
  <c r="E72" i="28"/>
  <c r="E70" i="28"/>
  <c r="CA68" i="28"/>
  <c r="F68" i="28" s="1"/>
  <c r="BE68" i="28"/>
  <c r="BD68" i="28"/>
  <c r="BC68" i="28"/>
  <c r="BB68" i="28"/>
  <c r="BA68" i="28"/>
  <c r="AZ68" i="28"/>
  <c r="AY68" i="28"/>
  <c r="AX68" i="28"/>
  <c r="AW68" i="28"/>
  <c r="AV68" i="28"/>
  <c r="AU68" i="28"/>
  <c r="AT68" i="28"/>
  <c r="AS68" i="28"/>
  <c r="AR68" i="28"/>
  <c r="AQ68" i="28"/>
  <c r="AP68" i="28"/>
  <c r="AO68" i="28"/>
  <c r="AN68" i="28"/>
  <c r="AM68" i="28"/>
  <c r="AL68" i="28"/>
  <c r="AK68" i="28"/>
  <c r="AJ68" i="28"/>
  <c r="AI68" i="28"/>
  <c r="AH68" i="28"/>
  <c r="AG68" i="28"/>
  <c r="AF68" i="28"/>
  <c r="AE68" i="28"/>
  <c r="AD68" i="28"/>
  <c r="AC68" i="28"/>
  <c r="AB68" i="28"/>
  <c r="AA68" i="28"/>
  <c r="Z68" i="28"/>
  <c r="Y68" i="28"/>
  <c r="X68" i="28"/>
  <c r="W68" i="28"/>
  <c r="V68" i="28"/>
  <c r="U68" i="28"/>
  <c r="T68" i="28"/>
  <c r="S68" i="28"/>
  <c r="R68" i="28"/>
  <c r="Q68" i="28"/>
  <c r="P68" i="28"/>
  <c r="O68" i="28"/>
  <c r="N68" i="28"/>
  <c r="M68" i="28"/>
  <c r="L68" i="28"/>
  <c r="K68" i="28"/>
  <c r="J68" i="28"/>
  <c r="E67" i="28"/>
  <c r="E66" i="28"/>
  <c r="E65" i="28"/>
  <c r="E59" i="28"/>
  <c r="CA57" i="28"/>
  <c r="F57" i="28" s="1"/>
  <c r="BE57" i="28"/>
  <c r="BD57" i="28"/>
  <c r="BC57" i="28"/>
  <c r="BB57" i="28"/>
  <c r="BA57" i="28"/>
  <c r="AZ57" i="28"/>
  <c r="AY57" i="28"/>
  <c r="AX57" i="28"/>
  <c r="AW57" i="28"/>
  <c r="AV57" i="28"/>
  <c r="AU57" i="28"/>
  <c r="AT57" i="28"/>
  <c r="AS57" i="28"/>
  <c r="AR57" i="28"/>
  <c r="AQ57" i="28"/>
  <c r="AP57" i="28"/>
  <c r="AO57" i="28"/>
  <c r="AN57" i="28"/>
  <c r="AM57" i="28"/>
  <c r="AL57" i="28"/>
  <c r="AK57" i="28"/>
  <c r="AJ57" i="28"/>
  <c r="AI57" i="28"/>
  <c r="AH57" i="28"/>
  <c r="AG57" i="28"/>
  <c r="AF57" i="28"/>
  <c r="AE57" i="28"/>
  <c r="AD57" i="28"/>
  <c r="AC57" i="28"/>
  <c r="AB57" i="28"/>
  <c r="AA57" i="28"/>
  <c r="Z57" i="28"/>
  <c r="Y57" i="28"/>
  <c r="X57" i="28"/>
  <c r="W57" i="28"/>
  <c r="V57" i="28"/>
  <c r="U57" i="28"/>
  <c r="T57" i="28"/>
  <c r="S57" i="28"/>
  <c r="R57" i="28"/>
  <c r="Q57" i="28"/>
  <c r="P57" i="28"/>
  <c r="O57" i="28"/>
  <c r="N57" i="28"/>
  <c r="M57" i="28"/>
  <c r="L57" i="28"/>
  <c r="K57" i="28"/>
  <c r="J57" i="28"/>
  <c r="E56" i="28"/>
  <c r="E55" i="28"/>
  <c r="E54" i="28"/>
  <c r="E53" i="28"/>
  <c r="E52" i="28"/>
  <c r="CA49" i="28"/>
  <c r="F49" i="28" s="1"/>
  <c r="BE49" i="28"/>
  <c r="BD49" i="28"/>
  <c r="BC49" i="28"/>
  <c r="BB49" i="28"/>
  <c r="BA49" i="28"/>
  <c r="AZ49" i="28"/>
  <c r="AY49" i="28"/>
  <c r="AX49" i="28"/>
  <c r="AW49" i="28"/>
  <c r="AV49" i="28"/>
  <c r="AU49" i="28"/>
  <c r="AT49" i="28"/>
  <c r="AS49" i="28"/>
  <c r="AR49" i="28"/>
  <c r="AQ49" i="28"/>
  <c r="AP49" i="28"/>
  <c r="AO49" i="28"/>
  <c r="AN49" i="28"/>
  <c r="AM49" i="28"/>
  <c r="AL49" i="28"/>
  <c r="AK49" i="28"/>
  <c r="AJ49" i="28"/>
  <c r="AI49" i="28"/>
  <c r="AH49" i="28"/>
  <c r="AG49" i="28"/>
  <c r="AF49" i="28"/>
  <c r="AE49" i="28"/>
  <c r="AD49" i="28"/>
  <c r="AC49" i="28"/>
  <c r="AB49" i="28"/>
  <c r="AA49" i="28"/>
  <c r="Z49" i="28"/>
  <c r="Y49" i="28"/>
  <c r="X49" i="28"/>
  <c r="W49" i="28"/>
  <c r="V49" i="28"/>
  <c r="U49" i="28"/>
  <c r="T49" i="28"/>
  <c r="S49" i="28"/>
  <c r="R49" i="28"/>
  <c r="Q49" i="28"/>
  <c r="P49" i="28"/>
  <c r="O49" i="28"/>
  <c r="N49" i="28"/>
  <c r="M49" i="28"/>
  <c r="L49" i="28"/>
  <c r="K49" i="28"/>
  <c r="J49" i="28"/>
  <c r="M48" i="28"/>
  <c r="L48" i="28"/>
  <c r="K48" i="28"/>
  <c r="J48" i="28"/>
  <c r="E47" i="28"/>
  <c r="BY272" i="28"/>
  <c r="J272" i="28"/>
  <c r="I272" i="28"/>
  <c r="H272" i="28"/>
  <c r="G272" i="28"/>
  <c r="BY271" i="28"/>
  <c r="BY270" i="28"/>
  <c r="D270" i="28"/>
  <c r="BY269" i="28"/>
  <c r="D269" i="28"/>
  <c r="BY268" i="28"/>
  <c r="D268" i="28"/>
  <c r="BY267" i="28"/>
  <c r="D267" i="28"/>
  <c r="BY266" i="28"/>
  <c r="D266" i="28"/>
  <c r="BY265" i="28"/>
  <c r="D265" i="28"/>
  <c r="BY264" i="28"/>
  <c r="B263" i="28"/>
  <c r="BY263" i="28" s="1"/>
  <c r="BY262" i="28"/>
  <c r="J262" i="28"/>
  <c r="I262" i="28"/>
  <c r="H262" i="28"/>
  <c r="G262" i="28"/>
  <c r="BY261" i="28"/>
  <c r="BY260" i="28"/>
  <c r="D260" i="28"/>
  <c r="BY259" i="28"/>
  <c r="D259" i="28"/>
  <c r="BY258" i="28"/>
  <c r="D258" i="28"/>
  <c r="BY257" i="28"/>
  <c r="D257" i="28"/>
  <c r="BY256" i="28"/>
  <c r="D256" i="28"/>
  <c r="BY255" i="28"/>
  <c r="D255" i="28"/>
  <c r="BY254" i="28"/>
  <c r="B253" i="28"/>
  <c r="BY253" i="28" s="1"/>
  <c r="BY242" i="28"/>
  <c r="J242" i="28"/>
  <c r="I242" i="28"/>
  <c r="H242" i="28"/>
  <c r="G242" i="28"/>
  <c r="BY241" i="28"/>
  <c r="BY240" i="28"/>
  <c r="D240" i="28"/>
  <c r="BY239" i="28"/>
  <c r="D239" i="28"/>
  <c r="BY238" i="28"/>
  <c r="D238" i="28"/>
  <c r="BY237" i="28"/>
  <c r="D237" i="28"/>
  <c r="BY236" i="28"/>
  <c r="D236" i="28"/>
  <c r="BY235" i="28"/>
  <c r="D235" i="28"/>
  <c r="BY234" i="28"/>
  <c r="B233" i="28"/>
  <c r="B20" i="29" s="1"/>
  <c r="BY232" i="28"/>
  <c r="J232" i="28"/>
  <c r="I232" i="28"/>
  <c r="H232" i="28"/>
  <c r="G232" i="28"/>
  <c r="BY231" i="28"/>
  <c r="BY230" i="28"/>
  <c r="D230" i="28"/>
  <c r="BY229" i="28"/>
  <c r="D229" i="28"/>
  <c r="BY228" i="28"/>
  <c r="D228" i="28"/>
  <c r="BY227" i="28"/>
  <c r="D227" i="28"/>
  <c r="BY226" i="28"/>
  <c r="D226" i="28"/>
  <c r="BY225" i="28"/>
  <c r="D225" i="28"/>
  <c r="BY224" i="28"/>
  <c r="B223" i="28"/>
  <c r="B17" i="29" s="1"/>
  <c r="BY222" i="28"/>
  <c r="J222" i="28"/>
  <c r="I222" i="28"/>
  <c r="H222" i="28"/>
  <c r="G222" i="28"/>
  <c r="BY221" i="28"/>
  <c r="BY218" i="28"/>
  <c r="D218" i="28"/>
  <c r="BY217" i="28"/>
  <c r="D217" i="28"/>
  <c r="BY216" i="28"/>
  <c r="D216" i="28"/>
  <c r="BY215" i="28"/>
  <c r="D215" i="28"/>
  <c r="BY214" i="28"/>
  <c r="B213" i="28"/>
  <c r="BY213" i="28" s="1"/>
  <c r="BY212" i="28"/>
  <c r="J212" i="28"/>
  <c r="I212" i="28"/>
  <c r="H212" i="28"/>
  <c r="G212" i="28"/>
  <c r="BY211" i="28"/>
  <c r="BY210" i="28"/>
  <c r="D210" i="28"/>
  <c r="BY209" i="28"/>
  <c r="D209" i="28"/>
  <c r="BY208" i="28"/>
  <c r="D208" i="28"/>
  <c r="BY207" i="28"/>
  <c r="D207" i="28"/>
  <c r="BY206" i="28"/>
  <c r="D206" i="28"/>
  <c r="BY205" i="28"/>
  <c r="D205" i="28"/>
  <c r="BY204" i="28"/>
  <c r="D204" i="28"/>
  <c r="B203" i="28"/>
  <c r="BY203" i="28" s="1"/>
  <c r="BY202" i="28"/>
  <c r="J202" i="28"/>
  <c r="I202" i="28"/>
  <c r="H202" i="28"/>
  <c r="G202" i="28"/>
  <c r="BY201" i="28"/>
  <c r="BY200" i="28"/>
  <c r="D200" i="28"/>
  <c r="BY199" i="28"/>
  <c r="D199" i="28"/>
  <c r="BY198" i="28"/>
  <c r="D198" i="28"/>
  <c r="BY197" i="28"/>
  <c r="D197" i="28"/>
  <c r="BY196" i="28"/>
  <c r="D196" i="28"/>
  <c r="BY195" i="28"/>
  <c r="D195" i="28"/>
  <c r="BY194" i="28"/>
  <c r="D194" i="28"/>
  <c r="E184" i="28"/>
  <c r="M183" i="28"/>
  <c r="M34" i="28"/>
  <c r="BE33" i="28"/>
  <c r="BD33" i="28"/>
  <c r="BC33" i="28"/>
  <c r="BB33" i="28"/>
  <c r="BA33" i="28"/>
  <c r="AZ33" i="28"/>
  <c r="AY33" i="28"/>
  <c r="AX33" i="28"/>
  <c r="AW33" i="28"/>
  <c r="AV33" i="28"/>
  <c r="AU33" i="28"/>
  <c r="AT33" i="28"/>
  <c r="AS33" i="28"/>
  <c r="AR33" i="28"/>
  <c r="AQ33" i="28"/>
  <c r="AP33" i="28"/>
  <c r="AO33" i="28"/>
  <c r="AN33" i="28"/>
  <c r="AM33" i="28"/>
  <c r="AL33" i="28"/>
  <c r="AK33" i="28"/>
  <c r="AJ33" i="28"/>
  <c r="AI33" i="28"/>
  <c r="AH33" i="28"/>
  <c r="AG33" i="28"/>
  <c r="AF33" i="28"/>
  <c r="AE33" i="28"/>
  <c r="AD33" i="28"/>
  <c r="AC33" i="28"/>
  <c r="AB33" i="28"/>
  <c r="AA33" i="28"/>
  <c r="Z33" i="28"/>
  <c r="Y33" i="28"/>
  <c r="X33" i="28"/>
  <c r="W33" i="28"/>
  <c r="V33" i="28"/>
  <c r="U33" i="28"/>
  <c r="T33" i="28"/>
  <c r="S33" i="28"/>
  <c r="R33" i="28"/>
  <c r="Q33" i="28"/>
  <c r="P33" i="28"/>
  <c r="O33" i="28"/>
  <c r="N33" i="28"/>
  <c r="M31" i="28"/>
  <c r="BE30" i="28"/>
  <c r="BD30" i="28"/>
  <c r="BC30" i="28"/>
  <c r="BB30" i="28"/>
  <c r="BA30" i="28"/>
  <c r="AZ30" i="28"/>
  <c r="AY30" i="28"/>
  <c r="AX30" i="28"/>
  <c r="AW30" i="28"/>
  <c r="AV30" i="28"/>
  <c r="AU30" i="28"/>
  <c r="AT30" i="28"/>
  <c r="AS30" i="28"/>
  <c r="AR30" i="28"/>
  <c r="AQ30" i="28"/>
  <c r="AP30" i="28"/>
  <c r="AO30" i="28"/>
  <c r="AN30" i="28"/>
  <c r="AM30" i="28"/>
  <c r="AL30" i="28"/>
  <c r="AK30" i="28"/>
  <c r="AJ30" i="28"/>
  <c r="AI30" i="28"/>
  <c r="AH30" i="28"/>
  <c r="AG30" i="28"/>
  <c r="AF30" i="28"/>
  <c r="AE30" i="28"/>
  <c r="AD30" i="28"/>
  <c r="AC30" i="28"/>
  <c r="AB30" i="28"/>
  <c r="AA30" i="28"/>
  <c r="Z30" i="28"/>
  <c r="Y30" i="28"/>
  <c r="X30" i="28"/>
  <c r="W30" i="28"/>
  <c r="V30" i="28"/>
  <c r="U30" i="28"/>
  <c r="T30" i="28"/>
  <c r="S30" i="28"/>
  <c r="R30" i="28"/>
  <c r="Q30" i="28"/>
  <c r="P30" i="28"/>
  <c r="O30" i="28"/>
  <c r="N30" i="28"/>
  <c r="M25" i="28"/>
  <c r="BE24" i="28"/>
  <c r="BD24" i="28"/>
  <c r="BC24" i="28"/>
  <c r="BB24" i="28"/>
  <c r="BA24" i="28"/>
  <c r="AZ24" i="28"/>
  <c r="AY24" i="28"/>
  <c r="AX24" i="28"/>
  <c r="AW24" i="28"/>
  <c r="AV24" i="28"/>
  <c r="AU24" i="28"/>
  <c r="AT24" i="28"/>
  <c r="AS24" i="28"/>
  <c r="AR24" i="28"/>
  <c r="AQ24" i="28"/>
  <c r="AP24" i="28"/>
  <c r="AO24" i="28"/>
  <c r="AN24" i="28"/>
  <c r="AM24" i="28"/>
  <c r="AL24" i="28"/>
  <c r="AK24" i="28"/>
  <c r="AJ24" i="28"/>
  <c r="AI24" i="28"/>
  <c r="AH24" i="28"/>
  <c r="AG24" i="28"/>
  <c r="AF24" i="28"/>
  <c r="AE24" i="28"/>
  <c r="AD24" i="28"/>
  <c r="AC24" i="28"/>
  <c r="AB24" i="28"/>
  <c r="AA24" i="28"/>
  <c r="Z24" i="28"/>
  <c r="Y24" i="28"/>
  <c r="X24" i="28"/>
  <c r="W24" i="28"/>
  <c r="V24" i="28"/>
  <c r="U24" i="28"/>
  <c r="T24" i="28"/>
  <c r="S24" i="28"/>
  <c r="R24" i="28"/>
  <c r="Q24" i="28"/>
  <c r="P24" i="28"/>
  <c r="M22" i="28"/>
  <c r="BE21" i="28"/>
  <c r="BD21" i="28"/>
  <c r="BC21" i="28"/>
  <c r="BB21" i="28"/>
  <c r="BA21" i="28"/>
  <c r="AZ21" i="28"/>
  <c r="AY21" i="28"/>
  <c r="AX21" i="28"/>
  <c r="AW21" i="28"/>
  <c r="AV21" i="28"/>
  <c r="AU21" i="28"/>
  <c r="AT21" i="28"/>
  <c r="AS21" i="28"/>
  <c r="AR21" i="28"/>
  <c r="AQ21" i="28"/>
  <c r="AP21" i="28"/>
  <c r="AO21" i="28"/>
  <c r="AN21" i="28"/>
  <c r="AM21" i="28"/>
  <c r="AL21" i="28"/>
  <c r="AK21" i="28"/>
  <c r="AJ21" i="28"/>
  <c r="AI21" i="28"/>
  <c r="AH21" i="28"/>
  <c r="AG21" i="28"/>
  <c r="AF21" i="28"/>
  <c r="AE21" i="28"/>
  <c r="AD21" i="28"/>
  <c r="AC21" i="28"/>
  <c r="AB21" i="28"/>
  <c r="AA21" i="28"/>
  <c r="Z21" i="28"/>
  <c r="Y21" i="28"/>
  <c r="X21" i="28"/>
  <c r="W21" i="28"/>
  <c r="V21" i="28"/>
  <c r="U21" i="28"/>
  <c r="T21" i="28"/>
  <c r="S21" i="28"/>
  <c r="R21" i="28"/>
  <c r="Q21" i="28"/>
  <c r="P21" i="28"/>
  <c r="O21" i="28"/>
  <c r="N21" i="28"/>
  <c r="M19" i="28"/>
  <c r="BE18" i="28"/>
  <c r="BD18" i="28"/>
  <c r="BC18" i="28"/>
  <c r="BB18" i="28"/>
  <c r="BA18" i="28"/>
  <c r="AZ18" i="28"/>
  <c r="AY18" i="28"/>
  <c r="AX18" i="28"/>
  <c r="AW18" i="28"/>
  <c r="AV18" i="28"/>
  <c r="AU18" i="28"/>
  <c r="AT18" i="28"/>
  <c r="AS18" i="28"/>
  <c r="AR18" i="28"/>
  <c r="AQ18" i="28"/>
  <c r="AP18" i="28"/>
  <c r="AO18" i="28"/>
  <c r="AN18" i="28"/>
  <c r="AM18" i="28"/>
  <c r="AL18" i="28"/>
  <c r="AK18" i="28"/>
  <c r="AJ18" i="28"/>
  <c r="AI18" i="28"/>
  <c r="AH18" i="28"/>
  <c r="AG18" i="28"/>
  <c r="AF18" i="28"/>
  <c r="AE18" i="28"/>
  <c r="AD18" i="28"/>
  <c r="AC18" i="28"/>
  <c r="AB18" i="28"/>
  <c r="AA18" i="28"/>
  <c r="Z18" i="28"/>
  <c r="Y18" i="28"/>
  <c r="X18" i="28"/>
  <c r="W18" i="28"/>
  <c r="V18" i="28"/>
  <c r="U18" i="28"/>
  <c r="T18" i="28"/>
  <c r="S18" i="28"/>
  <c r="R18" i="28"/>
  <c r="Q18" i="28"/>
  <c r="P18" i="28"/>
  <c r="O18" i="28"/>
  <c r="M16" i="28"/>
  <c r="BE15" i="28"/>
  <c r="BD15" i="28"/>
  <c r="BC15" i="28"/>
  <c r="BB15" i="28"/>
  <c r="BA15" i="28"/>
  <c r="AZ15" i="28"/>
  <c r="AY15" i="28"/>
  <c r="AX15" i="28"/>
  <c r="AW15" i="28"/>
  <c r="AV15" i="28"/>
  <c r="AU15" i="28"/>
  <c r="AT15" i="28"/>
  <c r="AS15" i="28"/>
  <c r="AR15" i="28"/>
  <c r="AQ15" i="28"/>
  <c r="AP15" i="28"/>
  <c r="AO15" i="28"/>
  <c r="AN15" i="28"/>
  <c r="AM15" i="28"/>
  <c r="AL15" i="28"/>
  <c r="AK15" i="28"/>
  <c r="AJ15" i="28"/>
  <c r="AI15" i="28"/>
  <c r="AH15" i="28"/>
  <c r="AG15" i="28"/>
  <c r="AF15" i="28"/>
  <c r="AE15" i="28"/>
  <c r="AD15" i="28"/>
  <c r="AC15" i="28"/>
  <c r="AB15" i="28"/>
  <c r="AA15" i="28"/>
  <c r="Z15" i="28"/>
  <c r="Y15" i="28"/>
  <c r="X15" i="28"/>
  <c r="W15" i="28"/>
  <c r="V15" i="28"/>
  <c r="U15" i="28"/>
  <c r="T15" i="28"/>
  <c r="S15" i="28"/>
  <c r="R15" i="28"/>
  <c r="Q15" i="28"/>
  <c r="P15" i="28"/>
  <c r="O15" i="28"/>
  <c r="N15" i="28"/>
  <c r="M13" i="28"/>
  <c r="BE12" i="28"/>
  <c r="BD12" i="28"/>
  <c r="BC12" i="28"/>
  <c r="BB12" i="28"/>
  <c r="BA12" i="28"/>
  <c r="AZ12" i="28"/>
  <c r="AY12" i="28"/>
  <c r="AX12" i="28"/>
  <c r="AW12" i="28"/>
  <c r="AV12" i="28"/>
  <c r="AU12" i="28"/>
  <c r="AT12" i="28"/>
  <c r="AS12" i="28"/>
  <c r="AR12" i="28"/>
  <c r="AQ12" i="28"/>
  <c r="AP12" i="28"/>
  <c r="AO12" i="28"/>
  <c r="AN12" i="28"/>
  <c r="AM12" i="28"/>
  <c r="AL12" i="28"/>
  <c r="AK12" i="28"/>
  <c r="AJ12" i="28"/>
  <c r="AI12" i="28"/>
  <c r="AH12" i="28"/>
  <c r="AG12" i="28"/>
  <c r="AF12" i="28"/>
  <c r="AE12" i="28"/>
  <c r="AD12" i="28"/>
  <c r="AC12" i="28"/>
  <c r="AB12" i="28"/>
  <c r="AA12" i="28"/>
  <c r="Z12" i="28"/>
  <c r="Y12" i="28"/>
  <c r="X12" i="28"/>
  <c r="W12" i="28"/>
  <c r="V12" i="28"/>
  <c r="U12" i="28"/>
  <c r="T12" i="28"/>
  <c r="S12" i="28"/>
  <c r="R12" i="28"/>
  <c r="Q12" i="28"/>
  <c r="P12" i="28"/>
  <c r="O12" i="28"/>
  <c r="N12" i="28"/>
  <c r="N10" i="28"/>
  <c r="M10" i="28"/>
  <c r="L10" i="28"/>
  <c r="K119" i="28"/>
  <c r="I119" i="28"/>
  <c r="I115" i="28" s="1"/>
  <c r="N8" i="28"/>
  <c r="L7" i="28"/>
  <c r="G3" i="28"/>
  <c r="H2" i="28" s="1"/>
  <c r="H3" i="28" s="1"/>
  <c r="B113" i="25"/>
  <c r="B112" i="25"/>
  <c r="Y96" i="25"/>
  <c r="Z95" i="25"/>
  <c r="T39" i="25" s="1"/>
  <c r="Y95" i="25"/>
  <c r="Y89" i="25"/>
  <c r="K89" i="25"/>
  <c r="Y88" i="25"/>
  <c r="K88" i="25"/>
  <c r="Y87" i="25"/>
  <c r="K87" i="25"/>
  <c r="Y86" i="25"/>
  <c r="K86" i="25"/>
  <c r="Y85" i="25"/>
  <c r="K85" i="25"/>
  <c r="Y84" i="25"/>
  <c r="K84" i="25"/>
  <c r="Y83" i="25"/>
  <c r="Y82" i="25"/>
  <c r="K82" i="25"/>
  <c r="Z81" i="25"/>
  <c r="T38" i="25" s="1"/>
  <c r="Y81" i="25"/>
  <c r="Y80" i="25"/>
  <c r="Y79" i="25"/>
  <c r="Y77" i="25"/>
  <c r="Y76" i="25"/>
  <c r="E76" i="25"/>
  <c r="Y75" i="25"/>
  <c r="Y74" i="25"/>
  <c r="Z73" i="25"/>
  <c r="T36" i="25" s="1"/>
  <c r="Y73" i="25"/>
  <c r="Y72" i="25"/>
  <c r="Y71" i="25"/>
  <c r="Y70" i="25"/>
  <c r="Y69" i="25"/>
  <c r="Y68" i="25"/>
  <c r="Y67" i="25"/>
  <c r="Y66" i="25"/>
  <c r="Y65" i="25"/>
  <c r="Y64" i="25"/>
  <c r="Y63" i="25"/>
  <c r="E63" i="25"/>
  <c r="AA63" i="25" s="1"/>
  <c r="Y62" i="25"/>
  <c r="E62" i="25"/>
  <c r="AA62" i="25" s="1"/>
  <c r="Y61" i="25"/>
  <c r="E61" i="25"/>
  <c r="AA61" i="25" s="1"/>
  <c r="Z60" i="25"/>
  <c r="T35" i="25" s="1"/>
  <c r="Y60" i="25"/>
  <c r="Y59" i="25"/>
  <c r="Y58" i="25"/>
  <c r="AC57" i="25"/>
  <c r="Y57" i="25"/>
  <c r="Y56" i="25"/>
  <c r="AC55" i="25"/>
  <c r="AD55" i="25" s="1"/>
  <c r="Y55" i="25"/>
  <c r="Y54" i="25"/>
  <c r="Y53" i="25"/>
  <c r="Z52" i="25"/>
  <c r="T34" i="25" s="1"/>
  <c r="Y52" i="25"/>
  <c r="AC51" i="25"/>
  <c r="Y51" i="25"/>
  <c r="AC50" i="25"/>
  <c r="Y50" i="25"/>
  <c r="Y49" i="25"/>
  <c r="Y48" i="25"/>
  <c r="E64" i="28"/>
  <c r="Y47" i="25"/>
  <c r="Y46" i="25"/>
  <c r="Y45" i="25"/>
  <c r="E45" i="25"/>
  <c r="AA45" i="25" s="1"/>
  <c r="Y44" i="25"/>
  <c r="AC43" i="25"/>
  <c r="AD43" i="25" s="1"/>
  <c r="Y43" i="25"/>
  <c r="Y42" i="25"/>
  <c r="T42" i="25"/>
  <c r="Z41" i="25"/>
  <c r="Y41" i="25"/>
  <c r="AC40" i="25"/>
  <c r="AD40" i="25" s="1"/>
  <c r="Y40" i="25"/>
  <c r="AC39" i="25"/>
  <c r="Y39" i="25"/>
  <c r="Y38" i="25"/>
  <c r="Y37" i="25"/>
  <c r="T37" i="25"/>
  <c r="AC36" i="25"/>
  <c r="AD36" i="25" s="1"/>
  <c r="Y36" i="25"/>
  <c r="Y35" i="25"/>
  <c r="Y34" i="25"/>
  <c r="Z33" i="25"/>
  <c r="Y33" i="25"/>
  <c r="T33" i="25"/>
  <c r="V33" i="25" s="1"/>
  <c r="AC32" i="25"/>
  <c r="AD32" i="25" s="1"/>
  <c r="Y32" i="25"/>
  <c r="AC31" i="25"/>
  <c r="AD31" i="25" s="1"/>
  <c r="Y31" i="25"/>
  <c r="T31" i="25"/>
  <c r="Y30" i="25"/>
  <c r="T30" i="25"/>
  <c r="Y29" i="25"/>
  <c r="T29" i="25"/>
  <c r="Y28" i="25"/>
  <c r="B44" i="28" s="1"/>
  <c r="BY44" i="28" s="1"/>
  <c r="T28" i="25"/>
  <c r="Y27" i="25"/>
  <c r="B43" i="28" s="1"/>
  <c r="BY43" i="28" s="1"/>
  <c r="T27" i="25"/>
  <c r="K27" i="25"/>
  <c r="E113" i="25" s="1"/>
  <c r="Y26" i="25"/>
  <c r="Y25" i="25"/>
  <c r="B41" i="28" s="1"/>
  <c r="BY41" i="28" s="1"/>
  <c r="Y24" i="25"/>
  <c r="B40" i="28" s="1"/>
  <c r="BY40" i="28" s="1"/>
  <c r="Z23" i="25"/>
  <c r="Y23" i="25"/>
  <c r="B39" i="28" s="1"/>
  <c r="BY39" i="28" s="1"/>
  <c r="B19" i="25"/>
  <c r="B18" i="25"/>
  <c r="B17" i="25"/>
  <c r="B15" i="25"/>
  <c r="L13" i="25"/>
  <c r="B14" i="25"/>
  <c r="B13" i="25"/>
  <c r="L12" i="25"/>
  <c r="B12" i="25"/>
  <c r="B140" i="28" s="1"/>
  <c r="L11" i="25"/>
  <c r="B11" i="25"/>
  <c r="B139" i="28" s="1"/>
  <c r="L10" i="25"/>
  <c r="O8" i="25"/>
  <c r="N8" i="25"/>
  <c r="C8" i="25"/>
  <c r="O7" i="25"/>
  <c r="C7" i="25"/>
  <c r="O6" i="25"/>
  <c r="J77" i="25" s="1"/>
  <c r="E77" i="25" s="1"/>
  <c r="N6" i="25"/>
  <c r="J44" i="25" s="1"/>
  <c r="E44" i="25" s="1"/>
  <c r="O5" i="25"/>
  <c r="N5" i="25"/>
  <c r="C5" i="25"/>
  <c r="E23" i="25" s="1"/>
  <c r="N4" i="25"/>
  <c r="C4" i="25"/>
  <c r="D4" i="25" s="1"/>
  <c r="J28" i="25" s="1"/>
  <c r="N3" i="25"/>
  <c r="AZ143" i="29"/>
  <c r="AY143" i="29"/>
  <c r="AX143" i="29"/>
  <c r="AW143" i="29"/>
  <c r="AV143" i="29"/>
  <c r="AU143" i="29"/>
  <c r="AT143" i="29"/>
  <c r="AS143" i="29"/>
  <c r="AR143" i="29"/>
  <c r="AQ143" i="29"/>
  <c r="AP143" i="29"/>
  <c r="AO143" i="29"/>
  <c r="AN143" i="29"/>
  <c r="AM143" i="29"/>
  <c r="AL143" i="29"/>
  <c r="AK143" i="29"/>
  <c r="AJ143" i="29"/>
  <c r="AI143" i="29"/>
  <c r="AH143" i="29"/>
  <c r="AG143" i="29"/>
  <c r="AF143" i="29"/>
  <c r="AE143" i="29"/>
  <c r="AD143" i="29"/>
  <c r="AC143" i="29"/>
  <c r="AB143" i="29"/>
  <c r="AA143" i="29"/>
  <c r="Z143" i="29"/>
  <c r="Y143" i="29"/>
  <c r="X143" i="29"/>
  <c r="W143" i="29"/>
  <c r="V143" i="29"/>
  <c r="U143" i="29"/>
  <c r="T143" i="29"/>
  <c r="S143" i="29"/>
  <c r="R143" i="29"/>
  <c r="Q143" i="29"/>
  <c r="P143" i="29"/>
  <c r="O143" i="29"/>
  <c r="N143" i="29"/>
  <c r="M143" i="29"/>
  <c r="L143" i="29"/>
  <c r="K143" i="29"/>
  <c r="J143" i="29"/>
  <c r="I143" i="29"/>
  <c r="AZ136" i="29"/>
  <c r="AY136" i="29"/>
  <c r="AX136" i="29"/>
  <c r="AW136" i="29"/>
  <c r="AV136" i="29"/>
  <c r="AU136" i="29"/>
  <c r="AT136" i="29"/>
  <c r="AS136" i="29"/>
  <c r="AR136" i="29"/>
  <c r="AQ136" i="29"/>
  <c r="AP136" i="29"/>
  <c r="AO136" i="29"/>
  <c r="AN136" i="29"/>
  <c r="AM136" i="29"/>
  <c r="AL136" i="29"/>
  <c r="AK136" i="29"/>
  <c r="AJ136" i="29"/>
  <c r="AI136" i="29"/>
  <c r="AH136" i="29"/>
  <c r="AG136" i="29"/>
  <c r="AF136" i="29"/>
  <c r="AE136" i="29"/>
  <c r="AD136" i="29"/>
  <c r="AC136" i="29"/>
  <c r="AB136" i="29"/>
  <c r="AA136" i="29"/>
  <c r="Z136" i="29"/>
  <c r="Y136" i="29"/>
  <c r="X136" i="29"/>
  <c r="W136" i="29"/>
  <c r="V136" i="29"/>
  <c r="U136" i="29"/>
  <c r="T136" i="29"/>
  <c r="S136" i="29"/>
  <c r="R136" i="29"/>
  <c r="Q136" i="29"/>
  <c r="P136" i="29"/>
  <c r="O136" i="29"/>
  <c r="N136" i="29"/>
  <c r="M136" i="29"/>
  <c r="L136" i="29"/>
  <c r="K136" i="29"/>
  <c r="J136" i="29"/>
  <c r="I136" i="29"/>
  <c r="AZ134" i="29"/>
  <c r="AY134" i="29"/>
  <c r="AX134" i="29"/>
  <c r="AW134" i="29"/>
  <c r="AV134" i="29"/>
  <c r="AU134" i="29"/>
  <c r="AT134" i="29"/>
  <c r="AS134" i="29"/>
  <c r="AR134" i="29"/>
  <c r="AQ134" i="29"/>
  <c r="AP134" i="29"/>
  <c r="AO134" i="29"/>
  <c r="AN134" i="29"/>
  <c r="AM134" i="29"/>
  <c r="AL134" i="29"/>
  <c r="AK134" i="29"/>
  <c r="AJ134" i="29"/>
  <c r="AI134" i="29"/>
  <c r="AH134" i="29"/>
  <c r="AG134" i="29"/>
  <c r="AF134" i="29"/>
  <c r="AE134" i="29"/>
  <c r="AD134" i="29"/>
  <c r="AC134" i="29"/>
  <c r="AB134" i="29"/>
  <c r="AA134" i="29"/>
  <c r="Z134" i="29"/>
  <c r="Y134" i="29"/>
  <c r="X134" i="29"/>
  <c r="W134" i="29"/>
  <c r="V134" i="29"/>
  <c r="U134" i="29"/>
  <c r="T134" i="29"/>
  <c r="S134" i="29"/>
  <c r="R134" i="29"/>
  <c r="Q134" i="29"/>
  <c r="P134" i="29"/>
  <c r="O134" i="29"/>
  <c r="N134" i="29"/>
  <c r="M134" i="29"/>
  <c r="L134" i="29"/>
  <c r="K134" i="29"/>
  <c r="J134" i="29"/>
  <c r="I134" i="29"/>
  <c r="AZ114" i="29"/>
  <c r="AY114" i="29"/>
  <c r="AX114" i="29"/>
  <c r="AW114" i="29"/>
  <c r="AV114" i="29"/>
  <c r="AU114" i="29"/>
  <c r="AT114" i="29"/>
  <c r="AS114" i="29"/>
  <c r="AR114" i="29"/>
  <c r="AQ114" i="29"/>
  <c r="AP114" i="29"/>
  <c r="AO114" i="29"/>
  <c r="AN114" i="29"/>
  <c r="AM114" i="29"/>
  <c r="AL114" i="29"/>
  <c r="AK114" i="29"/>
  <c r="AJ114" i="29"/>
  <c r="AI114" i="29"/>
  <c r="AH114" i="29"/>
  <c r="AG114" i="29"/>
  <c r="AF114" i="29"/>
  <c r="AE114" i="29"/>
  <c r="AD114" i="29"/>
  <c r="AC114" i="29"/>
  <c r="AB114" i="29"/>
  <c r="AA114" i="29"/>
  <c r="Z114" i="29"/>
  <c r="Y114" i="29"/>
  <c r="X114" i="29"/>
  <c r="W114" i="29"/>
  <c r="V114" i="29"/>
  <c r="U114" i="29"/>
  <c r="T114" i="29"/>
  <c r="S114" i="29"/>
  <c r="R114" i="29"/>
  <c r="Q114" i="29"/>
  <c r="P114" i="29"/>
  <c r="O114" i="29"/>
  <c r="N114" i="29"/>
  <c r="M114" i="29"/>
  <c r="L114" i="29"/>
  <c r="K114" i="29"/>
  <c r="J114" i="29"/>
  <c r="I114" i="29"/>
  <c r="B104" i="29"/>
  <c r="D103" i="29"/>
  <c r="B103" i="29"/>
  <c r="B102" i="29"/>
  <c r="D101" i="29"/>
  <c r="B101" i="29"/>
  <c r="B100" i="29"/>
  <c r="D99" i="29"/>
  <c r="B99" i="29"/>
  <c r="B98" i="29"/>
  <c r="D97" i="29"/>
  <c r="B97" i="29"/>
  <c r="D96" i="29"/>
  <c r="B96" i="29"/>
  <c r="D95" i="29"/>
  <c r="B95" i="29"/>
  <c r="B94" i="29"/>
  <c r="B93" i="29"/>
  <c r="D92" i="29"/>
  <c r="B92" i="29"/>
  <c r="B91" i="29"/>
  <c r="B90" i="29"/>
  <c r="AZ89" i="29"/>
  <c r="BE91" i="28" s="1"/>
  <c r="AY89" i="29"/>
  <c r="BD91" i="28" s="1"/>
  <c r="AX89" i="29"/>
  <c r="BC91" i="28" s="1"/>
  <c r="AW89" i="29"/>
  <c r="BB91" i="28" s="1"/>
  <c r="AV89" i="29"/>
  <c r="BA91" i="28" s="1"/>
  <c r="AU89" i="29"/>
  <c r="AZ91" i="28" s="1"/>
  <c r="AT89" i="29"/>
  <c r="AY91" i="28" s="1"/>
  <c r="AS89" i="29"/>
  <c r="AX91" i="28" s="1"/>
  <c r="AR89" i="29"/>
  <c r="AW91" i="28" s="1"/>
  <c r="AQ89" i="29"/>
  <c r="AV91" i="28" s="1"/>
  <c r="AP89" i="29"/>
  <c r="AU91" i="28" s="1"/>
  <c r="AO89" i="29"/>
  <c r="AT91" i="28" s="1"/>
  <c r="AN89" i="29"/>
  <c r="AS91" i="28" s="1"/>
  <c r="AM89" i="29"/>
  <c r="AR91" i="28" s="1"/>
  <c r="AL89" i="29"/>
  <c r="AQ91" i="28" s="1"/>
  <c r="AK89" i="29"/>
  <c r="AP91" i="28" s="1"/>
  <c r="AJ89" i="29"/>
  <c r="AO91" i="28" s="1"/>
  <c r="AI89" i="29"/>
  <c r="AN91" i="28" s="1"/>
  <c r="AH89" i="29"/>
  <c r="AM91" i="28" s="1"/>
  <c r="AG89" i="29"/>
  <c r="AL91" i="28" s="1"/>
  <c r="AF89" i="29"/>
  <c r="AK91" i="28" s="1"/>
  <c r="AE89" i="29"/>
  <c r="AJ91" i="28" s="1"/>
  <c r="AD89" i="29"/>
  <c r="AI91" i="28" s="1"/>
  <c r="AC89" i="29"/>
  <c r="AH91" i="28" s="1"/>
  <c r="AB89" i="29"/>
  <c r="AG91" i="28" s="1"/>
  <c r="AA89" i="29"/>
  <c r="AF91" i="28" s="1"/>
  <c r="Z89" i="29"/>
  <c r="AE91" i="28" s="1"/>
  <c r="Y89" i="29"/>
  <c r="AD91" i="28" s="1"/>
  <c r="X89" i="29"/>
  <c r="AC91" i="28" s="1"/>
  <c r="W89" i="29"/>
  <c r="AB91" i="28" s="1"/>
  <c r="V89" i="29"/>
  <c r="AA91" i="28" s="1"/>
  <c r="U89" i="29"/>
  <c r="Z91" i="28" s="1"/>
  <c r="T89" i="29"/>
  <c r="Y91" i="28" s="1"/>
  <c r="S89" i="29"/>
  <c r="X91" i="28" s="1"/>
  <c r="R89" i="29"/>
  <c r="W91" i="28" s="1"/>
  <c r="Q89" i="29"/>
  <c r="V91" i="28" s="1"/>
  <c r="P89" i="29"/>
  <c r="U91" i="28" s="1"/>
  <c r="O89" i="29"/>
  <c r="T91" i="28" s="1"/>
  <c r="N89" i="29"/>
  <c r="S91" i="28" s="1"/>
  <c r="M89" i="29"/>
  <c r="R91" i="28" s="1"/>
  <c r="L89" i="29"/>
  <c r="Q91" i="28" s="1"/>
  <c r="K89" i="29"/>
  <c r="P91" i="28" s="1"/>
  <c r="J89" i="29"/>
  <c r="O91" i="28" s="1"/>
  <c r="I89" i="29"/>
  <c r="N91" i="28" s="1"/>
  <c r="B89" i="29"/>
  <c r="AZ88" i="29"/>
  <c r="AY88" i="29"/>
  <c r="AX88" i="29"/>
  <c r="AW88" i="29"/>
  <c r="AV88" i="29"/>
  <c r="AU88" i="29"/>
  <c r="AT88" i="29"/>
  <c r="AS88" i="29"/>
  <c r="AR88" i="29"/>
  <c r="AQ88" i="29"/>
  <c r="AP88" i="29"/>
  <c r="AO88" i="29"/>
  <c r="AN88" i="29"/>
  <c r="AM88" i="29"/>
  <c r="AL88" i="29"/>
  <c r="AK88" i="29"/>
  <c r="AJ88" i="29"/>
  <c r="AI88" i="29"/>
  <c r="AH88" i="29"/>
  <c r="AG88" i="29"/>
  <c r="AF88" i="29"/>
  <c r="AE88" i="29"/>
  <c r="AD88" i="29"/>
  <c r="AC88" i="29"/>
  <c r="AB88" i="29"/>
  <c r="AA88" i="29"/>
  <c r="Z88" i="29"/>
  <c r="Y88" i="29"/>
  <c r="X88" i="29"/>
  <c r="W88" i="29"/>
  <c r="V88" i="29"/>
  <c r="U88" i="29"/>
  <c r="T88" i="29"/>
  <c r="S88" i="29"/>
  <c r="R88" i="29"/>
  <c r="Q88" i="29"/>
  <c r="P88" i="29"/>
  <c r="O88" i="29"/>
  <c r="N88" i="29"/>
  <c r="M88" i="29"/>
  <c r="L88" i="29"/>
  <c r="K88" i="29"/>
  <c r="J88" i="29"/>
  <c r="I88" i="29"/>
  <c r="B88" i="29"/>
  <c r="B87" i="29"/>
  <c r="B86" i="29"/>
  <c r="B85" i="29"/>
  <c r="I84" i="29"/>
  <c r="B84" i="29"/>
  <c r="AZ83" i="29"/>
  <c r="AY83" i="29"/>
  <c r="AX83" i="29"/>
  <c r="AW83" i="29"/>
  <c r="AV83" i="29"/>
  <c r="AU83" i="29"/>
  <c r="AT83" i="29"/>
  <c r="AS83" i="29"/>
  <c r="AR83" i="29"/>
  <c r="AQ83" i="29"/>
  <c r="AP83" i="29"/>
  <c r="AO83" i="29"/>
  <c r="AN83" i="29"/>
  <c r="AM83" i="29"/>
  <c r="AL83" i="29"/>
  <c r="AK83" i="29"/>
  <c r="AJ83" i="29"/>
  <c r="AI83" i="29"/>
  <c r="AH83" i="29"/>
  <c r="AG83" i="29"/>
  <c r="AF83" i="29"/>
  <c r="AE83" i="29"/>
  <c r="AD83" i="29"/>
  <c r="AC83" i="29"/>
  <c r="AB83" i="29"/>
  <c r="AA83" i="29"/>
  <c r="Z83" i="29"/>
  <c r="Y83" i="29"/>
  <c r="X83" i="29"/>
  <c r="W83" i="29"/>
  <c r="V83" i="29"/>
  <c r="U83" i="29"/>
  <c r="T83" i="29"/>
  <c r="S83" i="29"/>
  <c r="R83" i="29"/>
  <c r="Q83" i="29"/>
  <c r="P83" i="29"/>
  <c r="O83" i="29"/>
  <c r="N83" i="29"/>
  <c r="M83" i="29"/>
  <c r="L83" i="29"/>
  <c r="K83" i="29"/>
  <c r="J83" i="29"/>
  <c r="B83" i="29"/>
  <c r="D82" i="29"/>
  <c r="B82" i="29"/>
  <c r="D81" i="29"/>
  <c r="B81" i="29"/>
  <c r="B80" i="29"/>
  <c r="B79" i="29"/>
  <c r="B78" i="29"/>
  <c r="B77" i="29"/>
  <c r="B76" i="29"/>
  <c r="AZ75" i="29"/>
  <c r="BE77" i="28" s="1"/>
  <c r="AY75" i="29"/>
  <c r="BD77" i="28" s="1"/>
  <c r="AX75" i="29"/>
  <c r="BC77" i="28" s="1"/>
  <c r="AW75" i="29"/>
  <c r="BB77" i="28" s="1"/>
  <c r="AV75" i="29"/>
  <c r="BA77" i="28" s="1"/>
  <c r="AU75" i="29"/>
  <c r="AZ77" i="28" s="1"/>
  <c r="AT75" i="29"/>
  <c r="AY77" i="28" s="1"/>
  <c r="AS75" i="29"/>
  <c r="AX77" i="28" s="1"/>
  <c r="AR75" i="29"/>
  <c r="AW77" i="28" s="1"/>
  <c r="AQ75" i="29"/>
  <c r="AV77" i="28" s="1"/>
  <c r="AP75" i="29"/>
  <c r="AU77" i="28" s="1"/>
  <c r="AO75" i="29"/>
  <c r="AT77" i="28" s="1"/>
  <c r="AN75" i="29"/>
  <c r="AS77" i="28" s="1"/>
  <c r="AM75" i="29"/>
  <c r="AR77" i="28" s="1"/>
  <c r="AL75" i="29"/>
  <c r="AQ77" i="28" s="1"/>
  <c r="AK75" i="29"/>
  <c r="AP77" i="28" s="1"/>
  <c r="AJ75" i="29"/>
  <c r="AO77" i="28" s="1"/>
  <c r="AI75" i="29"/>
  <c r="AN77" i="28" s="1"/>
  <c r="AH75" i="29"/>
  <c r="AM77" i="28" s="1"/>
  <c r="AG75" i="29"/>
  <c r="AL77" i="28" s="1"/>
  <c r="AF75" i="29"/>
  <c r="AK77" i="28" s="1"/>
  <c r="AE75" i="29"/>
  <c r="AJ77" i="28" s="1"/>
  <c r="AD75" i="29"/>
  <c r="AI77" i="28" s="1"/>
  <c r="AC75" i="29"/>
  <c r="AH77" i="28" s="1"/>
  <c r="AB75" i="29"/>
  <c r="AG77" i="28" s="1"/>
  <c r="AA75" i="29"/>
  <c r="AF77" i="28" s="1"/>
  <c r="Z75" i="29"/>
  <c r="AE77" i="28" s="1"/>
  <c r="Y75" i="29"/>
  <c r="AD77" i="28" s="1"/>
  <c r="X75" i="29"/>
  <c r="AC77" i="28" s="1"/>
  <c r="W75" i="29"/>
  <c r="AB77" i="28" s="1"/>
  <c r="V75" i="29"/>
  <c r="AA77" i="28" s="1"/>
  <c r="U75" i="29"/>
  <c r="Z77" i="28" s="1"/>
  <c r="T75" i="29"/>
  <c r="Y77" i="28" s="1"/>
  <c r="S75" i="29"/>
  <c r="X77" i="28" s="1"/>
  <c r="R75" i="29"/>
  <c r="W77" i="28" s="1"/>
  <c r="Q75" i="29"/>
  <c r="V77" i="28" s="1"/>
  <c r="P75" i="29"/>
  <c r="U77" i="28" s="1"/>
  <c r="O75" i="29"/>
  <c r="T77" i="28" s="1"/>
  <c r="N75" i="29"/>
  <c r="S77" i="28" s="1"/>
  <c r="M75" i="29"/>
  <c r="R77" i="28" s="1"/>
  <c r="L75" i="29"/>
  <c r="Q77" i="28" s="1"/>
  <c r="K75" i="29"/>
  <c r="P77" i="28" s="1"/>
  <c r="J75" i="29"/>
  <c r="O77" i="28" s="1"/>
  <c r="I75" i="29"/>
  <c r="N77" i="28" s="1"/>
  <c r="B75" i="29"/>
  <c r="I74" i="29"/>
  <c r="B74" i="29"/>
  <c r="B73" i="29"/>
  <c r="B72" i="29"/>
  <c r="B71" i="29"/>
  <c r="B70" i="29"/>
  <c r="B69" i="29"/>
  <c r="D68" i="29"/>
  <c r="B68" i="29"/>
  <c r="D67" i="29"/>
  <c r="B67" i="29"/>
  <c r="D66" i="29"/>
  <c r="B66" i="29"/>
  <c r="B65" i="29"/>
  <c r="I64" i="29"/>
  <c r="B64" i="29"/>
  <c r="B63" i="29"/>
  <c r="B62" i="29"/>
  <c r="D61" i="29"/>
  <c r="B61" i="29"/>
  <c r="D60" i="29"/>
  <c r="B60" i="29"/>
  <c r="D59" i="29"/>
  <c r="B59" i="29"/>
  <c r="AZ58" i="29"/>
  <c r="AY58" i="29"/>
  <c r="AX58" i="29"/>
  <c r="AW58" i="29"/>
  <c r="AV58" i="29"/>
  <c r="AU58" i="29"/>
  <c r="AT58" i="29"/>
  <c r="AS58" i="29"/>
  <c r="AR58" i="29"/>
  <c r="AQ58" i="29"/>
  <c r="AP58" i="29"/>
  <c r="AO58" i="29"/>
  <c r="AN58" i="29"/>
  <c r="AM58" i="29"/>
  <c r="AL58" i="29"/>
  <c r="AK58" i="29"/>
  <c r="AJ58" i="29"/>
  <c r="AI58" i="29"/>
  <c r="AH58" i="29"/>
  <c r="AG58" i="29"/>
  <c r="AF58" i="29"/>
  <c r="AE58" i="29"/>
  <c r="AD58" i="29"/>
  <c r="AC58" i="29"/>
  <c r="AB58" i="29"/>
  <c r="AA58" i="29"/>
  <c r="Z58" i="29"/>
  <c r="Y58" i="29"/>
  <c r="X58" i="29"/>
  <c r="W58" i="29"/>
  <c r="V58" i="29"/>
  <c r="U58" i="29"/>
  <c r="T58" i="29"/>
  <c r="S58" i="29"/>
  <c r="R58" i="29"/>
  <c r="Q58" i="29"/>
  <c r="P58" i="29"/>
  <c r="O58" i="29"/>
  <c r="N58" i="29"/>
  <c r="M58" i="29"/>
  <c r="L58" i="29"/>
  <c r="K58" i="29"/>
  <c r="J58" i="29"/>
  <c r="I58" i="29"/>
  <c r="B58" i="29"/>
  <c r="B57" i="29"/>
  <c r="D56" i="29"/>
  <c r="B56" i="29"/>
  <c r="AZ55" i="29"/>
  <c r="AY55" i="29"/>
  <c r="AX55" i="29"/>
  <c r="AW55" i="29"/>
  <c r="AV55" i="29"/>
  <c r="AU55" i="29"/>
  <c r="AT55" i="29"/>
  <c r="AS55" i="29"/>
  <c r="AR55" i="29"/>
  <c r="AQ55" i="29"/>
  <c r="AP55" i="29"/>
  <c r="AO55" i="29"/>
  <c r="AN55" i="29"/>
  <c r="AM55" i="29"/>
  <c r="AL55" i="29"/>
  <c r="AK55" i="29"/>
  <c r="AJ55" i="29"/>
  <c r="AI55" i="29"/>
  <c r="AH55" i="29"/>
  <c r="AG55" i="29"/>
  <c r="AF55" i="29"/>
  <c r="AE55" i="29"/>
  <c r="AD55" i="29"/>
  <c r="AC55" i="29"/>
  <c r="AB55" i="29"/>
  <c r="AA55" i="29"/>
  <c r="Z55" i="29"/>
  <c r="Y55" i="29"/>
  <c r="X55" i="29"/>
  <c r="W55" i="29"/>
  <c r="V55" i="29"/>
  <c r="U55" i="29"/>
  <c r="T55" i="29"/>
  <c r="S55" i="29"/>
  <c r="R55" i="29"/>
  <c r="Q55" i="29"/>
  <c r="P55" i="29"/>
  <c r="O55" i="29"/>
  <c r="N55" i="29"/>
  <c r="M55" i="29"/>
  <c r="L55" i="29"/>
  <c r="K55" i="29"/>
  <c r="J55" i="29"/>
  <c r="B55" i="29"/>
  <c r="D53" i="29"/>
  <c r="B53" i="29"/>
  <c r="B52" i="29"/>
  <c r="D51" i="29"/>
  <c r="B51" i="29"/>
  <c r="B50" i="29"/>
  <c r="D49" i="29"/>
  <c r="B49" i="29"/>
  <c r="D48" i="29"/>
  <c r="B48" i="29"/>
  <c r="B47" i="29"/>
  <c r="B46" i="29"/>
  <c r="D45" i="29"/>
  <c r="B45" i="29"/>
  <c r="N48" i="28"/>
  <c r="B44" i="29"/>
  <c r="AZ43" i="29"/>
  <c r="AY43" i="29"/>
  <c r="AX43" i="29"/>
  <c r="AW43" i="29"/>
  <c r="AV43" i="29"/>
  <c r="AU43" i="29"/>
  <c r="AT43" i="29"/>
  <c r="AS43" i="29"/>
  <c r="AR43" i="29"/>
  <c r="AQ43" i="29"/>
  <c r="AP43" i="29"/>
  <c r="AO43" i="29"/>
  <c r="AN43" i="29"/>
  <c r="AM43" i="29"/>
  <c r="AL43" i="29"/>
  <c r="AK43" i="29"/>
  <c r="AJ43" i="29"/>
  <c r="AI43" i="29"/>
  <c r="AH43" i="29"/>
  <c r="AG43" i="29"/>
  <c r="AF43" i="29"/>
  <c r="AE43" i="29"/>
  <c r="AD43" i="29"/>
  <c r="AB43" i="29"/>
  <c r="AA43" i="29"/>
  <c r="Z43" i="29"/>
  <c r="Y43" i="29"/>
  <c r="X43" i="29"/>
  <c r="W43" i="29"/>
  <c r="V43" i="29"/>
  <c r="U43" i="29"/>
  <c r="T43" i="29"/>
  <c r="S43" i="29"/>
  <c r="R43" i="29"/>
  <c r="Q43" i="29"/>
  <c r="P43" i="29"/>
  <c r="O43" i="29"/>
  <c r="N43" i="29"/>
  <c r="M43" i="29"/>
  <c r="L43" i="29"/>
  <c r="K43" i="29"/>
  <c r="J43" i="29"/>
  <c r="I43" i="29"/>
  <c r="B43" i="29"/>
  <c r="B42" i="29"/>
  <c r="AZ41" i="29"/>
  <c r="AY41" i="29"/>
  <c r="AX41" i="29"/>
  <c r="AW41" i="29"/>
  <c r="AV41" i="29"/>
  <c r="AU41" i="29"/>
  <c r="AT41" i="29"/>
  <c r="AS41" i="29"/>
  <c r="AR41" i="29"/>
  <c r="AQ41" i="29"/>
  <c r="AP41" i="29"/>
  <c r="AO41" i="29"/>
  <c r="AN41" i="29"/>
  <c r="AM41" i="29"/>
  <c r="AL41" i="29"/>
  <c r="AK41" i="29"/>
  <c r="AJ41" i="29"/>
  <c r="AI41" i="29"/>
  <c r="AH41" i="29"/>
  <c r="AG41" i="29"/>
  <c r="AF41" i="29"/>
  <c r="AE41" i="29"/>
  <c r="AC41" i="29"/>
  <c r="AB41" i="29"/>
  <c r="AA41" i="29"/>
  <c r="Z41" i="29"/>
  <c r="Y41" i="29"/>
  <c r="X41" i="29"/>
  <c r="W41" i="29"/>
  <c r="V41" i="29"/>
  <c r="U41" i="29"/>
  <c r="T41" i="29"/>
  <c r="S41" i="29"/>
  <c r="R41" i="29"/>
  <c r="Q41" i="29"/>
  <c r="P41" i="29"/>
  <c r="O41" i="29"/>
  <c r="N41" i="29"/>
  <c r="M41" i="29"/>
  <c r="L41" i="29"/>
  <c r="K41" i="29"/>
  <c r="J41" i="29"/>
  <c r="I41" i="29"/>
  <c r="B41" i="29"/>
  <c r="D40" i="29"/>
  <c r="B40" i="29"/>
  <c r="B39" i="29"/>
  <c r="D38" i="29"/>
  <c r="B38" i="29"/>
  <c r="I37" i="29"/>
  <c r="B37" i="29"/>
  <c r="D36" i="29"/>
  <c r="B36" i="29"/>
  <c r="B35" i="29"/>
  <c r="I30" i="29"/>
  <c r="J30" i="29" s="1"/>
  <c r="K30" i="29" s="1"/>
  <c r="L30" i="29" s="1"/>
  <c r="M30" i="29" s="1"/>
  <c r="N30" i="29" s="1"/>
  <c r="O30" i="29" s="1"/>
  <c r="P30" i="29" s="1"/>
  <c r="Q30" i="29" s="1"/>
  <c r="R30" i="29" s="1"/>
  <c r="S30" i="29" s="1"/>
  <c r="T30" i="29" s="1"/>
  <c r="U30" i="29" s="1"/>
  <c r="V30" i="29" s="1"/>
  <c r="W30" i="29" s="1"/>
  <c r="X30" i="29" s="1"/>
  <c r="Y30" i="29" s="1"/>
  <c r="Z30" i="29" s="1"/>
  <c r="AA30" i="29" s="1"/>
  <c r="AB30" i="29" s="1"/>
  <c r="AC30" i="29" s="1"/>
  <c r="AD30" i="29" s="1"/>
  <c r="AE30" i="29" s="1"/>
  <c r="AF30" i="29" s="1"/>
  <c r="AG30" i="29" s="1"/>
  <c r="AH30" i="29" s="1"/>
  <c r="AI30" i="29" s="1"/>
  <c r="AJ30" i="29" s="1"/>
  <c r="AK30" i="29" s="1"/>
  <c r="AL30" i="29" s="1"/>
  <c r="AM30" i="29" s="1"/>
  <c r="AN30" i="29" s="1"/>
  <c r="AO30" i="29" s="1"/>
  <c r="AP30" i="29" s="1"/>
  <c r="AQ30" i="29" s="1"/>
  <c r="AR30" i="29" s="1"/>
  <c r="AS30" i="29" s="1"/>
  <c r="AT30" i="29" s="1"/>
  <c r="AU30" i="29" s="1"/>
  <c r="AV30" i="29" s="1"/>
  <c r="AW30" i="29" s="1"/>
  <c r="AX30" i="29" s="1"/>
  <c r="AY30" i="29" s="1"/>
  <c r="AZ30" i="29" s="1"/>
  <c r="BA30" i="29" s="1"/>
  <c r="BB30" i="29" s="1"/>
  <c r="BC30" i="29" s="1"/>
  <c r="BD30" i="29" s="1"/>
  <c r="BE30" i="29" s="1"/>
  <c r="BF30" i="29" s="1"/>
  <c r="BG30" i="29" s="1"/>
  <c r="BH30" i="29" s="1"/>
  <c r="BI30" i="29" s="1"/>
  <c r="BJ30" i="29" s="1"/>
  <c r="BK30" i="29" s="1"/>
  <c r="BL30" i="29" s="1"/>
  <c r="BM30" i="29" s="1"/>
  <c r="BN30" i="29" s="1"/>
  <c r="BO30" i="29" s="1"/>
  <c r="BP30" i="29" s="1"/>
  <c r="D29" i="29"/>
  <c r="I27" i="29"/>
  <c r="J27" i="29" s="1"/>
  <c r="K27" i="29" s="1"/>
  <c r="L27" i="29" s="1"/>
  <c r="M27" i="29" s="1"/>
  <c r="N27" i="29" s="1"/>
  <c r="O27" i="29" s="1"/>
  <c r="P27" i="29" s="1"/>
  <c r="Q27" i="29" s="1"/>
  <c r="R27" i="29" s="1"/>
  <c r="S27" i="29" s="1"/>
  <c r="T27" i="29" s="1"/>
  <c r="U27" i="29" s="1"/>
  <c r="V27" i="29" s="1"/>
  <c r="W27" i="29" s="1"/>
  <c r="X27" i="29" s="1"/>
  <c r="Y27" i="29" s="1"/>
  <c r="Z27" i="29" s="1"/>
  <c r="AA27" i="29" s="1"/>
  <c r="AB27" i="29" s="1"/>
  <c r="AC27" i="29" s="1"/>
  <c r="AD27" i="29" s="1"/>
  <c r="AE27" i="29" s="1"/>
  <c r="AF27" i="29" s="1"/>
  <c r="AG27" i="29" s="1"/>
  <c r="AH27" i="29" s="1"/>
  <c r="AI27" i="29" s="1"/>
  <c r="AJ27" i="29" s="1"/>
  <c r="AK27" i="29" s="1"/>
  <c r="AL27" i="29" s="1"/>
  <c r="AM27" i="29" s="1"/>
  <c r="AN27" i="29" s="1"/>
  <c r="AO27" i="29" s="1"/>
  <c r="AP27" i="29" s="1"/>
  <c r="AQ27" i="29" s="1"/>
  <c r="AR27" i="29" s="1"/>
  <c r="AS27" i="29" s="1"/>
  <c r="AT27" i="29" s="1"/>
  <c r="AU27" i="29" s="1"/>
  <c r="AV27" i="29" s="1"/>
  <c r="AW27" i="29" s="1"/>
  <c r="AX27" i="29" s="1"/>
  <c r="AY27" i="29" s="1"/>
  <c r="AZ27" i="29" s="1"/>
  <c r="BA27" i="29" s="1"/>
  <c r="BB27" i="29" s="1"/>
  <c r="BC27" i="29" s="1"/>
  <c r="BD27" i="29" s="1"/>
  <c r="BE27" i="29" s="1"/>
  <c r="BF27" i="29" s="1"/>
  <c r="BG27" i="29" s="1"/>
  <c r="BH27" i="29" s="1"/>
  <c r="BI27" i="29" s="1"/>
  <c r="BJ27" i="29" s="1"/>
  <c r="BK27" i="29" s="1"/>
  <c r="BL27" i="29" s="1"/>
  <c r="BM27" i="29" s="1"/>
  <c r="BN27" i="29" s="1"/>
  <c r="BO27" i="29" s="1"/>
  <c r="BP27" i="29" s="1"/>
  <c r="D26" i="29"/>
  <c r="I21" i="29"/>
  <c r="J21" i="29" s="1"/>
  <c r="K21" i="29" s="1"/>
  <c r="L21" i="29" s="1"/>
  <c r="M21" i="29" s="1"/>
  <c r="N21" i="29" s="1"/>
  <c r="O21" i="29" s="1"/>
  <c r="P21" i="29" s="1"/>
  <c r="Q21" i="29" s="1"/>
  <c r="R21" i="29" s="1"/>
  <c r="S21" i="29" s="1"/>
  <c r="T21" i="29" s="1"/>
  <c r="U21" i="29" s="1"/>
  <c r="V21" i="29" s="1"/>
  <c r="W21" i="29" s="1"/>
  <c r="X21" i="29" s="1"/>
  <c r="Y21" i="29" s="1"/>
  <c r="Z21" i="29" s="1"/>
  <c r="AA21" i="29" s="1"/>
  <c r="AB21" i="29" s="1"/>
  <c r="AC21" i="29" s="1"/>
  <c r="AD21" i="29" s="1"/>
  <c r="AE21" i="29" s="1"/>
  <c r="AF21" i="29" s="1"/>
  <c r="AG21" i="29" s="1"/>
  <c r="AH21" i="29" s="1"/>
  <c r="AI21" i="29" s="1"/>
  <c r="AJ21" i="29" s="1"/>
  <c r="AK21" i="29" s="1"/>
  <c r="AL21" i="29" s="1"/>
  <c r="AM21" i="29" s="1"/>
  <c r="AN21" i="29" s="1"/>
  <c r="AO21" i="29" s="1"/>
  <c r="AP21" i="29" s="1"/>
  <c r="AQ21" i="29" s="1"/>
  <c r="AR21" i="29" s="1"/>
  <c r="AS21" i="29" s="1"/>
  <c r="AT21" i="29" s="1"/>
  <c r="AU21" i="29" s="1"/>
  <c r="AV21" i="29" s="1"/>
  <c r="AW21" i="29" s="1"/>
  <c r="AX21" i="29" s="1"/>
  <c r="AY21" i="29" s="1"/>
  <c r="AZ21" i="29" s="1"/>
  <c r="BA21" i="29" s="1"/>
  <c r="BB21" i="29" s="1"/>
  <c r="BC21" i="29" s="1"/>
  <c r="BD21" i="29" s="1"/>
  <c r="BE21" i="29" s="1"/>
  <c r="BF21" i="29" s="1"/>
  <c r="BG21" i="29" s="1"/>
  <c r="BH21" i="29" s="1"/>
  <c r="BI21" i="29" s="1"/>
  <c r="BJ21" i="29" s="1"/>
  <c r="BK21" i="29" s="1"/>
  <c r="BL21" i="29" s="1"/>
  <c r="BM21" i="29" s="1"/>
  <c r="BN21" i="29" s="1"/>
  <c r="BO21" i="29" s="1"/>
  <c r="BP21" i="29" s="1"/>
  <c r="D20" i="29"/>
  <c r="I18" i="29"/>
  <c r="J18" i="29" s="1"/>
  <c r="K18" i="29" s="1"/>
  <c r="L18" i="29" s="1"/>
  <c r="M18" i="29" s="1"/>
  <c r="N18" i="29" s="1"/>
  <c r="O18" i="29" s="1"/>
  <c r="P18" i="29" s="1"/>
  <c r="Q18" i="29" s="1"/>
  <c r="R18" i="29" s="1"/>
  <c r="S18" i="29" s="1"/>
  <c r="T18" i="29" s="1"/>
  <c r="U18" i="29" s="1"/>
  <c r="V18" i="29" s="1"/>
  <c r="W18" i="29" s="1"/>
  <c r="X18" i="29" s="1"/>
  <c r="Y18" i="29" s="1"/>
  <c r="Z18" i="29" s="1"/>
  <c r="AA18" i="29" s="1"/>
  <c r="AB18" i="29" s="1"/>
  <c r="AC18" i="29" s="1"/>
  <c r="AD18" i="29" s="1"/>
  <c r="AE18" i="29" s="1"/>
  <c r="AF18" i="29" s="1"/>
  <c r="AG18" i="29" s="1"/>
  <c r="AH18" i="29" s="1"/>
  <c r="AI18" i="29" s="1"/>
  <c r="AJ18" i="29" s="1"/>
  <c r="AK18" i="29" s="1"/>
  <c r="AL18" i="29" s="1"/>
  <c r="AM18" i="29" s="1"/>
  <c r="AN18" i="29" s="1"/>
  <c r="AO18" i="29" s="1"/>
  <c r="AP18" i="29" s="1"/>
  <c r="AQ18" i="29" s="1"/>
  <c r="AR18" i="29" s="1"/>
  <c r="AS18" i="29" s="1"/>
  <c r="AT18" i="29" s="1"/>
  <c r="AU18" i="29" s="1"/>
  <c r="AV18" i="29" s="1"/>
  <c r="AW18" i="29" s="1"/>
  <c r="AX18" i="29" s="1"/>
  <c r="AY18" i="29" s="1"/>
  <c r="AZ18" i="29" s="1"/>
  <c r="BA18" i="29" s="1"/>
  <c r="BB18" i="29" s="1"/>
  <c r="BC18" i="29" s="1"/>
  <c r="BD18" i="29" s="1"/>
  <c r="BE18" i="29" s="1"/>
  <c r="BF18" i="29" s="1"/>
  <c r="BG18" i="29" s="1"/>
  <c r="BH18" i="29" s="1"/>
  <c r="BI18" i="29" s="1"/>
  <c r="BJ18" i="29" s="1"/>
  <c r="BK18" i="29" s="1"/>
  <c r="BL18" i="29" s="1"/>
  <c r="BM18" i="29" s="1"/>
  <c r="BN18" i="29" s="1"/>
  <c r="BO18" i="29" s="1"/>
  <c r="BP18" i="29" s="1"/>
  <c r="D17" i="29"/>
  <c r="I15" i="29"/>
  <c r="J15" i="29" s="1"/>
  <c r="K15" i="29" s="1"/>
  <c r="L15" i="29" s="1"/>
  <c r="M15" i="29" s="1"/>
  <c r="N15" i="29" s="1"/>
  <c r="O15" i="29" s="1"/>
  <c r="P15" i="29" s="1"/>
  <c r="Q15" i="29" s="1"/>
  <c r="R15" i="29" s="1"/>
  <c r="S15" i="29" s="1"/>
  <c r="T15" i="29" s="1"/>
  <c r="U15" i="29" s="1"/>
  <c r="V15" i="29" s="1"/>
  <c r="W15" i="29" s="1"/>
  <c r="X15" i="29" s="1"/>
  <c r="Y15" i="29" s="1"/>
  <c r="Z15" i="29" s="1"/>
  <c r="AA15" i="29" s="1"/>
  <c r="AB15" i="29" s="1"/>
  <c r="AC15" i="29" s="1"/>
  <c r="AD15" i="29" s="1"/>
  <c r="AE15" i="29" s="1"/>
  <c r="AF15" i="29" s="1"/>
  <c r="AG15" i="29" s="1"/>
  <c r="AH15" i="29" s="1"/>
  <c r="AI15" i="29" s="1"/>
  <c r="AJ15" i="29" s="1"/>
  <c r="AK15" i="29" s="1"/>
  <c r="AL15" i="29" s="1"/>
  <c r="AM15" i="29" s="1"/>
  <c r="AN15" i="29" s="1"/>
  <c r="AO15" i="29" s="1"/>
  <c r="AP15" i="29" s="1"/>
  <c r="AQ15" i="29" s="1"/>
  <c r="AR15" i="29" s="1"/>
  <c r="AS15" i="29" s="1"/>
  <c r="AT15" i="29" s="1"/>
  <c r="AU15" i="29" s="1"/>
  <c r="AV15" i="29" s="1"/>
  <c r="AW15" i="29" s="1"/>
  <c r="AX15" i="29" s="1"/>
  <c r="AY15" i="29" s="1"/>
  <c r="AZ15" i="29" s="1"/>
  <c r="BA15" i="29" s="1"/>
  <c r="BB15" i="29" s="1"/>
  <c r="BC15" i="29" s="1"/>
  <c r="BD15" i="29" s="1"/>
  <c r="BE15" i="29" s="1"/>
  <c r="BF15" i="29" s="1"/>
  <c r="BG15" i="29" s="1"/>
  <c r="BH15" i="29" s="1"/>
  <c r="BI15" i="29" s="1"/>
  <c r="BJ15" i="29" s="1"/>
  <c r="BK15" i="29" s="1"/>
  <c r="BL15" i="29" s="1"/>
  <c r="BM15" i="29" s="1"/>
  <c r="BN15" i="29" s="1"/>
  <c r="BO15" i="29" s="1"/>
  <c r="BP15" i="29" s="1"/>
  <c r="D14" i="29"/>
  <c r="I12" i="29"/>
  <c r="J12" i="29" s="1"/>
  <c r="K12" i="29" s="1"/>
  <c r="L12" i="29" s="1"/>
  <c r="M12" i="29" s="1"/>
  <c r="N12" i="29" s="1"/>
  <c r="O12" i="29" s="1"/>
  <c r="P12" i="29" s="1"/>
  <c r="Q12" i="29" s="1"/>
  <c r="R12" i="29" s="1"/>
  <c r="S12" i="29" s="1"/>
  <c r="T12" i="29" s="1"/>
  <c r="U12" i="29" s="1"/>
  <c r="V12" i="29" s="1"/>
  <c r="W12" i="29" s="1"/>
  <c r="X12" i="29" s="1"/>
  <c r="Y12" i="29" s="1"/>
  <c r="Z12" i="29" s="1"/>
  <c r="AA12" i="29" s="1"/>
  <c r="AB12" i="29" s="1"/>
  <c r="AC12" i="29" s="1"/>
  <c r="AD12" i="29" s="1"/>
  <c r="AE12" i="29" s="1"/>
  <c r="AF12" i="29" s="1"/>
  <c r="AG12" i="29" s="1"/>
  <c r="AH12" i="29" s="1"/>
  <c r="AI12" i="29" s="1"/>
  <c r="AJ12" i="29" s="1"/>
  <c r="AK12" i="29" s="1"/>
  <c r="AL12" i="29" s="1"/>
  <c r="AM12" i="29" s="1"/>
  <c r="AN12" i="29" s="1"/>
  <c r="AO12" i="29" s="1"/>
  <c r="AP12" i="29" s="1"/>
  <c r="AQ12" i="29" s="1"/>
  <c r="AR12" i="29" s="1"/>
  <c r="AS12" i="29" s="1"/>
  <c r="AT12" i="29" s="1"/>
  <c r="AU12" i="29" s="1"/>
  <c r="AV12" i="29" s="1"/>
  <c r="AW12" i="29" s="1"/>
  <c r="AX12" i="29" s="1"/>
  <c r="AY12" i="29" s="1"/>
  <c r="AZ12" i="29" s="1"/>
  <c r="BA12" i="29" s="1"/>
  <c r="BB12" i="29" s="1"/>
  <c r="BC12" i="29" s="1"/>
  <c r="BD12" i="29" s="1"/>
  <c r="BE12" i="29" s="1"/>
  <c r="BF12" i="29" s="1"/>
  <c r="BG12" i="29" s="1"/>
  <c r="BH12" i="29" s="1"/>
  <c r="BI12" i="29" s="1"/>
  <c r="BJ12" i="29" s="1"/>
  <c r="BK12" i="29" s="1"/>
  <c r="BL12" i="29" s="1"/>
  <c r="BM12" i="29" s="1"/>
  <c r="BN12" i="29" s="1"/>
  <c r="BO12" i="29" s="1"/>
  <c r="BP12" i="29" s="1"/>
  <c r="D11" i="29"/>
  <c r="I9" i="29"/>
  <c r="J9" i="29" s="1"/>
  <c r="K9" i="29" s="1"/>
  <c r="L9" i="29" s="1"/>
  <c r="M9" i="29" s="1"/>
  <c r="N9" i="29" s="1"/>
  <c r="O9" i="29" s="1"/>
  <c r="P9" i="29" s="1"/>
  <c r="Q9" i="29" s="1"/>
  <c r="R9" i="29" s="1"/>
  <c r="S9" i="29" s="1"/>
  <c r="T9" i="29" s="1"/>
  <c r="U9" i="29" s="1"/>
  <c r="V9" i="29" s="1"/>
  <c r="W9" i="29" s="1"/>
  <c r="X9" i="29" s="1"/>
  <c r="Y9" i="29" s="1"/>
  <c r="Z9" i="29" s="1"/>
  <c r="AA9" i="29" s="1"/>
  <c r="AB9" i="29" s="1"/>
  <c r="AC9" i="29" s="1"/>
  <c r="AD9" i="29" s="1"/>
  <c r="AE9" i="29" s="1"/>
  <c r="AF9" i="29" s="1"/>
  <c r="AG9" i="29" s="1"/>
  <c r="AH9" i="29" s="1"/>
  <c r="AI9" i="29" s="1"/>
  <c r="D8" i="29"/>
  <c r="AY5" i="29"/>
  <c r="AX5" i="29"/>
  <c r="AW5" i="29"/>
  <c r="AV5" i="29"/>
  <c r="AU5" i="29"/>
  <c r="AT5" i="29"/>
  <c r="AS5" i="29"/>
  <c r="AR5" i="29"/>
  <c r="AQ5" i="29"/>
  <c r="AP5" i="29"/>
  <c r="AO5" i="29"/>
  <c r="AN5" i="29"/>
  <c r="AM5" i="29"/>
  <c r="AL5" i="29"/>
  <c r="AK5" i="29"/>
  <c r="AJ5" i="29"/>
  <c r="AI5" i="29"/>
  <c r="AH5" i="29"/>
  <c r="AG5" i="29"/>
  <c r="AF5" i="29"/>
  <c r="AF44" i="29" s="1"/>
  <c r="AE5" i="29"/>
  <c r="AD5" i="29"/>
  <c r="AC5" i="29"/>
  <c r="AB5" i="29"/>
  <c r="AA5" i="29"/>
  <c r="Z5" i="29"/>
  <c r="Y5" i="29"/>
  <c r="X5" i="29"/>
  <c r="W5" i="29"/>
  <c r="V5" i="29"/>
  <c r="U5" i="29"/>
  <c r="T5" i="29"/>
  <c r="S5" i="29"/>
  <c r="R5" i="29"/>
  <c r="Q5" i="29"/>
  <c r="P5" i="29"/>
  <c r="O5" i="29"/>
  <c r="N5" i="29"/>
  <c r="M5" i="29"/>
  <c r="L5" i="29"/>
  <c r="K5" i="29"/>
  <c r="J5" i="29"/>
  <c r="F34" i="20"/>
  <c r="F33" i="20"/>
  <c r="F31" i="20"/>
  <c r="F30" i="20"/>
  <c r="F29" i="20"/>
  <c r="F28" i="20"/>
  <c r="B27" i="20"/>
  <c r="G27" i="20" s="1"/>
  <c r="D22" i="20"/>
  <c r="D21" i="20"/>
  <c r="D20" i="20"/>
  <c r="D19" i="20"/>
  <c r="D18" i="20"/>
  <c r="D17" i="20"/>
  <c r="D16" i="20"/>
  <c r="D15" i="20"/>
  <c r="D14" i="20"/>
  <c r="J14" i="20"/>
  <c r="D13" i="20"/>
  <c r="J13" i="20"/>
  <c r="D12" i="20"/>
  <c r="J12" i="20"/>
  <c r="E11" i="9" s="1"/>
  <c r="D11" i="20"/>
  <c r="J10" i="20"/>
  <c r="K10" i="20" s="1"/>
  <c r="F9" i="9" s="1"/>
  <c r="D10" i="20"/>
  <c r="J9" i="20"/>
  <c r="D9" i="20"/>
  <c r="J8" i="20"/>
  <c r="D221" i="28" s="1"/>
  <c r="D8" i="20"/>
  <c r="J7" i="20"/>
  <c r="K7" i="20" s="1"/>
  <c r="F6" i="9" s="1"/>
  <c r="D7" i="20"/>
  <c r="J6" i="20"/>
  <c r="G6" i="20"/>
  <c r="C5" i="20"/>
  <c r="G9" i="35" s="1"/>
  <c r="H9" i="35" s="1"/>
  <c r="W53" i="23"/>
  <c r="G53" i="23"/>
  <c r="Z53" i="23" s="1"/>
  <c r="F53" i="23"/>
  <c r="Y53" i="23" s="1"/>
  <c r="E53" i="23"/>
  <c r="X53" i="23" s="1"/>
  <c r="W52" i="23"/>
  <c r="H52" i="23"/>
  <c r="W41" i="23"/>
  <c r="G41" i="23"/>
  <c r="Z41" i="23" s="1"/>
  <c r="F41" i="23"/>
  <c r="Y41" i="23" s="1"/>
  <c r="E41" i="23"/>
  <c r="X41" i="23" s="1"/>
  <c r="W40" i="23"/>
  <c r="H40" i="23"/>
  <c r="AA40" i="23" s="1"/>
  <c r="W39" i="23"/>
  <c r="G39" i="23"/>
  <c r="Z39" i="23" s="1"/>
  <c r="F39" i="23"/>
  <c r="Y39" i="23" s="1"/>
  <c r="E39" i="23"/>
  <c r="X39" i="23" s="1"/>
  <c r="W38" i="23"/>
  <c r="H38" i="23"/>
  <c r="W37" i="23"/>
  <c r="Y37" i="23"/>
  <c r="X37" i="23"/>
  <c r="W36" i="23"/>
  <c r="H36" i="23"/>
  <c r="W35" i="23"/>
  <c r="Z35" i="23"/>
  <c r="Y35" i="23"/>
  <c r="X35" i="23"/>
  <c r="W34" i="23"/>
  <c r="H34" i="23"/>
  <c r="W33" i="23"/>
  <c r="Z33" i="23"/>
  <c r="Y33" i="23"/>
  <c r="X33" i="23"/>
  <c r="W32" i="23"/>
  <c r="H32" i="23"/>
  <c r="W31" i="23"/>
  <c r="Z31" i="23"/>
  <c r="Y31" i="23"/>
  <c r="X31" i="23"/>
  <c r="W30" i="23"/>
  <c r="H30" i="23"/>
  <c r="W29" i="23"/>
  <c r="Z29" i="23"/>
  <c r="Y29" i="23"/>
  <c r="X29" i="23"/>
  <c r="W28" i="23"/>
  <c r="W27" i="23"/>
  <c r="Z27" i="23"/>
  <c r="Y27" i="23"/>
  <c r="W26" i="23"/>
  <c r="H26" i="23"/>
  <c r="W25" i="23"/>
  <c r="Z25" i="23"/>
  <c r="Y25" i="23"/>
  <c r="X25" i="23"/>
  <c r="W24" i="23"/>
  <c r="H24" i="23"/>
  <c r="W23" i="23"/>
  <c r="Z23" i="23"/>
  <c r="Y23" i="23"/>
  <c r="X23" i="23"/>
  <c r="W22" i="23"/>
  <c r="H22" i="23"/>
  <c r="AA22" i="23" s="1"/>
  <c r="W21" i="23"/>
  <c r="Z21" i="23"/>
  <c r="Y21" i="23"/>
  <c r="X21" i="23"/>
  <c r="W20" i="23"/>
  <c r="H20" i="23"/>
  <c r="W19" i="23"/>
  <c r="Z19" i="23"/>
  <c r="Y19" i="23"/>
  <c r="X19" i="23"/>
  <c r="W18" i="23"/>
  <c r="H18" i="23"/>
  <c r="W17" i="23"/>
  <c r="Z17" i="23"/>
  <c r="Y17" i="23"/>
  <c r="W16" i="23"/>
  <c r="AA16" i="23"/>
  <c r="E66" i="25"/>
  <c r="AA66" i="25" s="1"/>
  <c r="H11" i="24"/>
  <c r="H8" i="25" s="1"/>
  <c r="H10" i="24"/>
  <c r="H7" i="25" s="1"/>
  <c r="P9" i="24"/>
  <c r="E47" i="25"/>
  <c r="AA47" i="25" s="1"/>
  <c r="I8" i="24"/>
  <c r="I7" i="24"/>
  <c r="D7" i="24"/>
  <c r="C9" i="24" s="1"/>
  <c r="Y6" i="24"/>
  <c r="I6" i="24"/>
  <c r="E24" i="25" l="1"/>
  <c r="AA24" i="25" s="1"/>
  <c r="BW73" i="28"/>
  <c r="BX73" i="28"/>
  <c r="BV73" i="28"/>
  <c r="BV74" i="28"/>
  <c r="BW74" i="28"/>
  <c r="BX74" i="28"/>
  <c r="BV59" i="28"/>
  <c r="BW59" i="28"/>
  <c r="BX59" i="28"/>
  <c r="BX70" i="28"/>
  <c r="BW70" i="28"/>
  <c r="BV70" i="28"/>
  <c r="BV186" i="28"/>
  <c r="BW186" i="28"/>
  <c r="BW184" i="28" s="1"/>
  <c r="BX186" i="28"/>
  <c r="BQ83" i="29"/>
  <c r="BQ55" i="29"/>
  <c r="K54" i="28"/>
  <c r="BW54" i="28"/>
  <c r="BX54" i="28"/>
  <c r="BV55" i="28"/>
  <c r="BW55" i="28"/>
  <c r="BX55" i="28"/>
  <c r="BW56" i="28"/>
  <c r="BX56" i="28"/>
  <c r="BV98" i="28"/>
  <c r="BW98" i="28"/>
  <c r="BX98" i="28"/>
  <c r="BW47" i="28"/>
  <c r="BX47" i="28"/>
  <c r="BW64" i="28"/>
  <c r="BV64" i="28"/>
  <c r="BX64" i="28"/>
  <c r="BW65" i="28"/>
  <c r="BX65" i="28"/>
  <c r="BV65" i="28"/>
  <c r="BV66" i="28"/>
  <c r="BW66" i="28"/>
  <c r="BX66" i="28"/>
  <c r="BW67" i="28"/>
  <c r="BX67" i="28"/>
  <c r="BX52" i="28"/>
  <c r="BW52" i="28"/>
  <c r="BV52" i="28"/>
  <c r="BW95" i="28"/>
  <c r="BX95" i="28"/>
  <c r="BV53" i="28"/>
  <c r="BW53" i="28"/>
  <c r="BX53" i="28"/>
  <c r="N94" i="28"/>
  <c r="BQ58" i="29"/>
  <c r="BQ43" i="29"/>
  <c r="BV47" i="28" s="1"/>
  <c r="BQ41" i="29"/>
  <c r="BQ88" i="29"/>
  <c r="BW72" i="28"/>
  <c r="BX72" i="28"/>
  <c r="BW155" i="28"/>
  <c r="BW100" i="28" s="1"/>
  <c r="BX155" i="28"/>
  <c r="BX100" i="28" s="1"/>
  <c r="BW156" i="28"/>
  <c r="BW102" i="28" s="1"/>
  <c r="BX156" i="28"/>
  <c r="BX102" i="28" s="1"/>
  <c r="BW157" i="28"/>
  <c r="BW104" i="28" s="1"/>
  <c r="BX157" i="28"/>
  <c r="BX104" i="28" s="1"/>
  <c r="L163" i="28"/>
  <c r="L119" i="28"/>
  <c r="M119" i="28"/>
  <c r="N35" i="28"/>
  <c r="L14" i="25"/>
  <c r="R9" i="24"/>
  <c r="R52" i="29"/>
  <c r="W56" i="28" s="1"/>
  <c r="R85" i="29"/>
  <c r="AD52" i="29"/>
  <c r="AD85" i="29"/>
  <c r="AP52" i="29"/>
  <c r="AU56" i="28" s="1"/>
  <c r="AP85" i="29"/>
  <c r="S52" i="29"/>
  <c r="S85" i="29"/>
  <c r="AE52" i="29"/>
  <c r="AJ56" i="28" s="1"/>
  <c r="AE85" i="29"/>
  <c r="AQ52" i="29"/>
  <c r="AQ85" i="29"/>
  <c r="T52" i="29"/>
  <c r="Y56" i="28" s="1"/>
  <c r="T85" i="29"/>
  <c r="AF85" i="29"/>
  <c r="AF52" i="29"/>
  <c r="AK56" i="28" s="1"/>
  <c r="AR85" i="29"/>
  <c r="AR52" i="29"/>
  <c r="AW56" i="28" s="1"/>
  <c r="U85" i="29"/>
  <c r="U52" i="29"/>
  <c r="AG85" i="29"/>
  <c r="AG52" i="29"/>
  <c r="AL56" i="28" s="1"/>
  <c r="AS85" i="29"/>
  <c r="AS52" i="29"/>
  <c r="AX56" i="28" s="1"/>
  <c r="J52" i="29"/>
  <c r="J85" i="29"/>
  <c r="V52" i="29"/>
  <c r="V85" i="29"/>
  <c r="AH52" i="29"/>
  <c r="AM56" i="28" s="1"/>
  <c r="AH85" i="29"/>
  <c r="AT52" i="29"/>
  <c r="AT85" i="29"/>
  <c r="K52" i="29"/>
  <c r="P56" i="28" s="1"/>
  <c r="K85" i="29"/>
  <c r="W52" i="29"/>
  <c r="W85" i="29"/>
  <c r="AI52" i="29"/>
  <c r="AN56" i="28" s="1"/>
  <c r="AI85" i="29"/>
  <c r="AU52" i="29"/>
  <c r="AU85" i="29"/>
  <c r="L52" i="29"/>
  <c r="Q56" i="28" s="1"/>
  <c r="L85" i="29"/>
  <c r="X52" i="29"/>
  <c r="X85" i="29"/>
  <c r="AJ52" i="29"/>
  <c r="AO56" i="28" s="1"/>
  <c r="AJ85" i="29"/>
  <c r="AV52" i="29"/>
  <c r="AV85" i="29"/>
  <c r="M52" i="29"/>
  <c r="R56" i="28" s="1"/>
  <c r="M85" i="29"/>
  <c r="Y52" i="29"/>
  <c r="Y85" i="29"/>
  <c r="AK52" i="29"/>
  <c r="AP56" i="28" s="1"/>
  <c r="AK85" i="29"/>
  <c r="AW52" i="29"/>
  <c r="AW85" i="29"/>
  <c r="N52" i="29"/>
  <c r="S56" i="28" s="1"/>
  <c r="N85" i="29"/>
  <c r="Z52" i="29"/>
  <c r="Z85" i="29"/>
  <c r="AL52" i="29"/>
  <c r="AQ56" i="28" s="1"/>
  <c r="AL85" i="29"/>
  <c r="AX52" i="29"/>
  <c r="AX85" i="29"/>
  <c r="O52" i="29"/>
  <c r="T56" i="28" s="1"/>
  <c r="O85" i="29"/>
  <c r="AA52" i="29"/>
  <c r="AA85" i="29"/>
  <c r="AM52" i="29"/>
  <c r="AR56" i="28" s="1"/>
  <c r="AM85" i="29"/>
  <c r="AY52" i="29"/>
  <c r="AY85" i="29"/>
  <c r="P52" i="29"/>
  <c r="U56" i="28" s="1"/>
  <c r="P85" i="29"/>
  <c r="AB52" i="29"/>
  <c r="AB85" i="29"/>
  <c r="AN52" i="29"/>
  <c r="AS56" i="28" s="1"/>
  <c r="AN85" i="29"/>
  <c r="Q52" i="29"/>
  <c r="Q85" i="29"/>
  <c r="AC52" i="29"/>
  <c r="AH56" i="28" s="1"/>
  <c r="AC85" i="29"/>
  <c r="AO52" i="29"/>
  <c r="AO85" i="29"/>
  <c r="R46" i="29"/>
  <c r="R90" i="29"/>
  <c r="AD46" i="29"/>
  <c r="AD90" i="29"/>
  <c r="AP90" i="29"/>
  <c r="AP46" i="29"/>
  <c r="AE46" i="29"/>
  <c r="AE90" i="29"/>
  <c r="T46" i="29"/>
  <c r="T90" i="29"/>
  <c r="AF46" i="29"/>
  <c r="AF90" i="29"/>
  <c r="AR46" i="29"/>
  <c r="AR90" i="29"/>
  <c r="U90" i="29"/>
  <c r="U46" i="29"/>
  <c r="AG90" i="29"/>
  <c r="AG46" i="29"/>
  <c r="AS90" i="29"/>
  <c r="AS46" i="29"/>
  <c r="J46" i="29"/>
  <c r="J90" i="29"/>
  <c r="V46" i="29"/>
  <c r="V90" i="29"/>
  <c r="AH46" i="29"/>
  <c r="AH90" i="29"/>
  <c r="AT46" i="29"/>
  <c r="AT90" i="29"/>
  <c r="K90" i="29"/>
  <c r="K46" i="29"/>
  <c r="W90" i="29"/>
  <c r="W46" i="29"/>
  <c r="AI90" i="29"/>
  <c r="AI46" i="29"/>
  <c r="AU90" i="29"/>
  <c r="AU46" i="29"/>
  <c r="L90" i="29"/>
  <c r="L46" i="29"/>
  <c r="X46" i="29"/>
  <c r="X90" i="29"/>
  <c r="AJ46" i="29"/>
  <c r="AJ90" i="29"/>
  <c r="AV90" i="29"/>
  <c r="AV46" i="29"/>
  <c r="M90" i="29"/>
  <c r="M46" i="29"/>
  <c r="Y90" i="29"/>
  <c r="Y46" i="29"/>
  <c r="AK90" i="29"/>
  <c r="AK46" i="29"/>
  <c r="AW90" i="29"/>
  <c r="AW46" i="29"/>
  <c r="N90" i="29"/>
  <c r="N46" i="29"/>
  <c r="Z90" i="29"/>
  <c r="Z46" i="29"/>
  <c r="AL90" i="29"/>
  <c r="AL46" i="29"/>
  <c r="AX90" i="29"/>
  <c r="AX46" i="29"/>
  <c r="O90" i="29"/>
  <c r="O46" i="29"/>
  <c r="AA90" i="29"/>
  <c r="AA46" i="29"/>
  <c r="AM90" i="29"/>
  <c r="AM46" i="29"/>
  <c r="AY90" i="29"/>
  <c r="AY46" i="29"/>
  <c r="AQ46" i="29"/>
  <c r="AQ90" i="29"/>
  <c r="P90" i="29"/>
  <c r="P46" i="29"/>
  <c r="AB90" i="29"/>
  <c r="AB46" i="29"/>
  <c r="AN90" i="29"/>
  <c r="AN46" i="29"/>
  <c r="S46" i="29"/>
  <c r="S90" i="29"/>
  <c r="Q90" i="29"/>
  <c r="Q46" i="29"/>
  <c r="AC90" i="29"/>
  <c r="AC46" i="29"/>
  <c r="AO90" i="29"/>
  <c r="AO46" i="29"/>
  <c r="AQ93" i="29"/>
  <c r="AV95" i="28" s="1"/>
  <c r="AG44" i="29"/>
  <c r="AL48" i="28" s="1"/>
  <c r="AM93" i="29"/>
  <c r="AR95" i="28" s="1"/>
  <c r="AH44" i="29"/>
  <c r="AM48" i="28" s="1"/>
  <c r="AE44" i="29"/>
  <c r="AJ48" i="28" s="1"/>
  <c r="AL93" i="29"/>
  <c r="AQ95" i="28" s="1"/>
  <c r="G37" i="23"/>
  <c r="Z37" i="23" s="1"/>
  <c r="Z36" i="23"/>
  <c r="AK23" i="25"/>
  <c r="AL23" i="25" s="1"/>
  <c r="J119" i="28"/>
  <c r="BX119" i="28" s="1"/>
  <c r="E12" i="23"/>
  <c r="F12" i="23"/>
  <c r="H12" i="23"/>
  <c r="I12" i="23"/>
  <c r="G12" i="23"/>
  <c r="AA76" i="25"/>
  <c r="AA77" i="25"/>
  <c r="C34" i="9"/>
  <c r="B193" i="28"/>
  <c r="K12" i="20"/>
  <c r="F11" i="9" s="1"/>
  <c r="E13" i="9"/>
  <c r="D275" i="28"/>
  <c r="D276" i="28" s="1"/>
  <c r="AI93" i="29"/>
  <c r="AN95" i="28" s="1"/>
  <c r="AI44" i="29"/>
  <c r="AN48" i="28" s="1"/>
  <c r="AK48" i="28"/>
  <c r="L72" i="28"/>
  <c r="AD44" i="29"/>
  <c r="AI48" i="28" s="1"/>
  <c r="B143" i="28"/>
  <c r="B106" i="25"/>
  <c r="B141" i="28"/>
  <c r="B110" i="25"/>
  <c r="B144" i="28"/>
  <c r="B107" i="25"/>
  <c r="B142" i="28"/>
  <c r="B105" i="25"/>
  <c r="B145" i="28"/>
  <c r="B108" i="25"/>
  <c r="B146" i="28"/>
  <c r="B109" i="25"/>
  <c r="E39" i="28"/>
  <c r="AA23" i="25"/>
  <c r="I277" i="28"/>
  <c r="J277" i="28"/>
  <c r="G277" i="28"/>
  <c r="G113" i="28" s="1"/>
  <c r="H277" i="28"/>
  <c r="B11" i="29"/>
  <c r="B28" i="20"/>
  <c r="G28" i="20" s="1"/>
  <c r="N160" i="28"/>
  <c r="C13" i="25"/>
  <c r="F27" i="20"/>
  <c r="F38" i="20" s="1"/>
  <c r="Z38" i="23"/>
  <c r="G7" i="23" s="1"/>
  <c r="X38" i="23"/>
  <c r="E9" i="23" s="1"/>
  <c r="Y38" i="23"/>
  <c r="F7" i="23" s="1"/>
  <c r="N93" i="29"/>
  <c r="S95" i="28" s="1"/>
  <c r="V93" i="29"/>
  <c r="AA95" i="28" s="1"/>
  <c r="O93" i="29"/>
  <c r="T95" i="28" s="1"/>
  <c r="S93" i="29"/>
  <c r="X95" i="28" s="1"/>
  <c r="W93" i="29"/>
  <c r="AB95" i="28" s="1"/>
  <c r="AA93" i="29"/>
  <c r="AF95" i="28" s="1"/>
  <c r="AJ95" i="28"/>
  <c r="T26" i="25"/>
  <c r="T40" i="25" s="1"/>
  <c r="D50" i="9" s="1"/>
  <c r="B54" i="28"/>
  <c r="BY54" i="28" s="1"/>
  <c r="B56" i="28"/>
  <c r="BY56" i="28" s="1"/>
  <c r="B66" i="28"/>
  <c r="BY66" i="28" s="1"/>
  <c r="B72" i="28"/>
  <c r="BY72" i="28" s="1"/>
  <c r="B74" i="28"/>
  <c r="BY74" i="28" s="1"/>
  <c r="E76" i="28"/>
  <c r="F61" i="25"/>
  <c r="F63" i="25"/>
  <c r="D101" i="28"/>
  <c r="F66" i="25"/>
  <c r="B45" i="28"/>
  <c r="BY45" i="28" s="1"/>
  <c r="B47" i="28"/>
  <c r="BY47" i="28" s="1"/>
  <c r="B50" i="28"/>
  <c r="BY50" i="28" s="1"/>
  <c r="B58" i="28"/>
  <c r="BY58" i="28" s="1"/>
  <c r="B61" i="28"/>
  <c r="BY61" i="28" s="1"/>
  <c r="B64" i="28"/>
  <c r="BY64" i="28" s="1"/>
  <c r="B70" i="28"/>
  <c r="BY70" i="28" s="1"/>
  <c r="D100" i="28"/>
  <c r="D104" i="28"/>
  <c r="R80" i="25"/>
  <c r="G23" i="25"/>
  <c r="B51" i="28"/>
  <c r="BY51" i="28" s="1"/>
  <c r="B53" i="28"/>
  <c r="BY53" i="28" s="1"/>
  <c r="B55" i="28"/>
  <c r="BY55" i="28" s="1"/>
  <c r="B60" i="28"/>
  <c r="BY60" i="28" s="1"/>
  <c r="B62" i="28"/>
  <c r="BY62" i="28" s="1"/>
  <c r="B65" i="28"/>
  <c r="BY65" i="28" s="1"/>
  <c r="B67" i="28"/>
  <c r="BY67" i="28" s="1"/>
  <c r="B69" i="28"/>
  <c r="BY69" i="28" s="1"/>
  <c r="B73" i="28"/>
  <c r="BY73" i="28" s="1"/>
  <c r="E77" i="28"/>
  <c r="F62" i="25"/>
  <c r="E93" i="28"/>
  <c r="D99" i="28"/>
  <c r="D103" i="28"/>
  <c r="G47" i="25"/>
  <c r="F77" i="25"/>
  <c r="B46" i="28"/>
  <c r="BY46" i="28" s="1"/>
  <c r="B48" i="28"/>
  <c r="BY48" i="28" s="1"/>
  <c r="B52" i="28"/>
  <c r="BY52" i="28" s="1"/>
  <c r="B59" i="28"/>
  <c r="BY59" i="28" s="1"/>
  <c r="E61" i="28"/>
  <c r="AV61" i="28" s="1"/>
  <c r="G45" i="25"/>
  <c r="B63" i="28"/>
  <c r="BY63" i="28" s="1"/>
  <c r="B71" i="28"/>
  <c r="BY71" i="28" s="1"/>
  <c r="F76" i="25"/>
  <c r="D102" i="28"/>
  <c r="G8" i="23"/>
  <c r="F10" i="23"/>
  <c r="E11" i="23"/>
  <c r="E7" i="23"/>
  <c r="E8" i="23"/>
  <c r="G11" i="23"/>
  <c r="F14" i="23"/>
  <c r="G14" i="23"/>
  <c r="E10" i="23"/>
  <c r="I14" i="23"/>
  <c r="G10" i="23"/>
  <c r="F13" i="23"/>
  <c r="G13" i="23"/>
  <c r="H14" i="23"/>
  <c r="E14" i="23"/>
  <c r="F11" i="23"/>
  <c r="E13" i="23"/>
  <c r="K93" i="29"/>
  <c r="P95" i="28" s="1"/>
  <c r="I52" i="23"/>
  <c r="AB52" i="23" s="1"/>
  <c r="AA52" i="23"/>
  <c r="H39" i="23"/>
  <c r="AA38" i="23"/>
  <c r="H37" i="23"/>
  <c r="AA36" i="23"/>
  <c r="H35" i="23"/>
  <c r="AA34" i="23"/>
  <c r="H33" i="23"/>
  <c r="AA32" i="23"/>
  <c r="H31" i="23"/>
  <c r="AA30" i="23"/>
  <c r="H21" i="23"/>
  <c r="AA20" i="23"/>
  <c r="I18" i="23"/>
  <c r="AB18" i="23" s="1"/>
  <c r="AA18" i="23"/>
  <c r="H13" i="23" s="1"/>
  <c r="M16" i="25"/>
  <c r="C27" i="20"/>
  <c r="E27" i="20" s="1"/>
  <c r="H27" i="20"/>
  <c r="H25" i="23"/>
  <c r="AA24" i="23"/>
  <c r="H27" i="23"/>
  <c r="AA26" i="23"/>
  <c r="E24" i="11"/>
  <c r="E25" i="11" s="1"/>
  <c r="I14" i="18"/>
  <c r="AJ9" i="29"/>
  <c r="AK9" i="29" s="1"/>
  <c r="AL9" i="29" s="1"/>
  <c r="AM9" i="29" s="1"/>
  <c r="AN9" i="29" s="1"/>
  <c r="AO9" i="29" s="1"/>
  <c r="AP9" i="29" s="1"/>
  <c r="AQ9" i="29" s="1"/>
  <c r="AR9" i="29" s="1"/>
  <c r="AS9" i="29" s="1"/>
  <c r="AT9" i="29" s="1"/>
  <c r="AU9" i="29" s="1"/>
  <c r="AV9" i="29" s="1"/>
  <c r="AW9" i="29" s="1"/>
  <c r="AX9" i="29" s="1"/>
  <c r="AY9" i="29" s="1"/>
  <c r="AZ9" i="29" s="1"/>
  <c r="BA9" i="29" s="1"/>
  <c r="BB9" i="29" s="1"/>
  <c r="BC9" i="29" s="1"/>
  <c r="BD9" i="29" s="1"/>
  <c r="BE9" i="29" s="1"/>
  <c r="BF9" i="29" s="1"/>
  <c r="BG9" i="29" s="1"/>
  <c r="BH9" i="29" s="1"/>
  <c r="BI9" i="29" s="1"/>
  <c r="BJ9" i="29" s="1"/>
  <c r="BK9" i="29" s="1"/>
  <c r="BL9" i="29" s="1"/>
  <c r="BM9" i="29" s="1"/>
  <c r="BN9" i="29" s="1"/>
  <c r="BO9" i="29" s="1"/>
  <c r="BP9" i="29" s="1"/>
  <c r="AC28" i="25"/>
  <c r="AD28" i="25" s="1"/>
  <c r="I21" i="18"/>
  <c r="J137" i="29"/>
  <c r="J138" i="29" s="1"/>
  <c r="N137" i="29"/>
  <c r="N141" i="29" s="1"/>
  <c r="R137" i="29"/>
  <c r="R141" i="29" s="1"/>
  <c r="V137" i="29"/>
  <c r="V141" i="29" s="1"/>
  <c r="Z137" i="29"/>
  <c r="Z141" i="29" s="1"/>
  <c r="AD137" i="29"/>
  <c r="AD141" i="29" s="1"/>
  <c r="AH137" i="29"/>
  <c r="AH141" i="29" s="1"/>
  <c r="AL137" i="29"/>
  <c r="AL141" i="29" s="1"/>
  <c r="AP137" i="29"/>
  <c r="AP141" i="29" s="1"/>
  <c r="AT137" i="29"/>
  <c r="AT141" i="29" s="1"/>
  <c r="AX137" i="29"/>
  <c r="AX141" i="29" s="1"/>
  <c r="H115" i="28"/>
  <c r="F16" i="16"/>
  <c r="G16" i="16" s="1"/>
  <c r="G17" i="16" s="1"/>
  <c r="E11" i="17"/>
  <c r="I54" i="18"/>
  <c r="AC45" i="25"/>
  <c r="AD45" i="25" s="1"/>
  <c r="O8" i="28"/>
  <c r="O9" i="28" s="1"/>
  <c r="I56" i="18"/>
  <c r="C13" i="14"/>
  <c r="F25" i="11"/>
  <c r="N13" i="28"/>
  <c r="O13" i="28" s="1"/>
  <c r="P13" i="28" s="1"/>
  <c r="Q13" i="28" s="1"/>
  <c r="R13" i="28" s="1"/>
  <c r="S13" i="28" s="1"/>
  <c r="T13" i="28" s="1"/>
  <c r="U13" i="28" s="1"/>
  <c r="V13" i="28" s="1"/>
  <c r="W13" i="28" s="1"/>
  <c r="X13" i="28" s="1"/>
  <c r="Y13" i="28" s="1"/>
  <c r="Z13" i="28" s="1"/>
  <c r="AA13" i="28" s="1"/>
  <c r="AB13" i="28" s="1"/>
  <c r="AC13" i="28" s="1"/>
  <c r="AD13" i="28" s="1"/>
  <c r="AE13" i="28" s="1"/>
  <c r="AF13" i="28" s="1"/>
  <c r="AG13" i="28" s="1"/>
  <c r="AH13" i="28" s="1"/>
  <c r="AI13" i="28" s="1"/>
  <c r="AJ13" i="28" s="1"/>
  <c r="AK13" i="28" s="1"/>
  <c r="AL13" i="28" s="1"/>
  <c r="AM13" i="28" s="1"/>
  <c r="AN13" i="28" s="1"/>
  <c r="AO13" i="28" s="1"/>
  <c r="AP13" i="28" s="1"/>
  <c r="N16" i="28"/>
  <c r="O16" i="28" s="1"/>
  <c r="P16" i="28" s="1"/>
  <c r="Q16" i="28" s="1"/>
  <c r="R16" i="28" s="1"/>
  <c r="S16" i="28" s="1"/>
  <c r="T16" i="28" s="1"/>
  <c r="U16" i="28" s="1"/>
  <c r="V16" i="28" s="1"/>
  <c r="W16" i="28" s="1"/>
  <c r="X16" i="28" s="1"/>
  <c r="Y16" i="28" s="1"/>
  <c r="Z16" i="28" s="1"/>
  <c r="AA16" i="28" s="1"/>
  <c r="AB16" i="28" s="1"/>
  <c r="AC16" i="28" s="1"/>
  <c r="AD16" i="28" s="1"/>
  <c r="AE16" i="28" s="1"/>
  <c r="AF16" i="28" s="1"/>
  <c r="AG16" i="28" s="1"/>
  <c r="AH16" i="28" s="1"/>
  <c r="AI16" i="28" s="1"/>
  <c r="AJ16" i="28" s="1"/>
  <c r="AK16" i="28" s="1"/>
  <c r="AL16" i="28" s="1"/>
  <c r="AM16" i="28" s="1"/>
  <c r="AN16" i="28" s="1"/>
  <c r="AO16" i="28" s="1"/>
  <c r="AP16" i="28" s="1"/>
  <c r="L44" i="18"/>
  <c r="I58" i="18"/>
  <c r="G11" i="14"/>
  <c r="K11" i="14" s="1"/>
  <c r="D24" i="14" s="1"/>
  <c r="BD52" i="28"/>
  <c r="BS52" i="28"/>
  <c r="BO52" i="28"/>
  <c r="BK52" i="28"/>
  <c r="BG52" i="28"/>
  <c r="BT52" i="28"/>
  <c r="BP52" i="28"/>
  <c r="BL52" i="28"/>
  <c r="BH52" i="28"/>
  <c r="BN52" i="28"/>
  <c r="BF52" i="28"/>
  <c r="BM52" i="28"/>
  <c r="BR52" i="28"/>
  <c r="BJ52" i="28"/>
  <c r="BQ52" i="28"/>
  <c r="BI52" i="28"/>
  <c r="BU52" i="28"/>
  <c r="J66" i="28"/>
  <c r="BI66" i="28"/>
  <c r="BL66" i="28"/>
  <c r="BM66" i="28"/>
  <c r="BS66" i="28"/>
  <c r="BP66" i="28"/>
  <c r="BH66" i="28"/>
  <c r="BT66" i="28"/>
  <c r="BR66" i="28"/>
  <c r="BO66" i="28"/>
  <c r="BN66" i="28"/>
  <c r="BJ66" i="28"/>
  <c r="BG66" i="28"/>
  <c r="BU66" i="28"/>
  <c r="BF66" i="28"/>
  <c r="BK66" i="28"/>
  <c r="BQ66" i="28"/>
  <c r="AZ53" i="28"/>
  <c r="BS53" i="28"/>
  <c r="BO53" i="28"/>
  <c r="BK53" i="28"/>
  <c r="BG53" i="28"/>
  <c r="BR53" i="28"/>
  <c r="BJ53" i="28"/>
  <c r="BT53" i="28"/>
  <c r="BP53" i="28"/>
  <c r="BL53" i="28"/>
  <c r="BH53" i="28"/>
  <c r="BN53" i="28"/>
  <c r="BF53" i="28"/>
  <c r="BI53" i="28"/>
  <c r="BQ53" i="28"/>
  <c r="BM53" i="28"/>
  <c r="BU53" i="28"/>
  <c r="J67" i="28"/>
  <c r="BM67" i="28"/>
  <c r="BK67" i="28"/>
  <c r="BR67" i="28"/>
  <c r="BI67" i="28"/>
  <c r="BG67" i="28"/>
  <c r="BQ67" i="28"/>
  <c r="BH67" i="28"/>
  <c r="BN67" i="28"/>
  <c r="BT67" i="28"/>
  <c r="BU67" i="28"/>
  <c r="BS67" i="28"/>
  <c r="BP67" i="28"/>
  <c r="BF67" i="28"/>
  <c r="BL67" i="28"/>
  <c r="BJ67" i="28"/>
  <c r="BO67" i="28"/>
  <c r="AX70" i="28"/>
  <c r="BS70" i="28"/>
  <c r="BO70" i="28"/>
  <c r="BK70" i="28"/>
  <c r="BG70" i="28"/>
  <c r="BR70" i="28"/>
  <c r="BJ70" i="28"/>
  <c r="BT70" i="28"/>
  <c r="BP70" i="28"/>
  <c r="BL70" i="28"/>
  <c r="BH70" i="28"/>
  <c r="BN70" i="28"/>
  <c r="BF70" i="28"/>
  <c r="BI70" i="28"/>
  <c r="BQ70" i="28"/>
  <c r="BM70" i="28"/>
  <c r="BU70" i="28"/>
  <c r="BD98" i="28"/>
  <c r="BR98" i="28"/>
  <c r="BN98" i="28"/>
  <c r="BJ98" i="28"/>
  <c r="BF98" i="28"/>
  <c r="BQ98" i="28"/>
  <c r="BI98" i="28"/>
  <c r="BS98" i="28"/>
  <c r="BO98" i="28"/>
  <c r="BK98" i="28"/>
  <c r="BG98" i="28"/>
  <c r="BU98" i="28"/>
  <c r="BM98" i="28"/>
  <c r="BT98" i="28"/>
  <c r="BL98" i="28"/>
  <c r="BH98" i="28"/>
  <c r="BP98" i="28"/>
  <c r="U59" i="28"/>
  <c r="BS59" i="28"/>
  <c r="BO59" i="28"/>
  <c r="BK59" i="28"/>
  <c r="BG59" i="28"/>
  <c r="BR59" i="28"/>
  <c r="BJ59" i="28"/>
  <c r="BT59" i="28"/>
  <c r="BP59" i="28"/>
  <c r="BL59" i="28"/>
  <c r="BH59" i="28"/>
  <c r="BN59" i="28"/>
  <c r="BF59" i="28"/>
  <c r="BI59" i="28"/>
  <c r="BQ59" i="28"/>
  <c r="BM59" i="28"/>
  <c r="BU59" i="28"/>
  <c r="BD74" i="28"/>
  <c r="BS74" i="28"/>
  <c r="BO74" i="28"/>
  <c r="BK74" i="28"/>
  <c r="BG74" i="28"/>
  <c r="BN74" i="28"/>
  <c r="BJ74" i="28"/>
  <c r="BT74" i="28"/>
  <c r="BP74" i="28"/>
  <c r="BL74" i="28"/>
  <c r="BH74" i="28"/>
  <c r="BR74" i="28"/>
  <c r="BF74" i="28"/>
  <c r="BI74" i="28"/>
  <c r="BU74" i="28"/>
  <c r="BQ74" i="28"/>
  <c r="BM74" i="28"/>
  <c r="BS64" i="28"/>
  <c r="BO64" i="28"/>
  <c r="BK64" i="28"/>
  <c r="BG64" i="28"/>
  <c r="BR64" i="28"/>
  <c r="BJ64" i="28"/>
  <c r="BT64" i="28"/>
  <c r="BP64" i="28"/>
  <c r="BL64" i="28"/>
  <c r="BH64" i="28"/>
  <c r="BN64" i="28"/>
  <c r="BF64" i="28"/>
  <c r="BI64" i="28"/>
  <c r="BU64" i="28"/>
  <c r="BQ64" i="28"/>
  <c r="BM64" i="28"/>
  <c r="BS55" i="28"/>
  <c r="BO55" i="28"/>
  <c r="BK55" i="28"/>
  <c r="BG55" i="28"/>
  <c r="BR55" i="28"/>
  <c r="BJ55" i="28"/>
  <c r="BT55" i="28"/>
  <c r="BP55" i="28"/>
  <c r="BL55" i="28"/>
  <c r="BH55" i="28"/>
  <c r="BN55" i="28"/>
  <c r="BF55" i="28"/>
  <c r="BI55" i="28"/>
  <c r="BU55" i="28"/>
  <c r="BQ55" i="28"/>
  <c r="BM55" i="28"/>
  <c r="BQ65" i="28"/>
  <c r="BJ65" i="28"/>
  <c r="BI65" i="28"/>
  <c r="BO65" i="28"/>
  <c r="BG65" i="28"/>
  <c r="BN65" i="28"/>
  <c r="BR65" i="28"/>
  <c r="BH65" i="28"/>
  <c r="BS65" i="28"/>
  <c r="BP65" i="28"/>
  <c r="BU65" i="28"/>
  <c r="BM65" i="28"/>
  <c r="BT65" i="28"/>
  <c r="BL65" i="28"/>
  <c r="BK65" i="28"/>
  <c r="BF65" i="28"/>
  <c r="J95" i="28"/>
  <c r="BF95" i="28"/>
  <c r="BM95" i="28"/>
  <c r="BO95" i="28"/>
  <c r="BN95" i="28"/>
  <c r="BJ95" i="28"/>
  <c r="BK95" i="28"/>
  <c r="BI95" i="28"/>
  <c r="BR95" i="28"/>
  <c r="BS95" i="28"/>
  <c r="BL95" i="28"/>
  <c r="BT95" i="28"/>
  <c r="BQ95" i="28"/>
  <c r="BH95" i="28"/>
  <c r="BU95" i="28"/>
  <c r="BG95" i="28"/>
  <c r="BP95" i="28"/>
  <c r="BC73" i="28"/>
  <c r="BS73" i="28"/>
  <c r="BO73" i="28"/>
  <c r="BK73" i="28"/>
  <c r="BG73" i="28"/>
  <c r="BR73" i="28"/>
  <c r="BN73" i="28"/>
  <c r="BJ73" i="28"/>
  <c r="BF73" i="28"/>
  <c r="BU73" i="28"/>
  <c r="BQ73" i="28"/>
  <c r="BM73" i="28"/>
  <c r="BI73" i="28"/>
  <c r="BT73" i="28"/>
  <c r="BP73" i="28"/>
  <c r="BL73" i="28"/>
  <c r="BH73" i="28"/>
  <c r="J56" i="28"/>
  <c r="BL56" i="28"/>
  <c r="BI56" i="28"/>
  <c r="BQ56" i="28"/>
  <c r="BK56" i="28"/>
  <c r="BJ56" i="28"/>
  <c r="BT56" i="28"/>
  <c r="BM56" i="28"/>
  <c r="BG56" i="28"/>
  <c r="BN56" i="28"/>
  <c r="BS56" i="28"/>
  <c r="BR56" i="28"/>
  <c r="BF56" i="28"/>
  <c r="BU56" i="28"/>
  <c r="BO56" i="28"/>
  <c r="BH56" i="28"/>
  <c r="BP56" i="28"/>
  <c r="K47" i="28"/>
  <c r="BO47" i="28"/>
  <c r="BU47" i="28"/>
  <c r="BN47" i="28"/>
  <c r="BH47" i="28"/>
  <c r="BI47" i="28"/>
  <c r="BK47" i="28"/>
  <c r="BR47" i="28"/>
  <c r="BL47" i="28"/>
  <c r="BM47" i="28"/>
  <c r="BF47" i="28"/>
  <c r="BG47" i="28"/>
  <c r="BP47" i="28"/>
  <c r="BQ47" i="28"/>
  <c r="BJ47" i="28"/>
  <c r="BS47" i="28"/>
  <c r="BT47" i="28"/>
  <c r="B14" i="29"/>
  <c r="N22" i="28"/>
  <c r="O22" i="28" s="1"/>
  <c r="P22" i="28" s="1"/>
  <c r="Q22" i="28" s="1"/>
  <c r="R22" i="28" s="1"/>
  <c r="S22" i="28" s="1"/>
  <c r="T22" i="28" s="1"/>
  <c r="U22" i="28" s="1"/>
  <c r="V22" i="28" s="1"/>
  <c r="W22" i="28" s="1"/>
  <c r="X22" i="28" s="1"/>
  <c r="Y22" i="28" s="1"/>
  <c r="Z22" i="28" s="1"/>
  <c r="AA22" i="28" s="1"/>
  <c r="AB22" i="28" s="1"/>
  <c r="AC22" i="28" s="1"/>
  <c r="AD22" i="28" s="1"/>
  <c r="AE22" i="28" s="1"/>
  <c r="AF22" i="28" s="1"/>
  <c r="AG22" i="28" s="1"/>
  <c r="AH22" i="28" s="1"/>
  <c r="AI22" i="28" s="1"/>
  <c r="AJ22" i="28" s="1"/>
  <c r="AK22" i="28" s="1"/>
  <c r="AL22" i="28" s="1"/>
  <c r="AM22" i="28" s="1"/>
  <c r="AN22" i="28" s="1"/>
  <c r="AO22" i="28" s="1"/>
  <c r="AP22" i="28" s="1"/>
  <c r="AQ22" i="28" s="1"/>
  <c r="AR22" i="28" s="1"/>
  <c r="AS22" i="28" s="1"/>
  <c r="AT22" i="28" s="1"/>
  <c r="AU22" i="28" s="1"/>
  <c r="AV22" i="28" s="1"/>
  <c r="N34" i="28"/>
  <c r="O34" i="28" s="1"/>
  <c r="P34" i="28" s="1"/>
  <c r="Q34" i="28" s="1"/>
  <c r="R34" i="28" s="1"/>
  <c r="S34" i="28" s="1"/>
  <c r="T34" i="28" s="1"/>
  <c r="U34" i="28" s="1"/>
  <c r="V34" i="28" s="1"/>
  <c r="W34" i="28" s="1"/>
  <c r="X34" i="28" s="1"/>
  <c r="Y34" i="28" s="1"/>
  <c r="Z34" i="28" s="1"/>
  <c r="AA34" i="28" s="1"/>
  <c r="AB34" i="28" s="1"/>
  <c r="AC34" i="28" s="1"/>
  <c r="AD34" i="28" s="1"/>
  <c r="AE34" i="28" s="1"/>
  <c r="AF34" i="28" s="1"/>
  <c r="AG34" i="28" s="1"/>
  <c r="AH34" i="28" s="1"/>
  <c r="AI34" i="28" s="1"/>
  <c r="AJ34" i="28" s="1"/>
  <c r="AK34" i="28" s="1"/>
  <c r="AL34" i="28" s="1"/>
  <c r="AM34" i="28" s="1"/>
  <c r="AN34" i="28" s="1"/>
  <c r="AO34" i="28" s="1"/>
  <c r="AP34" i="28" s="1"/>
  <c r="AQ34" i="28" s="1"/>
  <c r="AR34" i="28" s="1"/>
  <c r="AS34" i="28" s="1"/>
  <c r="AT34" i="28" s="1"/>
  <c r="AU34" i="28" s="1"/>
  <c r="AV34" i="28" s="1"/>
  <c r="H111" i="28"/>
  <c r="I111" i="28" s="1"/>
  <c r="L14" i="28"/>
  <c r="L17" i="28" s="1"/>
  <c r="L133" i="28" s="1"/>
  <c r="BY223" i="28"/>
  <c r="B26" i="29"/>
  <c r="BE74" i="28"/>
  <c r="B29" i="29"/>
  <c r="N25" i="28"/>
  <c r="O25" i="28" s="1"/>
  <c r="P25" i="28" s="1"/>
  <c r="Q25" i="28" s="1"/>
  <c r="R25" i="28" s="1"/>
  <c r="S25" i="28" s="1"/>
  <c r="T25" i="28" s="1"/>
  <c r="U25" i="28" s="1"/>
  <c r="V25" i="28" s="1"/>
  <c r="W25" i="28" s="1"/>
  <c r="X25" i="28" s="1"/>
  <c r="Y25" i="28" s="1"/>
  <c r="Z25" i="28" s="1"/>
  <c r="AA25" i="28" s="1"/>
  <c r="AB25" i="28" s="1"/>
  <c r="AC25" i="28" s="1"/>
  <c r="AD25" i="28" s="1"/>
  <c r="AE25" i="28" s="1"/>
  <c r="AF25" i="28" s="1"/>
  <c r="AG25" i="28" s="1"/>
  <c r="AH25" i="28" s="1"/>
  <c r="AI25" i="28" s="1"/>
  <c r="AJ25" i="28" s="1"/>
  <c r="AK25" i="28" s="1"/>
  <c r="AL25" i="28" s="1"/>
  <c r="AM25" i="28" s="1"/>
  <c r="AN25" i="28" s="1"/>
  <c r="AO25" i="28" s="1"/>
  <c r="AP25" i="28" s="1"/>
  <c r="AQ25" i="28" s="1"/>
  <c r="AR25" i="28" s="1"/>
  <c r="AS25" i="28" s="1"/>
  <c r="AT25" i="28" s="1"/>
  <c r="AU25" i="28" s="1"/>
  <c r="AW25" i="28" s="1"/>
  <c r="AX25" i="28" s="1"/>
  <c r="AY25" i="28" s="1"/>
  <c r="AZ25" i="28" s="1"/>
  <c r="AF73" i="28"/>
  <c r="AS74" i="28"/>
  <c r="K73" i="28"/>
  <c r="N74" i="28"/>
  <c r="U73" i="28"/>
  <c r="AD74" i="28"/>
  <c r="C19" i="25"/>
  <c r="BA73" i="28"/>
  <c r="AQ73" i="28"/>
  <c r="I38" i="23"/>
  <c r="AB38" i="23" s="1"/>
  <c r="H41" i="23"/>
  <c r="AA41" i="23" s="1"/>
  <c r="E5" i="9"/>
  <c r="D201" i="28"/>
  <c r="D202" i="28" s="1"/>
  <c r="E8" i="9"/>
  <c r="D231" i="28"/>
  <c r="D232" i="28" s="1"/>
  <c r="AJ64" i="28"/>
  <c r="O64" i="28"/>
  <c r="BD64" i="28"/>
  <c r="AI64" i="28"/>
  <c r="N64" i="28"/>
  <c r="AU64" i="28"/>
  <c r="Z64" i="28"/>
  <c r="AT64" i="28"/>
  <c r="X64" i="28"/>
  <c r="I2" i="28"/>
  <c r="I3" i="28" s="1"/>
  <c r="H6" i="28"/>
  <c r="H5" i="28"/>
  <c r="H4" i="28"/>
  <c r="I40" i="23"/>
  <c r="AB40" i="23" s="1"/>
  <c r="H53" i="23"/>
  <c r="AA53" i="23" s="1"/>
  <c r="K6" i="20"/>
  <c r="F5" i="9" s="1"/>
  <c r="K9" i="20"/>
  <c r="F8" i="9" s="1"/>
  <c r="E12" i="9"/>
  <c r="D271" i="28"/>
  <c r="D272" i="28" s="1"/>
  <c r="K14" i="20"/>
  <c r="F13" i="9" s="1"/>
  <c r="AD50" i="25"/>
  <c r="U63" i="25"/>
  <c r="K13" i="20"/>
  <c r="F12" i="9" s="1"/>
  <c r="AC48" i="25"/>
  <c r="AD48" i="25" s="1"/>
  <c r="AC49" i="25"/>
  <c r="AD49" i="25" s="1"/>
  <c r="E6" i="9"/>
  <c r="D211" i="28"/>
  <c r="D212" i="28" s="1"/>
  <c r="E9" i="9"/>
  <c r="D241" i="28"/>
  <c r="D242" i="28" s="1"/>
  <c r="G4" i="28"/>
  <c r="G5" i="28"/>
  <c r="G6" i="28"/>
  <c r="M7" i="28"/>
  <c r="AZ59" i="28"/>
  <c r="AO59" i="28"/>
  <c r="AC59" i="28"/>
  <c r="T59" i="28"/>
  <c r="M59" i="28"/>
  <c r="AW59" i="28"/>
  <c r="AK59" i="28"/>
  <c r="AB59" i="28"/>
  <c r="Q59" i="28"/>
  <c r="BE59" i="28"/>
  <c r="AS59" i="28"/>
  <c r="AJ59" i="28"/>
  <c r="Y59" i="28"/>
  <c r="O59" i="28"/>
  <c r="BA59" i="28"/>
  <c r="N59" i="28"/>
  <c r="AR59" i="28"/>
  <c r="K59" i="28"/>
  <c r="AG59" i="28"/>
  <c r="J59" i="28"/>
  <c r="N66" i="28"/>
  <c r="AV70" i="28"/>
  <c r="AL70" i="28"/>
  <c r="AA70" i="28"/>
  <c r="P70" i="28"/>
  <c r="BC70" i="28"/>
  <c r="AR70" i="28"/>
  <c r="AH70" i="28"/>
  <c r="W70" i="28"/>
  <c r="L70" i="28"/>
  <c r="BB70" i="28"/>
  <c r="AQ70" i="28"/>
  <c r="AF70" i="28"/>
  <c r="V70" i="28"/>
  <c r="K70" i="28"/>
  <c r="AM70" i="28"/>
  <c r="AB70" i="28"/>
  <c r="R70" i="28"/>
  <c r="N119" i="28"/>
  <c r="N11" i="28"/>
  <c r="M14" i="28"/>
  <c r="M17" i="28" s="1"/>
  <c r="H47" i="16"/>
  <c r="K46" i="16"/>
  <c r="G53" i="16"/>
  <c r="E50" i="16"/>
  <c r="N67" i="28"/>
  <c r="L161" i="28"/>
  <c r="L162" i="28" s="1"/>
  <c r="N19" i="28"/>
  <c r="O19" i="28" s="1"/>
  <c r="P19" i="28" s="1"/>
  <c r="Q19" i="28" s="1"/>
  <c r="R19" i="28" s="1"/>
  <c r="S19" i="28" s="1"/>
  <c r="T19" i="28" s="1"/>
  <c r="U19" i="28" s="1"/>
  <c r="V19" i="28" s="1"/>
  <c r="W19" i="28" s="1"/>
  <c r="X19" i="28" s="1"/>
  <c r="Y19" i="28" s="1"/>
  <c r="Z19" i="28" s="1"/>
  <c r="AA19" i="28" s="1"/>
  <c r="AB19" i="28" s="1"/>
  <c r="AC19" i="28" s="1"/>
  <c r="AD19" i="28" s="1"/>
  <c r="AE19" i="28" s="1"/>
  <c r="AF19" i="28" s="1"/>
  <c r="AG19" i="28" s="1"/>
  <c r="AH19" i="28" s="1"/>
  <c r="AI19" i="28" s="1"/>
  <c r="AJ19" i="28" s="1"/>
  <c r="AK19" i="28" s="1"/>
  <c r="AL19" i="28" s="1"/>
  <c r="AM19" i="28" s="1"/>
  <c r="AN19" i="28" s="1"/>
  <c r="AO19" i="28" s="1"/>
  <c r="N31" i="28"/>
  <c r="O31" i="28" s="1"/>
  <c r="P31" i="28" s="1"/>
  <c r="Q31" i="28" s="1"/>
  <c r="R31" i="28" s="1"/>
  <c r="S31" i="28" s="1"/>
  <c r="T31" i="28" s="1"/>
  <c r="U31" i="28" s="1"/>
  <c r="V31" i="28" s="1"/>
  <c r="W31" i="28" s="1"/>
  <c r="X31" i="28" s="1"/>
  <c r="Y31" i="28" s="1"/>
  <c r="Z31" i="28" s="1"/>
  <c r="AA31" i="28" s="1"/>
  <c r="AB31" i="28" s="1"/>
  <c r="AC31" i="28" s="1"/>
  <c r="AD31" i="28" s="1"/>
  <c r="AE31" i="28" s="1"/>
  <c r="AF31" i="28" s="1"/>
  <c r="AG31" i="28" s="1"/>
  <c r="AH31" i="28" s="1"/>
  <c r="AI31" i="28" s="1"/>
  <c r="AJ31" i="28" s="1"/>
  <c r="AK31" i="28" s="1"/>
  <c r="AL31" i="28" s="1"/>
  <c r="AM31" i="28" s="1"/>
  <c r="AN31" i="28" s="1"/>
  <c r="AO31" i="28" s="1"/>
  <c r="M65" i="28"/>
  <c r="L65" i="28"/>
  <c r="L66" i="28"/>
  <c r="K67" i="28"/>
  <c r="O73" i="28"/>
  <c r="Y73" i="28"/>
  <c r="AJ73" i="28"/>
  <c r="AU73" i="28"/>
  <c r="BE73" i="28"/>
  <c r="T74" i="28"/>
  <c r="AH74" i="28"/>
  <c r="AT74" i="28"/>
  <c r="M67" i="28"/>
  <c r="P73" i="28"/>
  <c r="AA73" i="28"/>
  <c r="AK73" i="28"/>
  <c r="AV73" i="28"/>
  <c r="X74" i="28"/>
  <c r="AJ74" i="28"/>
  <c r="AZ74" i="28"/>
  <c r="K10" i="14"/>
  <c r="T73" i="28"/>
  <c r="AE73" i="28"/>
  <c r="AO73" i="28"/>
  <c r="AZ73" i="28"/>
  <c r="M74" i="28"/>
  <c r="Y74" i="28"/>
  <c r="AO74" i="28"/>
  <c r="D12" i="14"/>
  <c r="E12" i="14"/>
  <c r="E13" i="14" s="1"/>
  <c r="F24" i="11"/>
  <c r="G25" i="11"/>
  <c r="F23" i="11"/>
  <c r="G24" i="11"/>
  <c r="O47" i="28"/>
  <c r="S47" i="28"/>
  <c r="W47" i="28"/>
  <c r="AA47" i="28"/>
  <c r="AE47" i="28"/>
  <c r="AI47" i="28"/>
  <c r="AM47" i="28"/>
  <c r="AQ47" i="28"/>
  <c r="AU47" i="28"/>
  <c r="AY47" i="28"/>
  <c r="BC47" i="28"/>
  <c r="Q47" i="28"/>
  <c r="U47" i="28"/>
  <c r="Y47" i="28"/>
  <c r="AC47" i="28"/>
  <c r="AG47" i="28"/>
  <c r="AK47" i="28"/>
  <c r="AO47" i="28"/>
  <c r="AS47" i="28"/>
  <c r="AW47" i="28"/>
  <c r="BA47" i="28"/>
  <c r="BE47" i="28"/>
  <c r="D97" i="28"/>
  <c r="E148" i="28"/>
  <c r="K72" i="28"/>
  <c r="D55" i="29"/>
  <c r="J93" i="29"/>
  <c r="R84" i="29"/>
  <c r="W94" i="28" s="1"/>
  <c r="R93" i="29"/>
  <c r="W95" i="28" s="1"/>
  <c r="Z74" i="29"/>
  <c r="Z93" i="29"/>
  <c r="AE95" i="28" s="1"/>
  <c r="AH93" i="29"/>
  <c r="AM95" i="28" s="1"/>
  <c r="AP84" i="29"/>
  <c r="AU94" i="28" s="1"/>
  <c r="AP93" i="29"/>
  <c r="AU95" i="28" s="1"/>
  <c r="AX93" i="29"/>
  <c r="BC95" i="28" s="1"/>
  <c r="AD84" i="29"/>
  <c r="AI94" i="28" s="1"/>
  <c r="AD93" i="29"/>
  <c r="AI95" i="28" s="1"/>
  <c r="AZ65" i="28"/>
  <c r="AU93" i="29"/>
  <c r="AZ95" i="28" s="1"/>
  <c r="AY93" i="29"/>
  <c r="BD95" i="28" s="1"/>
  <c r="AT74" i="29"/>
  <c r="AT93" i="29"/>
  <c r="AY95" i="28" s="1"/>
  <c r="Q65" i="28"/>
  <c r="L93" i="29"/>
  <c r="Q95" i="28" s="1"/>
  <c r="P74" i="29"/>
  <c r="P93" i="29"/>
  <c r="U95" i="28" s="1"/>
  <c r="T74" i="29"/>
  <c r="T93" i="29"/>
  <c r="Y95" i="28" s="1"/>
  <c r="AC65" i="28"/>
  <c r="X93" i="29"/>
  <c r="AC95" i="28" s="1"/>
  <c r="AB74" i="29"/>
  <c r="AB93" i="29"/>
  <c r="AG95" i="28" s="1"/>
  <c r="AF74" i="29"/>
  <c r="AF93" i="29"/>
  <c r="AK95" i="28" s="1"/>
  <c r="AJ74" i="29"/>
  <c r="AJ93" i="29"/>
  <c r="AO95" i="28" s="1"/>
  <c r="AN74" i="29"/>
  <c r="AN93" i="29"/>
  <c r="AS95" i="28" s="1"/>
  <c r="AR74" i="29"/>
  <c r="AR93" i="29"/>
  <c r="AW95" i="28" s="1"/>
  <c r="BA65" i="28"/>
  <c r="AV93" i="29"/>
  <c r="BA95" i="28" s="1"/>
  <c r="AZ74" i="29"/>
  <c r="AZ93" i="29"/>
  <c r="BE95" i="28" s="1"/>
  <c r="R65" i="28"/>
  <c r="M93" i="29"/>
  <c r="R95" i="28" s="1"/>
  <c r="V65" i="28"/>
  <c r="Q93" i="29"/>
  <c r="V95" i="28" s="1"/>
  <c r="Z65" i="28"/>
  <c r="U93" i="29"/>
  <c r="Z95" i="28" s="1"/>
  <c r="AD65" i="28"/>
  <c r="Y93" i="29"/>
  <c r="AD95" i="28" s="1"/>
  <c r="AH65" i="28"/>
  <c r="AC93" i="29"/>
  <c r="AH95" i="28" s="1"/>
  <c r="AL65" i="28"/>
  <c r="AG93" i="29"/>
  <c r="AL95" i="28" s="1"/>
  <c r="AP65" i="28"/>
  <c r="AK93" i="29"/>
  <c r="AP95" i="28" s="1"/>
  <c r="AT65" i="28"/>
  <c r="AO93" i="29"/>
  <c r="AT95" i="28" s="1"/>
  <c r="AX65" i="28"/>
  <c r="AS93" i="29"/>
  <c r="AX95" i="28" s="1"/>
  <c r="BB65" i="28"/>
  <c r="AW93" i="29"/>
  <c r="BB95" i="28" s="1"/>
  <c r="J98" i="28"/>
  <c r="O98" i="28"/>
  <c r="U98" i="28"/>
  <c r="Z98" i="28"/>
  <c r="AE98" i="28"/>
  <c r="AK98" i="28"/>
  <c r="AP98" i="28"/>
  <c r="AU98" i="28"/>
  <c r="BA98" i="28"/>
  <c r="K98" i="28"/>
  <c r="Q98" i="28"/>
  <c r="V98" i="28"/>
  <c r="AA98" i="28"/>
  <c r="AG98" i="28"/>
  <c r="AL98" i="28"/>
  <c r="AQ98" i="28"/>
  <c r="AW98" i="28"/>
  <c r="BB98" i="28"/>
  <c r="M98" i="28"/>
  <c r="R98" i="28"/>
  <c r="W98" i="28"/>
  <c r="AC98" i="28"/>
  <c r="AH98" i="28"/>
  <c r="AM98" i="28"/>
  <c r="AS98" i="28"/>
  <c r="AX98" i="28"/>
  <c r="BC98" i="28"/>
  <c r="N98" i="28"/>
  <c r="S98" i="28"/>
  <c r="Y98" i="28"/>
  <c r="AD98" i="28"/>
  <c r="AI98" i="28"/>
  <c r="AO98" i="28"/>
  <c r="AT98" i="28"/>
  <c r="AY98" i="28"/>
  <c r="BE98" i="28"/>
  <c r="K95" i="28"/>
  <c r="L95" i="28"/>
  <c r="AD39" i="25"/>
  <c r="N55" i="28"/>
  <c r="U55" i="28"/>
  <c r="AB55" i="28"/>
  <c r="AJ55" i="28"/>
  <c r="AR55" i="28"/>
  <c r="BB55" i="28"/>
  <c r="P55" i="28"/>
  <c r="V55" i="28"/>
  <c r="AD55" i="28"/>
  <c r="AK55" i="28"/>
  <c r="AT55" i="28"/>
  <c r="BE55" i="28"/>
  <c r="J55" i="28"/>
  <c r="Q55" i="28"/>
  <c r="Y55" i="28"/>
  <c r="AF55" i="28"/>
  <c r="AL55" i="28"/>
  <c r="AW55" i="28"/>
  <c r="L55" i="28"/>
  <c r="T55" i="28"/>
  <c r="Z55" i="28"/>
  <c r="AG55" i="28"/>
  <c r="AO55" i="28"/>
  <c r="AZ55" i="28"/>
  <c r="I36" i="23"/>
  <c r="AB36" i="23" s="1"/>
  <c r="B38" i="20"/>
  <c r="L53" i="28"/>
  <c r="W53" i="28"/>
  <c r="AH53" i="28"/>
  <c r="AR53" i="28"/>
  <c r="BC53" i="28"/>
  <c r="O53" i="28"/>
  <c r="Z53" i="28"/>
  <c r="AJ53" i="28"/>
  <c r="AU53" i="28"/>
  <c r="R53" i="28"/>
  <c r="AB53" i="28"/>
  <c r="AM53" i="28"/>
  <c r="AX53" i="28"/>
  <c r="J53" i="28"/>
  <c r="T53" i="28"/>
  <c r="AE53" i="28"/>
  <c r="AP53" i="28"/>
  <c r="K56" i="28"/>
  <c r="I34" i="23"/>
  <c r="AB34" i="23" s="1"/>
  <c r="I30" i="23"/>
  <c r="I32" i="23"/>
  <c r="AB32" i="23" s="1"/>
  <c r="I28" i="23"/>
  <c r="Z26" i="25"/>
  <c r="Z96" i="25" s="1"/>
  <c r="D261" i="28"/>
  <c r="D262" i="28" s="1"/>
  <c r="I26" i="23"/>
  <c r="AB26" i="23" s="1"/>
  <c r="S63" i="25"/>
  <c r="S64" i="25" s="1"/>
  <c r="S65" i="25" s="1"/>
  <c r="K8" i="20"/>
  <c r="F7" i="9" s="1"/>
  <c r="E7" i="9"/>
  <c r="D222" i="28"/>
  <c r="D83" i="29"/>
  <c r="M56" i="28"/>
  <c r="N56" i="28"/>
  <c r="I22" i="23"/>
  <c r="H23" i="23"/>
  <c r="K144" i="29"/>
  <c r="O144" i="29"/>
  <c r="S144" i="29"/>
  <c r="W144" i="29"/>
  <c r="AA144" i="29"/>
  <c r="AE144" i="29"/>
  <c r="AI144" i="29"/>
  <c r="AM144" i="29"/>
  <c r="AQ144" i="29"/>
  <c r="E78" i="28"/>
  <c r="D75" i="29"/>
  <c r="J52" i="28"/>
  <c r="O52" i="28"/>
  <c r="U52" i="28"/>
  <c r="Z52" i="28"/>
  <c r="AE52" i="28"/>
  <c r="AK52" i="28"/>
  <c r="AP52" i="28"/>
  <c r="AU52" i="28"/>
  <c r="BA52" i="28"/>
  <c r="K52" i="28"/>
  <c r="Q52" i="28"/>
  <c r="V52" i="28"/>
  <c r="AA52" i="28"/>
  <c r="AG52" i="28"/>
  <c r="AL52" i="28"/>
  <c r="AQ52" i="28"/>
  <c r="AW52" i="28"/>
  <c r="BB52" i="28"/>
  <c r="M52" i="28"/>
  <c r="R52" i="28"/>
  <c r="W52" i="28"/>
  <c r="AC52" i="28"/>
  <c r="AH52" i="28"/>
  <c r="AM52" i="28"/>
  <c r="AS52" i="28"/>
  <c r="AX52" i="28"/>
  <c r="BC52" i="28"/>
  <c r="N52" i="28"/>
  <c r="S52" i="28"/>
  <c r="Y52" i="28"/>
  <c r="AD52" i="28"/>
  <c r="AI52" i="28"/>
  <c r="AO52" i="28"/>
  <c r="AT52" i="28"/>
  <c r="AY52" i="28"/>
  <c r="BE52" i="28"/>
  <c r="M47" i="28"/>
  <c r="H19" i="23"/>
  <c r="H17" i="23"/>
  <c r="I16" i="23"/>
  <c r="C10" i="15"/>
  <c r="E17" i="15" s="1"/>
  <c r="I24" i="23"/>
  <c r="AB24" i="23" s="1"/>
  <c r="I20" i="23"/>
  <c r="AB20" i="23" s="1"/>
  <c r="C15" i="25"/>
  <c r="J64" i="25"/>
  <c r="E64" i="25" s="1"/>
  <c r="C11" i="25"/>
  <c r="AC56" i="28"/>
  <c r="AK66" i="28"/>
  <c r="M64" i="29"/>
  <c r="R67" i="28" s="1"/>
  <c r="AZ84" i="29"/>
  <c r="BE94" i="28" s="1"/>
  <c r="BA66" i="28"/>
  <c r="AC64" i="29"/>
  <c r="AH67" i="28" s="1"/>
  <c r="V118" i="29"/>
  <c r="AS64" i="29"/>
  <c r="AX67" i="28" s="1"/>
  <c r="T84" i="29"/>
  <c r="Y94" i="28" s="1"/>
  <c r="AL118" i="29"/>
  <c r="D58" i="29"/>
  <c r="U66" i="28"/>
  <c r="AJ84" i="29"/>
  <c r="AO94" i="28" s="1"/>
  <c r="AX118" i="29"/>
  <c r="S44" i="29"/>
  <c r="X48" i="28" s="1"/>
  <c r="X65" i="28"/>
  <c r="D42" i="29"/>
  <c r="W44" i="29"/>
  <c r="AB48" i="28" s="1"/>
  <c r="AM44" i="29"/>
  <c r="AR48" i="28" s="1"/>
  <c r="AG56" i="28"/>
  <c r="AB65" i="28"/>
  <c r="AR65" i="28"/>
  <c r="Y66" i="28"/>
  <c r="AO66" i="28"/>
  <c r="BE66" i="28"/>
  <c r="Q64" i="29"/>
  <c r="V67" i="28" s="1"/>
  <c r="AG64" i="29"/>
  <c r="AL67" i="28" s="1"/>
  <c r="AW64" i="29"/>
  <c r="BB67" i="28" s="1"/>
  <c r="X84" i="29"/>
  <c r="AC94" i="28" s="1"/>
  <c r="AN84" i="29"/>
  <c r="AS94" i="28" s="1"/>
  <c r="J118" i="29"/>
  <c r="Z118" i="29"/>
  <c r="AP118" i="29"/>
  <c r="BD65" i="28"/>
  <c r="D41" i="29"/>
  <c r="K44" i="29"/>
  <c r="P48" i="28" s="1"/>
  <c r="AA44" i="29"/>
  <c r="AF48" i="28" s="1"/>
  <c r="AQ44" i="29"/>
  <c r="AV48" i="28" s="1"/>
  <c r="BA56" i="28"/>
  <c r="P65" i="28"/>
  <c r="AF65" i="28"/>
  <c r="AV65" i="28"/>
  <c r="AC66" i="28"/>
  <c r="AS66" i="28"/>
  <c r="U64" i="29"/>
  <c r="Z67" i="28" s="1"/>
  <c r="AK64" i="29"/>
  <c r="AP67" i="28" s="1"/>
  <c r="L84" i="29"/>
  <c r="Q94" i="28" s="1"/>
  <c r="AB84" i="29"/>
  <c r="AG94" i="28" s="1"/>
  <c r="AR84" i="29"/>
  <c r="AW94" i="28" s="1"/>
  <c r="D88" i="29"/>
  <c r="N118" i="29"/>
  <c r="AD118" i="29"/>
  <c r="AT118" i="29"/>
  <c r="I124" i="29"/>
  <c r="I125" i="29" s="1"/>
  <c r="AY44" i="29"/>
  <c r="BD48" i="28" s="1"/>
  <c r="AN65" i="28"/>
  <c r="I9" i="24"/>
  <c r="J27" i="25" s="1"/>
  <c r="D6" i="20"/>
  <c r="F35" i="29" s="1"/>
  <c r="O44" i="29"/>
  <c r="T48" i="28" s="1"/>
  <c r="AU44" i="29"/>
  <c r="AZ48" i="28" s="1"/>
  <c r="BE56" i="28"/>
  <c r="T65" i="28"/>
  <c r="AJ65" i="28"/>
  <c r="Q66" i="28"/>
  <c r="AG66" i="28"/>
  <c r="AW66" i="28"/>
  <c r="Y64" i="29"/>
  <c r="AD67" i="28" s="1"/>
  <c r="AO64" i="29"/>
  <c r="AT67" i="28" s="1"/>
  <c r="P84" i="29"/>
  <c r="U94" i="28" s="1"/>
  <c r="AF84" i="29"/>
  <c r="AK94" i="28" s="1"/>
  <c r="AV84" i="29"/>
  <c r="BA94" i="28" s="1"/>
  <c r="R118" i="29"/>
  <c r="AH118" i="29"/>
  <c r="T65" i="25"/>
  <c r="V144" i="29"/>
  <c r="AL144" i="29"/>
  <c r="R74" i="29"/>
  <c r="AH74" i="29"/>
  <c r="AP74" i="29"/>
  <c r="I137" i="29"/>
  <c r="I118" i="29"/>
  <c r="I144" i="29"/>
  <c r="M137" i="29"/>
  <c r="M118" i="29"/>
  <c r="Q137" i="29"/>
  <c r="Q118" i="29"/>
  <c r="U137" i="29"/>
  <c r="U118" i="29"/>
  <c r="Y137" i="29"/>
  <c r="Y118" i="29"/>
  <c r="AC137" i="29"/>
  <c r="AC118" i="29"/>
  <c r="AG137" i="29"/>
  <c r="AG118" i="29"/>
  <c r="AK137" i="29"/>
  <c r="AK118" i="29"/>
  <c r="AO137" i="29"/>
  <c r="AO118" i="29"/>
  <c r="AS137" i="29"/>
  <c r="AS118" i="29"/>
  <c r="AW137" i="29"/>
  <c r="AW118" i="29"/>
  <c r="N144" i="29"/>
  <c r="Z144" i="29"/>
  <c r="AT144" i="29"/>
  <c r="J74" i="29"/>
  <c r="N74" i="29"/>
  <c r="V74" i="29"/>
  <c r="AD74" i="29"/>
  <c r="AL74" i="29"/>
  <c r="AX74" i="29"/>
  <c r="AU144" i="29"/>
  <c r="AY144" i="29"/>
  <c r="L44" i="29"/>
  <c r="Q48" i="28" s="1"/>
  <c r="P44" i="29"/>
  <c r="U48" i="28" s="1"/>
  <c r="T44" i="29"/>
  <c r="Y48" i="28" s="1"/>
  <c r="X44" i="29"/>
  <c r="AC48" i="28" s="1"/>
  <c r="AB44" i="29"/>
  <c r="AG48" i="28" s="1"/>
  <c r="AO48" i="28"/>
  <c r="AN44" i="29"/>
  <c r="AS48" i="28" s="1"/>
  <c r="AR44" i="29"/>
  <c r="AW48" i="28" s="1"/>
  <c r="AV44" i="29"/>
  <c r="BA48" i="28" s="1"/>
  <c r="AZ44" i="29"/>
  <c r="BE48" i="28" s="1"/>
  <c r="V56" i="28"/>
  <c r="Z56" i="28"/>
  <c r="AD56" i="28"/>
  <c r="AT56" i="28"/>
  <c r="BB56" i="28"/>
  <c r="U65" i="28"/>
  <c r="Y65" i="28"/>
  <c r="AG65" i="28"/>
  <c r="AK65" i="28"/>
  <c r="AO65" i="28"/>
  <c r="AS65" i="28"/>
  <c r="AW65" i="28"/>
  <c r="BE65" i="28"/>
  <c r="R66" i="28"/>
  <c r="V66" i="28"/>
  <c r="Z66" i="28"/>
  <c r="AD66" i="28"/>
  <c r="AH66" i="28"/>
  <c r="AL66" i="28"/>
  <c r="AP66" i="28"/>
  <c r="AT66" i="28"/>
  <c r="AX66" i="28"/>
  <c r="BB66" i="28"/>
  <c r="J64" i="29"/>
  <c r="N64" i="29"/>
  <c r="S67" i="28" s="1"/>
  <c r="R64" i="29"/>
  <c r="W67" i="28" s="1"/>
  <c r="V64" i="29"/>
  <c r="AA67" i="28" s="1"/>
  <c r="Z64" i="29"/>
  <c r="AE67" i="28" s="1"/>
  <c r="AD64" i="29"/>
  <c r="AI67" i="28" s="1"/>
  <c r="AH64" i="29"/>
  <c r="AM67" i="28" s="1"/>
  <c r="AL64" i="29"/>
  <c r="AQ67" i="28" s="1"/>
  <c r="AP64" i="29"/>
  <c r="AU67" i="28" s="1"/>
  <c r="AT64" i="29"/>
  <c r="AY67" i="28" s="1"/>
  <c r="AX64" i="29"/>
  <c r="BC67" i="28" s="1"/>
  <c r="O74" i="29"/>
  <c r="S74" i="29"/>
  <c r="W74" i="29"/>
  <c r="AA74" i="29"/>
  <c r="AE74" i="29"/>
  <c r="AI74" i="29"/>
  <c r="AM74" i="29"/>
  <c r="AQ74" i="29"/>
  <c r="AU74" i="29"/>
  <c r="AY74" i="29"/>
  <c r="M84" i="29"/>
  <c r="R94" i="28" s="1"/>
  <c r="Q84" i="29"/>
  <c r="V94" i="28" s="1"/>
  <c r="U84" i="29"/>
  <c r="Z94" i="28" s="1"/>
  <c r="Y84" i="29"/>
  <c r="AD94" i="28" s="1"/>
  <c r="AC84" i="29"/>
  <c r="AH94" i="28" s="1"/>
  <c r="AG84" i="29"/>
  <c r="AL94" i="28" s="1"/>
  <c r="AK84" i="29"/>
  <c r="AP94" i="28" s="1"/>
  <c r="AO84" i="29"/>
  <c r="AT94" i="28" s="1"/>
  <c r="AS84" i="29"/>
  <c r="AX94" i="28" s="1"/>
  <c r="AW84" i="29"/>
  <c r="BB94" i="28" s="1"/>
  <c r="D89" i="29"/>
  <c r="J144" i="29"/>
  <c r="AH144" i="29"/>
  <c r="AX144" i="29"/>
  <c r="BB157" i="28"/>
  <c r="BB104" i="28" s="1"/>
  <c r="AV157" i="28"/>
  <c r="AV104" i="28" s="1"/>
  <c r="AP157" i="28"/>
  <c r="AP104" i="28" s="1"/>
  <c r="AJ157" i="28"/>
  <c r="AJ104" i="28" s="1"/>
  <c r="AD157" i="28"/>
  <c r="AD104" i="28" s="1"/>
  <c r="X157" i="28"/>
  <c r="X104" i="28" s="1"/>
  <c r="R157" i="28"/>
  <c r="R104" i="28" s="1"/>
  <c r="L157" i="28"/>
  <c r="L104" i="28" s="1"/>
  <c r="BB156" i="28"/>
  <c r="BB102" i="28" s="1"/>
  <c r="AV156" i="28"/>
  <c r="AV102" i="28" s="1"/>
  <c r="AP156" i="28"/>
  <c r="AP102" i="28" s="1"/>
  <c r="AJ156" i="28"/>
  <c r="AJ102" i="28" s="1"/>
  <c r="AD156" i="28"/>
  <c r="AD102" i="28" s="1"/>
  <c r="X156" i="28"/>
  <c r="X102" i="28" s="1"/>
  <c r="R156" i="28"/>
  <c r="R102" i="28" s="1"/>
  <c r="L156" i="28"/>
  <c r="L102" i="28" s="1"/>
  <c r="BB155" i="28"/>
  <c r="BB100" i="28" s="1"/>
  <c r="AV155" i="28"/>
  <c r="AV100" i="28" s="1"/>
  <c r="AP155" i="28"/>
  <c r="AP100" i="28" s="1"/>
  <c r="AJ155" i="28"/>
  <c r="AJ100" i="28" s="1"/>
  <c r="AD155" i="28"/>
  <c r="AD100" i="28" s="1"/>
  <c r="X155" i="28"/>
  <c r="X100" i="28" s="1"/>
  <c r="R155" i="28"/>
  <c r="R100" i="28" s="1"/>
  <c r="L155" i="28"/>
  <c r="L100" i="28" s="1"/>
  <c r="AZ157" i="28"/>
  <c r="AZ104" i="28" s="1"/>
  <c r="AT157" i="28"/>
  <c r="AT104" i="28" s="1"/>
  <c r="AN157" i="28"/>
  <c r="AN104" i="28" s="1"/>
  <c r="AH157" i="28"/>
  <c r="AH104" i="28" s="1"/>
  <c r="AB157" i="28"/>
  <c r="AB104" i="28" s="1"/>
  <c r="V157" i="28"/>
  <c r="V104" i="28" s="1"/>
  <c r="P157" i="28"/>
  <c r="P104" i="28" s="1"/>
  <c r="AZ156" i="28"/>
  <c r="AZ102" i="28" s="1"/>
  <c r="AT156" i="28"/>
  <c r="AT102" i="28" s="1"/>
  <c r="AN156" i="28"/>
  <c r="AN102" i="28" s="1"/>
  <c r="AH156" i="28"/>
  <c r="AH102" i="28" s="1"/>
  <c r="AB156" i="28"/>
  <c r="AB102" i="28" s="1"/>
  <c r="V156" i="28"/>
  <c r="V102" i="28" s="1"/>
  <c r="P156" i="28"/>
  <c r="P102" i="28" s="1"/>
  <c r="AZ155" i="28"/>
  <c r="AZ100" i="28" s="1"/>
  <c r="AT155" i="28"/>
  <c r="AT100" i="28" s="1"/>
  <c r="AN155" i="28"/>
  <c r="AN100" i="28" s="1"/>
  <c r="AH155" i="28"/>
  <c r="AH100" i="28" s="1"/>
  <c r="AB155" i="28"/>
  <c r="AB100" i="28" s="1"/>
  <c r="V155" i="28"/>
  <c r="V100" i="28" s="1"/>
  <c r="P155" i="28"/>
  <c r="P100" i="28" s="1"/>
  <c r="L144" i="29"/>
  <c r="X144" i="29"/>
  <c r="AV144" i="29"/>
  <c r="D43" i="29"/>
  <c r="M44" i="29"/>
  <c r="R48" i="28" s="1"/>
  <c r="Q44" i="29"/>
  <c r="V48" i="28" s="1"/>
  <c r="U44" i="29"/>
  <c r="Z48" i="28" s="1"/>
  <c r="Y44" i="29"/>
  <c r="AD48" i="28" s="1"/>
  <c r="AC44" i="29"/>
  <c r="AH48" i="28" s="1"/>
  <c r="AK44" i="29"/>
  <c r="AP48" i="28" s="1"/>
  <c r="AO44" i="29"/>
  <c r="AT48" i="28" s="1"/>
  <c r="AS44" i="29"/>
  <c r="AX48" i="28" s="1"/>
  <c r="AW44" i="29"/>
  <c r="BB48" i="28" s="1"/>
  <c r="AA56" i="28"/>
  <c r="AE56" i="28"/>
  <c r="AI56" i="28"/>
  <c r="AY56" i="28"/>
  <c r="BC56" i="28"/>
  <c r="O66" i="28"/>
  <c r="S66" i="28"/>
  <c r="W66" i="28"/>
  <c r="AA66" i="28"/>
  <c r="AE66" i="28"/>
  <c r="AI66" i="28"/>
  <c r="AM66" i="28"/>
  <c r="AQ66" i="28"/>
  <c r="AU66" i="28"/>
  <c r="AY66" i="28"/>
  <c r="BC66" i="28"/>
  <c r="K64" i="29"/>
  <c r="P67" i="28" s="1"/>
  <c r="O64" i="29"/>
  <c r="T67" i="28" s="1"/>
  <c r="S64" i="29"/>
  <c r="X67" i="28" s="1"/>
  <c r="W64" i="29"/>
  <c r="AB67" i="28" s="1"/>
  <c r="AA64" i="29"/>
  <c r="AF67" i="28" s="1"/>
  <c r="AE64" i="29"/>
  <c r="AJ67" i="28" s="1"/>
  <c r="AI64" i="29"/>
  <c r="AN67" i="28" s="1"/>
  <c r="AM64" i="29"/>
  <c r="AR67" i="28" s="1"/>
  <c r="AQ64" i="29"/>
  <c r="AV67" i="28" s="1"/>
  <c r="AU64" i="29"/>
  <c r="AZ67" i="28" s="1"/>
  <c r="AY64" i="29"/>
  <c r="BD67" i="28" s="1"/>
  <c r="L74" i="29"/>
  <c r="X74" i="29"/>
  <c r="AV74" i="29"/>
  <c r="J84" i="29"/>
  <c r="O94" i="28" s="1"/>
  <c r="N84" i="29"/>
  <c r="S94" i="28" s="1"/>
  <c r="V84" i="29"/>
  <c r="AA94" i="28" s="1"/>
  <c r="Z84" i="29"/>
  <c r="AE94" i="28" s="1"/>
  <c r="AH84" i="29"/>
  <c r="AM94" i="28" s="1"/>
  <c r="AL84" i="29"/>
  <c r="AQ94" i="28" s="1"/>
  <c r="AT84" i="29"/>
  <c r="AY94" i="28" s="1"/>
  <c r="AX84" i="29"/>
  <c r="BC94" i="28" s="1"/>
  <c r="K137" i="29"/>
  <c r="K118" i="29"/>
  <c r="O137" i="29"/>
  <c r="O118" i="29"/>
  <c r="S137" i="29"/>
  <c r="S118" i="29"/>
  <c r="W137" i="29"/>
  <c r="W118" i="29"/>
  <c r="AA137" i="29"/>
  <c r="AA118" i="29"/>
  <c r="AE137" i="29"/>
  <c r="AE118" i="29"/>
  <c r="AI137" i="29"/>
  <c r="AI118" i="29"/>
  <c r="AM137" i="29"/>
  <c r="AM118" i="29"/>
  <c r="AQ137" i="29"/>
  <c r="AQ118" i="29"/>
  <c r="AU137" i="29"/>
  <c r="AU118" i="29"/>
  <c r="AY137" i="29"/>
  <c r="AY118" i="29"/>
  <c r="R144" i="29"/>
  <c r="AD144" i="29"/>
  <c r="AP144" i="29"/>
  <c r="M13" i="25"/>
  <c r="N13" i="25" s="1"/>
  <c r="BV2" i="28"/>
  <c r="BV3" i="28" s="1"/>
  <c r="BW2" i="28" s="1"/>
  <c r="BW3" i="28" s="1"/>
  <c r="BX2" i="28" s="1"/>
  <c r="BX3" i="28" s="1"/>
  <c r="P144" i="29"/>
  <c r="T144" i="29"/>
  <c r="AB144" i="29"/>
  <c r="AF144" i="29"/>
  <c r="AJ144" i="29"/>
  <c r="AN144" i="29"/>
  <c r="AR144" i="29"/>
  <c r="AZ144" i="29"/>
  <c r="P10" i="24"/>
  <c r="R10" i="24" s="1"/>
  <c r="M144" i="29"/>
  <c r="Q144" i="29"/>
  <c r="U144" i="29"/>
  <c r="Y144" i="29"/>
  <c r="AC144" i="29"/>
  <c r="AG144" i="29"/>
  <c r="AK144" i="29"/>
  <c r="AO144" i="29"/>
  <c r="AS144" i="29"/>
  <c r="AW144" i="29"/>
  <c r="J44" i="29"/>
  <c r="N44" i="29"/>
  <c r="S48" i="28" s="1"/>
  <c r="R44" i="29"/>
  <c r="W48" i="28" s="1"/>
  <c r="V44" i="29"/>
  <c r="AA48" i="28" s="1"/>
  <c r="Z44" i="29"/>
  <c r="AE48" i="28" s="1"/>
  <c r="AL44" i="29"/>
  <c r="AQ48" i="28" s="1"/>
  <c r="AP44" i="29"/>
  <c r="AU48" i="28" s="1"/>
  <c r="AT44" i="29"/>
  <c r="AY48" i="28" s="1"/>
  <c r="AX44" i="29"/>
  <c r="BC48" i="28" s="1"/>
  <c r="X56" i="28"/>
  <c r="AB56" i="28"/>
  <c r="AF56" i="28"/>
  <c r="AV56" i="28"/>
  <c r="AZ56" i="28"/>
  <c r="BD56" i="28"/>
  <c r="O65" i="28"/>
  <c r="S65" i="28"/>
  <c r="W65" i="28"/>
  <c r="AA65" i="28"/>
  <c r="AE65" i="28"/>
  <c r="AI65" i="28"/>
  <c r="AM65" i="28"/>
  <c r="AQ65" i="28"/>
  <c r="AU65" i="28"/>
  <c r="AY65" i="28"/>
  <c r="BC65" i="28"/>
  <c r="P66" i="28"/>
  <c r="T66" i="28"/>
  <c r="X66" i="28"/>
  <c r="AB66" i="28"/>
  <c r="AF66" i="28"/>
  <c r="AJ66" i="28"/>
  <c r="AN66" i="28"/>
  <c r="AR66" i="28"/>
  <c r="AV66" i="28"/>
  <c r="AZ66" i="28"/>
  <c r="BD66" i="28"/>
  <c r="L64" i="29"/>
  <c r="Q67" i="28" s="1"/>
  <c r="P64" i="29"/>
  <c r="U67" i="28" s="1"/>
  <c r="T64" i="29"/>
  <c r="Y67" i="28" s="1"/>
  <c r="X64" i="29"/>
  <c r="AC67" i="28" s="1"/>
  <c r="AB64" i="29"/>
  <c r="AG67" i="28" s="1"/>
  <c r="AF64" i="29"/>
  <c r="AK67" i="28" s="1"/>
  <c r="AJ64" i="29"/>
  <c r="AO67" i="28" s="1"/>
  <c r="AN64" i="29"/>
  <c r="AS67" i="28" s="1"/>
  <c r="AR64" i="29"/>
  <c r="AW67" i="28" s="1"/>
  <c r="AV64" i="29"/>
  <c r="BA67" i="28" s="1"/>
  <c r="AZ64" i="29"/>
  <c r="BE67" i="28" s="1"/>
  <c r="M74" i="29"/>
  <c r="Q74" i="29"/>
  <c r="U74" i="29"/>
  <c r="Y74" i="29"/>
  <c r="AC74" i="29"/>
  <c r="AG74" i="29"/>
  <c r="AK74" i="29"/>
  <c r="AO74" i="29"/>
  <c r="AS74" i="29"/>
  <c r="AW74" i="29"/>
  <c r="K84" i="29"/>
  <c r="P94" i="28" s="1"/>
  <c r="O84" i="29"/>
  <c r="T94" i="28" s="1"/>
  <c r="S84" i="29"/>
  <c r="X94" i="28" s="1"/>
  <c r="W84" i="29"/>
  <c r="AB94" i="28" s="1"/>
  <c r="AA84" i="29"/>
  <c r="AF94" i="28" s="1"/>
  <c r="AE84" i="29"/>
  <c r="AJ94" i="28" s="1"/>
  <c r="AI84" i="29"/>
  <c r="AN94" i="28" s="1"/>
  <c r="AM84" i="29"/>
  <c r="AR94" i="28" s="1"/>
  <c r="AQ84" i="29"/>
  <c r="AV94" i="28" s="1"/>
  <c r="AU84" i="29"/>
  <c r="AZ94" i="28" s="1"/>
  <c r="AY84" i="29"/>
  <c r="BD94" i="28" s="1"/>
  <c r="L137" i="29"/>
  <c r="L118" i="29"/>
  <c r="P137" i="29"/>
  <c r="P118" i="29"/>
  <c r="T137" i="29"/>
  <c r="T118" i="29"/>
  <c r="X137" i="29"/>
  <c r="X118" i="29"/>
  <c r="AB137" i="29"/>
  <c r="AB118" i="29"/>
  <c r="AF137" i="29"/>
  <c r="AF118" i="29"/>
  <c r="AJ137" i="29"/>
  <c r="AJ118" i="29"/>
  <c r="AN137" i="29"/>
  <c r="AN118" i="29"/>
  <c r="AR137" i="29"/>
  <c r="AR118" i="29"/>
  <c r="AV137" i="29"/>
  <c r="AV118" i="29"/>
  <c r="AZ137" i="29"/>
  <c r="AZ118" i="29"/>
  <c r="L8" i="25"/>
  <c r="C6" i="25"/>
  <c r="T64" i="25"/>
  <c r="U65" i="25"/>
  <c r="T63" i="25"/>
  <c r="U64" i="25"/>
  <c r="N186" i="28"/>
  <c r="N184" i="28" s="1"/>
  <c r="M186" i="28"/>
  <c r="M184" i="28" s="1"/>
  <c r="M185" i="28" s="1"/>
  <c r="D104" i="19"/>
  <c r="E104" i="19" s="1"/>
  <c r="G104" i="19" s="1"/>
  <c r="D100" i="19"/>
  <c r="E100" i="19" s="1"/>
  <c r="G100" i="19" s="1"/>
  <c r="D96" i="19"/>
  <c r="E96" i="19" s="1"/>
  <c r="G96" i="19" s="1"/>
  <c r="D92" i="19"/>
  <c r="E92" i="19" s="1"/>
  <c r="G92" i="19" s="1"/>
  <c r="D88" i="19"/>
  <c r="E88" i="19" s="1"/>
  <c r="G88" i="19" s="1"/>
  <c r="D84" i="19"/>
  <c r="E84" i="19" s="1"/>
  <c r="G84" i="19" s="1"/>
  <c r="D80" i="19"/>
  <c r="E80" i="19" s="1"/>
  <c r="G80" i="19" s="1"/>
  <c r="D76" i="19"/>
  <c r="E76" i="19" s="1"/>
  <c r="G76" i="19" s="1"/>
  <c r="D72" i="19"/>
  <c r="E72" i="19" s="1"/>
  <c r="G72" i="19" s="1"/>
  <c r="D68" i="19"/>
  <c r="E68" i="19" s="1"/>
  <c r="G68" i="19" s="1"/>
  <c r="D64" i="19"/>
  <c r="E64" i="19" s="1"/>
  <c r="G64" i="19" s="1"/>
  <c r="D60" i="19"/>
  <c r="E60" i="19" s="1"/>
  <c r="G60" i="19" s="1"/>
  <c r="D56" i="19"/>
  <c r="E56" i="19" s="1"/>
  <c r="G56" i="19" s="1"/>
  <c r="D52" i="19"/>
  <c r="E52" i="19" s="1"/>
  <c r="G52" i="19" s="1"/>
  <c r="D105" i="19"/>
  <c r="E105" i="19" s="1"/>
  <c r="G105" i="19" s="1"/>
  <c r="D101" i="19"/>
  <c r="E101" i="19" s="1"/>
  <c r="G101" i="19" s="1"/>
  <c r="D97" i="19"/>
  <c r="E97" i="19" s="1"/>
  <c r="G97" i="19" s="1"/>
  <c r="D102" i="19"/>
  <c r="E102" i="19" s="1"/>
  <c r="G102" i="19" s="1"/>
  <c r="D98" i="19"/>
  <c r="E98" i="19" s="1"/>
  <c r="G98" i="19" s="1"/>
  <c r="D94" i="19"/>
  <c r="E94" i="19" s="1"/>
  <c r="G94" i="19" s="1"/>
  <c r="D90" i="19"/>
  <c r="E90" i="19" s="1"/>
  <c r="G90" i="19" s="1"/>
  <c r="D86" i="19"/>
  <c r="E86" i="19" s="1"/>
  <c r="G86" i="19" s="1"/>
  <c r="D82" i="19"/>
  <c r="E82" i="19" s="1"/>
  <c r="G82" i="19" s="1"/>
  <c r="D78" i="19"/>
  <c r="E78" i="19" s="1"/>
  <c r="G78" i="19" s="1"/>
  <c r="D74" i="19"/>
  <c r="E74" i="19" s="1"/>
  <c r="G74" i="19" s="1"/>
  <c r="D70" i="19"/>
  <c r="E70" i="19" s="1"/>
  <c r="G70" i="19" s="1"/>
  <c r="D66" i="19"/>
  <c r="E66" i="19" s="1"/>
  <c r="G66" i="19" s="1"/>
  <c r="D62" i="19"/>
  <c r="E62" i="19" s="1"/>
  <c r="G62" i="19" s="1"/>
  <c r="D58" i="19"/>
  <c r="E58" i="19" s="1"/>
  <c r="G58" i="19" s="1"/>
  <c r="D54" i="19"/>
  <c r="E54" i="19" s="1"/>
  <c r="G54" i="19" s="1"/>
  <c r="D50" i="19"/>
  <c r="E50" i="19" s="1"/>
  <c r="G50" i="19" s="1"/>
  <c r="D99" i="19"/>
  <c r="E99" i="19" s="1"/>
  <c r="G99" i="19" s="1"/>
  <c r="D49" i="19"/>
  <c r="E49" i="19" s="1"/>
  <c r="G49" i="19" s="1"/>
  <c r="D45" i="19"/>
  <c r="E45" i="19" s="1"/>
  <c r="G45" i="19" s="1"/>
  <c r="D41" i="19"/>
  <c r="E41" i="19" s="1"/>
  <c r="G41" i="19" s="1"/>
  <c r="D37" i="19"/>
  <c r="E37" i="19" s="1"/>
  <c r="G37" i="19" s="1"/>
  <c r="D33" i="19"/>
  <c r="E33" i="19" s="1"/>
  <c r="G33" i="19" s="1"/>
  <c r="D29" i="19"/>
  <c r="E29" i="19" s="1"/>
  <c r="G29" i="19" s="1"/>
  <c r="D25" i="19"/>
  <c r="E25" i="19" s="1"/>
  <c r="G25" i="19" s="1"/>
  <c r="D21" i="19"/>
  <c r="E21" i="19" s="1"/>
  <c r="G21" i="19" s="1"/>
  <c r="D17" i="19"/>
  <c r="E17" i="19" s="1"/>
  <c r="G17" i="19" s="1"/>
  <c r="D13" i="19"/>
  <c r="E13" i="19" s="1"/>
  <c r="G13" i="19" s="1"/>
  <c r="D9" i="19"/>
  <c r="E9" i="19" s="1"/>
  <c r="G9" i="19" s="1"/>
  <c r="D7" i="19"/>
  <c r="E7" i="19" s="1"/>
  <c r="G7" i="19" s="1"/>
  <c r="D46" i="19"/>
  <c r="E46" i="19" s="1"/>
  <c r="G46" i="19" s="1"/>
  <c r="D42" i="19"/>
  <c r="E42" i="19" s="1"/>
  <c r="G42" i="19" s="1"/>
  <c r="D38" i="19"/>
  <c r="E38" i="19" s="1"/>
  <c r="G38" i="19" s="1"/>
  <c r="D34" i="19"/>
  <c r="E34" i="19" s="1"/>
  <c r="G34" i="19" s="1"/>
  <c r="D30" i="19"/>
  <c r="E30" i="19" s="1"/>
  <c r="G30" i="19" s="1"/>
  <c r="D26" i="19"/>
  <c r="E26" i="19" s="1"/>
  <c r="G26" i="19" s="1"/>
  <c r="D103" i="19"/>
  <c r="E103" i="19" s="1"/>
  <c r="G103" i="19" s="1"/>
  <c r="D47" i="19"/>
  <c r="E47" i="19" s="1"/>
  <c r="G47" i="19" s="1"/>
  <c r="D43" i="19"/>
  <c r="E43" i="19" s="1"/>
  <c r="G43" i="19" s="1"/>
  <c r="D39" i="19"/>
  <c r="E39" i="19" s="1"/>
  <c r="G39" i="19" s="1"/>
  <c r="D35" i="19"/>
  <c r="E35" i="19" s="1"/>
  <c r="G35" i="19" s="1"/>
  <c r="D31" i="19"/>
  <c r="E31" i="19" s="1"/>
  <c r="G31" i="19" s="1"/>
  <c r="D27" i="19"/>
  <c r="E27" i="19" s="1"/>
  <c r="G27" i="19" s="1"/>
  <c r="D23" i="19"/>
  <c r="E23" i="19" s="1"/>
  <c r="G23" i="19" s="1"/>
  <c r="D19" i="19"/>
  <c r="E19" i="19" s="1"/>
  <c r="G19" i="19" s="1"/>
  <c r="D48" i="19"/>
  <c r="E48" i="19" s="1"/>
  <c r="G48" i="19" s="1"/>
  <c r="D40" i="19"/>
  <c r="E40" i="19" s="1"/>
  <c r="G40" i="19" s="1"/>
  <c r="D32" i="19"/>
  <c r="E32" i="19" s="1"/>
  <c r="G32" i="19" s="1"/>
  <c r="D15" i="19"/>
  <c r="E15" i="19" s="1"/>
  <c r="G15" i="19" s="1"/>
  <c r="D12" i="19"/>
  <c r="E12" i="19" s="1"/>
  <c r="G12" i="19" s="1"/>
  <c r="D95" i="19"/>
  <c r="E95" i="19" s="1"/>
  <c r="G95" i="19" s="1"/>
  <c r="D93" i="19"/>
  <c r="E93" i="19" s="1"/>
  <c r="G93" i="19" s="1"/>
  <c r="D91" i="19"/>
  <c r="E91" i="19" s="1"/>
  <c r="G91" i="19" s="1"/>
  <c r="D89" i="19"/>
  <c r="E89" i="19" s="1"/>
  <c r="G89" i="19" s="1"/>
  <c r="D87" i="19"/>
  <c r="E87" i="19" s="1"/>
  <c r="G87" i="19" s="1"/>
  <c r="D85" i="19"/>
  <c r="E85" i="19" s="1"/>
  <c r="G85" i="19" s="1"/>
  <c r="D83" i="19"/>
  <c r="E83" i="19" s="1"/>
  <c r="G83" i="19" s="1"/>
  <c r="F83" i="19" s="1"/>
  <c r="H83" i="19" s="1"/>
  <c r="I83" i="19" s="1"/>
  <c r="D81" i="19"/>
  <c r="E81" i="19" s="1"/>
  <c r="G81" i="19" s="1"/>
  <c r="D79" i="19"/>
  <c r="E79" i="19" s="1"/>
  <c r="G79" i="19" s="1"/>
  <c r="D77" i="19"/>
  <c r="E77" i="19" s="1"/>
  <c r="G77" i="19" s="1"/>
  <c r="D75" i="19"/>
  <c r="E75" i="19" s="1"/>
  <c r="G75" i="19" s="1"/>
  <c r="D73" i="19"/>
  <c r="E73" i="19" s="1"/>
  <c r="G73" i="19" s="1"/>
  <c r="D71" i="19"/>
  <c r="E71" i="19" s="1"/>
  <c r="G71" i="19" s="1"/>
  <c r="D69" i="19"/>
  <c r="E69" i="19" s="1"/>
  <c r="G69" i="19" s="1"/>
  <c r="D67" i="19"/>
  <c r="E67" i="19" s="1"/>
  <c r="G67" i="19" s="1"/>
  <c r="D65" i="19"/>
  <c r="E65" i="19" s="1"/>
  <c r="G65" i="19" s="1"/>
  <c r="D63" i="19"/>
  <c r="E63" i="19" s="1"/>
  <c r="G63" i="19" s="1"/>
  <c r="D61" i="19"/>
  <c r="E61" i="19" s="1"/>
  <c r="G61" i="19" s="1"/>
  <c r="D59" i="19"/>
  <c r="E59" i="19" s="1"/>
  <c r="G59" i="19" s="1"/>
  <c r="D57" i="19"/>
  <c r="E57" i="19" s="1"/>
  <c r="G57" i="19" s="1"/>
  <c r="D55" i="19"/>
  <c r="E55" i="19" s="1"/>
  <c r="G55" i="19" s="1"/>
  <c r="D53" i="19"/>
  <c r="E53" i="19" s="1"/>
  <c r="G53" i="19" s="1"/>
  <c r="F53" i="19" s="1"/>
  <c r="H53" i="19" s="1"/>
  <c r="I53" i="19" s="1"/>
  <c r="BH6" i="19" s="1"/>
  <c r="D51" i="19"/>
  <c r="E51" i="19" s="1"/>
  <c r="G51" i="19" s="1"/>
  <c r="D24" i="19"/>
  <c r="E24" i="19" s="1"/>
  <c r="G24" i="19" s="1"/>
  <c r="D22" i="19"/>
  <c r="E22" i="19" s="1"/>
  <c r="G22" i="19" s="1"/>
  <c r="D20" i="19"/>
  <c r="E20" i="19" s="1"/>
  <c r="G20" i="19" s="1"/>
  <c r="D18" i="19"/>
  <c r="E18" i="19" s="1"/>
  <c r="G18" i="19" s="1"/>
  <c r="D14" i="19"/>
  <c r="E14" i="19" s="1"/>
  <c r="G14" i="19" s="1"/>
  <c r="D44" i="19"/>
  <c r="E44" i="19" s="1"/>
  <c r="G44" i="19" s="1"/>
  <c r="D36" i="19"/>
  <c r="E36" i="19" s="1"/>
  <c r="G36" i="19" s="1"/>
  <c r="D28" i="19"/>
  <c r="E28" i="19" s="1"/>
  <c r="G28" i="19" s="1"/>
  <c r="D16" i="19"/>
  <c r="E16" i="19" s="1"/>
  <c r="G16" i="19" s="1"/>
  <c r="D11" i="19"/>
  <c r="E11" i="19" s="1"/>
  <c r="G11" i="19" s="1"/>
  <c r="D8" i="19"/>
  <c r="E8" i="19" s="1"/>
  <c r="G8" i="19" s="1"/>
  <c r="D6" i="19"/>
  <c r="E6" i="19" s="1"/>
  <c r="G6" i="19" s="1"/>
  <c r="F6" i="19" s="1"/>
  <c r="H6" i="19" s="1"/>
  <c r="I6" i="19" s="1"/>
  <c r="M6" i="19" s="1"/>
  <c r="D10" i="19"/>
  <c r="E10" i="19" s="1"/>
  <c r="G10" i="19" s="1"/>
  <c r="J46" i="25"/>
  <c r="E92" i="28"/>
  <c r="E63" i="28"/>
  <c r="B104" i="25"/>
  <c r="C14" i="25"/>
  <c r="J65" i="25" s="1"/>
  <c r="C17" i="25"/>
  <c r="C18" i="25"/>
  <c r="AC37" i="25"/>
  <c r="AD37" i="25" s="1"/>
  <c r="AD51" i="25"/>
  <c r="AC59" i="25"/>
  <c r="AD59" i="25" s="1"/>
  <c r="C12" i="25"/>
  <c r="S31" i="25"/>
  <c r="AC38" i="25"/>
  <c r="U31" i="25" s="1"/>
  <c r="AC58" i="25"/>
  <c r="AD58" i="25" s="1"/>
  <c r="E81" i="28"/>
  <c r="AC83" i="25"/>
  <c r="AD83" i="25" s="1"/>
  <c r="B103" i="25"/>
  <c r="M12" i="10"/>
  <c r="M11" i="10" s="1"/>
  <c r="L18" i="10" s="1"/>
  <c r="AD57" i="25"/>
  <c r="E91" i="28"/>
  <c r="BZ91" i="28" s="1"/>
  <c r="AC80" i="25"/>
  <c r="AD80" i="25" s="1"/>
  <c r="L47" i="28"/>
  <c r="P47" i="28"/>
  <c r="T47" i="28"/>
  <c r="X47" i="28"/>
  <c r="AB47" i="28"/>
  <c r="AF47" i="28"/>
  <c r="AJ47" i="28"/>
  <c r="AN47" i="28"/>
  <c r="AR47" i="28"/>
  <c r="AV47" i="28"/>
  <c r="AZ47" i="28"/>
  <c r="BD47" i="28"/>
  <c r="BE53" i="28"/>
  <c r="BA53" i="28"/>
  <c r="AW53" i="28"/>
  <c r="AS53" i="28"/>
  <c r="AO53" i="28"/>
  <c r="AK53" i="28"/>
  <c r="AG53" i="28"/>
  <c r="AC53" i="28"/>
  <c r="Y53" i="28"/>
  <c r="U53" i="28"/>
  <c r="Q53" i="28"/>
  <c r="M53" i="28"/>
  <c r="N53" i="28"/>
  <c r="S53" i="28"/>
  <c r="X53" i="28"/>
  <c r="AD53" i="28"/>
  <c r="AI53" i="28"/>
  <c r="AN53" i="28"/>
  <c r="AT53" i="28"/>
  <c r="AY53" i="28"/>
  <c r="BD53" i="28"/>
  <c r="L54" i="28"/>
  <c r="AP55" i="28"/>
  <c r="AV55" i="28"/>
  <c r="BA55" i="28"/>
  <c r="J54" i="28"/>
  <c r="M54" i="28"/>
  <c r="J47" i="28"/>
  <c r="N47" i="28"/>
  <c r="R47" i="28"/>
  <c r="V47" i="28"/>
  <c r="Z47" i="28"/>
  <c r="AD47" i="28"/>
  <c r="AH47" i="28"/>
  <c r="AL47" i="28"/>
  <c r="AP47" i="28"/>
  <c r="AT47" i="28"/>
  <c r="AX47" i="28"/>
  <c r="BB47" i="28"/>
  <c r="K53" i="28"/>
  <c r="P53" i="28"/>
  <c r="V53" i="28"/>
  <c r="AA53" i="28"/>
  <c r="AF53" i="28"/>
  <c r="AL53" i="28"/>
  <c r="AQ53" i="28"/>
  <c r="AV53" i="28"/>
  <c r="BB53" i="28"/>
  <c r="BC55" i="28"/>
  <c r="AY55" i="28"/>
  <c r="AU55" i="28"/>
  <c r="AQ55" i="28"/>
  <c r="AM55" i="28"/>
  <c r="AI55" i="28"/>
  <c r="AE55" i="28"/>
  <c r="AA55" i="28"/>
  <c r="W55" i="28"/>
  <c r="S55" i="28"/>
  <c r="O55" i="28"/>
  <c r="K55" i="28"/>
  <c r="M55" i="28"/>
  <c r="R55" i="28"/>
  <c r="X55" i="28"/>
  <c r="AC55" i="28"/>
  <c r="AH55" i="28"/>
  <c r="AN55" i="28"/>
  <c r="AS55" i="28"/>
  <c r="AX55" i="28"/>
  <c r="BD55" i="28"/>
  <c r="L52" i="28"/>
  <c r="P52" i="28"/>
  <c r="T52" i="28"/>
  <c r="X52" i="28"/>
  <c r="AB52" i="28"/>
  <c r="AF52" i="28"/>
  <c r="AJ52" i="28"/>
  <c r="AN52" i="28"/>
  <c r="AR52" i="28"/>
  <c r="AV52" i="28"/>
  <c r="AZ52" i="28"/>
  <c r="L56" i="28"/>
  <c r="BE64" i="28"/>
  <c r="BA64" i="28"/>
  <c r="AW64" i="28"/>
  <c r="AS64" i="28"/>
  <c r="AO64" i="28"/>
  <c r="AK64" i="28"/>
  <c r="AG64" i="28"/>
  <c r="AC64" i="28"/>
  <c r="Y64" i="28"/>
  <c r="U64" i="28"/>
  <c r="Q64" i="28"/>
  <c r="M64" i="28"/>
  <c r="BC64" i="28"/>
  <c r="AX64" i="28"/>
  <c r="AR64" i="28"/>
  <c r="AM64" i="28"/>
  <c r="AH64" i="28"/>
  <c r="AB64" i="28"/>
  <c r="W64" i="28"/>
  <c r="R64" i="28"/>
  <c r="L64" i="28"/>
  <c r="BB64" i="28"/>
  <c r="AV64" i="28"/>
  <c r="AQ64" i="28"/>
  <c r="AL64" i="28"/>
  <c r="AF64" i="28"/>
  <c r="AA64" i="28"/>
  <c r="V64" i="28"/>
  <c r="P64" i="28"/>
  <c r="K64" i="28"/>
  <c r="S64" i="28"/>
  <c r="AD64" i="28"/>
  <c r="AN64" i="28"/>
  <c r="AY64" i="28"/>
  <c r="BC59" i="28"/>
  <c r="AY59" i="28"/>
  <c r="AU59" i="28"/>
  <c r="AQ59" i="28"/>
  <c r="AM59" i="28"/>
  <c r="AI59" i="28"/>
  <c r="AE59" i="28"/>
  <c r="AA59" i="28"/>
  <c r="W59" i="28"/>
  <c r="S59" i="28"/>
  <c r="BB59" i="28"/>
  <c r="AX59" i="28"/>
  <c r="AT59" i="28"/>
  <c r="AP59" i="28"/>
  <c r="AL59" i="28"/>
  <c r="AH59" i="28"/>
  <c r="AD59" i="28"/>
  <c r="Z59" i="28"/>
  <c r="V59" i="28"/>
  <c r="R59" i="28"/>
  <c r="L59" i="28"/>
  <c r="P59" i="28"/>
  <c r="X59" i="28"/>
  <c r="AF59" i="28"/>
  <c r="AN59" i="28"/>
  <c r="AV59" i="28"/>
  <c r="BD59" i="28"/>
  <c r="J64" i="28"/>
  <c r="T64" i="28"/>
  <c r="AE64" i="28"/>
  <c r="AP64" i="28"/>
  <c r="AZ64" i="28"/>
  <c r="N65" i="28"/>
  <c r="J65" i="28"/>
  <c r="K65" i="28"/>
  <c r="BC74" i="28"/>
  <c r="AY74" i="28"/>
  <c r="AU74" i="28"/>
  <c r="AQ74" i="28"/>
  <c r="AM74" i="28"/>
  <c r="AI74" i="28"/>
  <c r="AE74" i="28"/>
  <c r="AA74" i="28"/>
  <c r="W74" i="28"/>
  <c r="S74" i="28"/>
  <c r="O74" i="28"/>
  <c r="K74" i="28"/>
  <c r="BB74" i="28"/>
  <c r="AW74" i="28"/>
  <c r="AR74" i="28"/>
  <c r="AL74" i="28"/>
  <c r="AG74" i="28"/>
  <c r="AB74" i="28"/>
  <c r="V74" i="28"/>
  <c r="Q74" i="28"/>
  <c r="L74" i="28"/>
  <c r="BA74" i="28"/>
  <c r="AV74" i="28"/>
  <c r="AP74" i="28"/>
  <c r="AK74" i="28"/>
  <c r="AF74" i="28"/>
  <c r="Z74" i="28"/>
  <c r="U74" i="28"/>
  <c r="P74" i="28"/>
  <c r="J74" i="28"/>
  <c r="R74" i="28"/>
  <c r="AC74" i="28"/>
  <c r="AN74" i="28"/>
  <c r="AX74" i="28"/>
  <c r="K66" i="28"/>
  <c r="M66" i="28"/>
  <c r="BE70" i="28"/>
  <c r="BA70" i="28"/>
  <c r="AW70" i="28"/>
  <c r="AS70" i="28"/>
  <c r="AO70" i="28"/>
  <c r="AK70" i="28"/>
  <c r="AG70" i="28"/>
  <c r="AC70" i="28"/>
  <c r="Y70" i="28"/>
  <c r="U70" i="28"/>
  <c r="Q70" i="28"/>
  <c r="M70" i="28"/>
  <c r="N70" i="28"/>
  <c r="S70" i="28"/>
  <c r="X70" i="28"/>
  <c r="AD70" i="28"/>
  <c r="AI70" i="28"/>
  <c r="AN70" i="28"/>
  <c r="AT70" i="28"/>
  <c r="AY70" i="28"/>
  <c r="BD70" i="28"/>
  <c r="M72" i="28"/>
  <c r="L73" i="28"/>
  <c r="Q73" i="28"/>
  <c r="W73" i="28"/>
  <c r="AB73" i="28"/>
  <c r="AG73" i="28"/>
  <c r="AM73" i="28"/>
  <c r="AR73" i="28"/>
  <c r="AW73" i="28"/>
  <c r="J70" i="28"/>
  <c r="O70" i="28"/>
  <c r="T70" i="28"/>
  <c r="Z70" i="28"/>
  <c r="AE70" i="28"/>
  <c r="AJ70" i="28"/>
  <c r="AP70" i="28"/>
  <c r="AU70" i="28"/>
  <c r="AZ70" i="28"/>
  <c r="J72" i="28"/>
  <c r="BB73" i="28"/>
  <c r="AX73" i="28"/>
  <c r="AT73" i="28"/>
  <c r="AP73" i="28"/>
  <c r="AL73" i="28"/>
  <c r="AH73" i="28"/>
  <c r="AD73" i="28"/>
  <c r="Z73" i="28"/>
  <c r="V73" i="28"/>
  <c r="R73" i="28"/>
  <c r="N73" i="28"/>
  <c r="J73" i="28"/>
  <c r="M73" i="28"/>
  <c r="S73" i="28"/>
  <c r="X73" i="28"/>
  <c r="AC73" i="28"/>
  <c r="AI73" i="28"/>
  <c r="AN73" i="28"/>
  <c r="AS73" i="28"/>
  <c r="AY73" i="28"/>
  <c r="BD73" i="28"/>
  <c r="N95" i="28"/>
  <c r="M95" i="28"/>
  <c r="L67" i="28"/>
  <c r="L98" i="28"/>
  <c r="P98" i="28"/>
  <c r="T98" i="28"/>
  <c r="X98" i="28"/>
  <c r="AB98" i="28"/>
  <c r="AF98" i="28"/>
  <c r="AJ98" i="28"/>
  <c r="AN98" i="28"/>
  <c r="AR98" i="28"/>
  <c r="AV98" i="28"/>
  <c r="AZ98" i="28"/>
  <c r="P8" i="28" l="1"/>
  <c r="O11" i="28"/>
  <c r="O61" i="28"/>
  <c r="BW61" i="28"/>
  <c r="BX61" i="28"/>
  <c r="BV61" i="28"/>
  <c r="O186" i="28"/>
  <c r="O184" i="28" s="1"/>
  <c r="BX78" i="28"/>
  <c r="BQ44" i="29"/>
  <c r="BV48" i="28" s="1"/>
  <c r="BV93" i="28"/>
  <c r="BW93" i="28"/>
  <c r="BX93" i="28"/>
  <c r="BU93" i="28"/>
  <c r="BX77" i="28"/>
  <c r="BZ77" i="28"/>
  <c r="CA77" i="28" s="1"/>
  <c r="F77" i="28" s="1"/>
  <c r="L76" i="28"/>
  <c r="BX76" i="28"/>
  <c r="BW76" i="28"/>
  <c r="O95" i="28"/>
  <c r="BQ93" i="29"/>
  <c r="BV95" i="28" s="1"/>
  <c r="BQ90" i="29"/>
  <c r="BV92" i="28" s="1"/>
  <c r="BQ85" i="29"/>
  <c r="BQ46" i="29"/>
  <c r="BQ52" i="29"/>
  <c r="BV56" i="28" s="1"/>
  <c r="BX4" i="28"/>
  <c r="BX5" i="28"/>
  <c r="BX6" i="28"/>
  <c r="BQ64" i="29"/>
  <c r="BV67" i="28" s="1"/>
  <c r="BQ80" i="29"/>
  <c r="BQ79" i="29"/>
  <c r="BV81" i="28" s="1"/>
  <c r="BQ77" i="29"/>
  <c r="BW92" i="28"/>
  <c r="BX92" i="28"/>
  <c r="BQ78" i="29"/>
  <c r="BX39" i="28"/>
  <c r="BW39" i="28"/>
  <c r="BV39" i="28"/>
  <c r="Q81" i="28"/>
  <c r="AC81" i="28"/>
  <c r="AO81" i="28"/>
  <c r="BA81" i="28"/>
  <c r="BM81" i="28"/>
  <c r="R81" i="28"/>
  <c r="AD81" i="28"/>
  <c r="AP81" i="28"/>
  <c r="BB81" i="28"/>
  <c r="BN81" i="28"/>
  <c r="AN81" i="28"/>
  <c r="S81" i="28"/>
  <c r="AE81" i="28"/>
  <c r="AQ81" i="28"/>
  <c r="BC81" i="28"/>
  <c r="BO81" i="28"/>
  <c r="T81" i="28"/>
  <c r="AF81" i="28"/>
  <c r="AR81" i="28"/>
  <c r="BD81" i="28"/>
  <c r="BP81" i="28"/>
  <c r="P81" i="28"/>
  <c r="U81" i="28"/>
  <c r="AG81" i="28"/>
  <c r="AS81" i="28"/>
  <c r="BE81" i="28"/>
  <c r="BQ81" i="28"/>
  <c r="V81" i="28"/>
  <c r="AH81" i="28"/>
  <c r="AT81" i="28"/>
  <c r="BF81" i="28"/>
  <c r="BR81" i="28"/>
  <c r="K81" i="28"/>
  <c r="W81" i="28"/>
  <c r="AI81" i="28"/>
  <c r="AU81" i="28"/>
  <c r="BG81" i="28"/>
  <c r="BS81" i="28"/>
  <c r="L81" i="28"/>
  <c r="X81" i="28"/>
  <c r="AJ81" i="28"/>
  <c r="AV81" i="28"/>
  <c r="BH81" i="28"/>
  <c r="BT81" i="28"/>
  <c r="M81" i="28"/>
  <c r="Y81" i="28"/>
  <c r="AK81" i="28"/>
  <c r="AW81" i="28"/>
  <c r="BI81" i="28"/>
  <c r="BU81" i="28"/>
  <c r="AB81" i="28"/>
  <c r="BX81" i="28"/>
  <c r="N81" i="28"/>
  <c r="Z81" i="28"/>
  <c r="AL81" i="28"/>
  <c r="AX81" i="28"/>
  <c r="BJ81" i="28"/>
  <c r="BL81" i="28"/>
  <c r="O81" i="28"/>
  <c r="AA81" i="28"/>
  <c r="AM81" i="28"/>
  <c r="AY81" i="28"/>
  <c r="BK81" i="28"/>
  <c r="BW81" i="28"/>
  <c r="AZ81" i="28"/>
  <c r="BV63" i="28"/>
  <c r="BW63" i="28"/>
  <c r="BX63" i="28"/>
  <c r="BR39" i="28"/>
  <c r="BW6" i="28"/>
  <c r="BW4" i="28"/>
  <c r="BW5" i="28"/>
  <c r="M161" i="28"/>
  <c r="M162" i="28" s="1"/>
  <c r="L128" i="28"/>
  <c r="J124" i="29"/>
  <c r="D77" i="29"/>
  <c r="D79" i="29"/>
  <c r="D78" i="29"/>
  <c r="D90" i="29"/>
  <c r="D80" i="29"/>
  <c r="F9" i="23"/>
  <c r="G9" i="23"/>
  <c r="F54" i="15" s="1"/>
  <c r="AA25" i="25"/>
  <c r="AC25" i="25" s="1"/>
  <c r="AD25" i="25" s="1"/>
  <c r="E41" i="28"/>
  <c r="AC41" i="28" s="1"/>
  <c r="G25" i="25"/>
  <c r="E46" i="25"/>
  <c r="AA46" i="25" s="1"/>
  <c r="AB61" i="28"/>
  <c r="AK61" i="28"/>
  <c r="P61" i="28"/>
  <c r="Y61" i="28"/>
  <c r="H15" i="23"/>
  <c r="F8" i="23"/>
  <c r="M14" i="25"/>
  <c r="N14" i="25" s="1"/>
  <c r="F67" i="19"/>
  <c r="H67" i="19" s="1"/>
  <c r="I67" i="19" s="1"/>
  <c r="H11" i="23"/>
  <c r="F69" i="19"/>
  <c r="H69" i="19" s="1"/>
  <c r="I69" i="19" s="1"/>
  <c r="AA64" i="25"/>
  <c r="J52" i="23"/>
  <c r="F44" i="19"/>
  <c r="H44" i="19" s="1"/>
  <c r="I44" i="19" s="1"/>
  <c r="AY6" i="19" s="1"/>
  <c r="AZ182" i="28" s="1"/>
  <c r="F51" i="19"/>
  <c r="H51" i="19" s="1"/>
  <c r="I51" i="19" s="1"/>
  <c r="BF6" i="19" s="1"/>
  <c r="F85" i="19"/>
  <c r="H85" i="19" s="1"/>
  <c r="I85" i="19" s="1"/>
  <c r="F17" i="16"/>
  <c r="AI39" i="28"/>
  <c r="BA61" i="28"/>
  <c r="U61" i="28"/>
  <c r="AR61" i="28"/>
  <c r="L61" i="28"/>
  <c r="AO61" i="28"/>
  <c r="AF61" i="28"/>
  <c r="BB39" i="28"/>
  <c r="BZ73" i="28"/>
  <c r="CA73" i="28" s="1"/>
  <c r="F73" i="28" s="1"/>
  <c r="Z39" i="28"/>
  <c r="BZ64" i="28"/>
  <c r="CA64" i="28" s="1"/>
  <c r="F64" i="28" s="1"/>
  <c r="BZ53" i="28"/>
  <c r="CA53" i="28" s="1"/>
  <c r="F53" i="28" s="1"/>
  <c r="BZ74" i="28"/>
  <c r="CA74" i="28" s="1"/>
  <c r="F74" i="28" s="1"/>
  <c r="BZ52" i="28"/>
  <c r="CA52" i="28" s="1"/>
  <c r="F52" i="28" s="1"/>
  <c r="BZ70" i="28"/>
  <c r="CA70" i="28" s="1"/>
  <c r="F70" i="28" s="1"/>
  <c r="BZ55" i="28"/>
  <c r="CA55" i="28" s="1"/>
  <c r="F55" i="28" s="1"/>
  <c r="BZ98" i="28"/>
  <c r="CA98" i="28" s="1"/>
  <c r="F98" i="28" s="1"/>
  <c r="BZ59" i="28"/>
  <c r="CA59" i="28" s="1"/>
  <c r="F59" i="28" s="1"/>
  <c r="AB39" i="28"/>
  <c r="BZ47" i="28"/>
  <c r="CA47" i="28" s="1"/>
  <c r="F47" i="28" s="1"/>
  <c r="AP138" i="29"/>
  <c r="J141" i="29"/>
  <c r="AU39" i="28"/>
  <c r="BZ65" i="28"/>
  <c r="CA65" i="28" s="1"/>
  <c r="F65" i="28" s="1"/>
  <c r="BZ66" i="28"/>
  <c r="CA66" i="28" s="1"/>
  <c r="F66" i="28" s="1"/>
  <c r="AR39" i="28"/>
  <c r="AJ39" i="28"/>
  <c r="AC39" i="28"/>
  <c r="BQ39" i="28"/>
  <c r="BS39" i="28"/>
  <c r="BT39" i="28"/>
  <c r="BE39" i="28"/>
  <c r="AO39" i="28"/>
  <c r="AW39" i="28"/>
  <c r="AA39" i="28"/>
  <c r="AW61" i="28"/>
  <c r="AG61" i="28"/>
  <c r="Q61" i="28"/>
  <c r="BD61" i="28"/>
  <c r="AN61" i="28"/>
  <c r="X61" i="28"/>
  <c r="BG39" i="28"/>
  <c r="BN39" i="28"/>
  <c r="BA39" i="28"/>
  <c r="X39" i="28"/>
  <c r="AQ39" i="28"/>
  <c r="BH39" i="28"/>
  <c r="L39" i="28"/>
  <c r="AD39" i="28"/>
  <c r="AG39" i="28"/>
  <c r="P39" i="28"/>
  <c r="J39" i="28"/>
  <c r="M39" i="28"/>
  <c r="BK39" i="28"/>
  <c r="AY39" i="28"/>
  <c r="AS61" i="28"/>
  <c r="AC61" i="28"/>
  <c r="M61" i="28"/>
  <c r="AZ61" i="28"/>
  <c r="AJ61" i="28"/>
  <c r="T61" i="28"/>
  <c r="BE61" i="28"/>
  <c r="AF39" i="28"/>
  <c r="AH39" i="28"/>
  <c r="AK39" i="28"/>
  <c r="AM39" i="28"/>
  <c r="AX39" i="28"/>
  <c r="BU39" i="28"/>
  <c r="BL39" i="28"/>
  <c r="N39" i="28"/>
  <c r="T39" i="28"/>
  <c r="AE39" i="28"/>
  <c r="BI39" i="28"/>
  <c r="BO39" i="28"/>
  <c r="AP39" i="28"/>
  <c r="BD39" i="28"/>
  <c r="AL39" i="28"/>
  <c r="O39" i="28"/>
  <c r="R39" i="28"/>
  <c r="U39" i="28"/>
  <c r="V39" i="28"/>
  <c r="Q39" i="28"/>
  <c r="Y39" i="28"/>
  <c r="W39" i="28"/>
  <c r="BM39" i="28"/>
  <c r="AV39" i="28"/>
  <c r="BC39" i="28"/>
  <c r="AS39" i="28"/>
  <c r="AT39" i="28"/>
  <c r="S39" i="28"/>
  <c r="BP39" i="28"/>
  <c r="AZ39" i="28"/>
  <c r="BJ39" i="28"/>
  <c r="BF39" i="28"/>
  <c r="AN39" i="28"/>
  <c r="S26" i="25"/>
  <c r="AT61" i="28"/>
  <c r="N61" i="28"/>
  <c r="BQ93" i="28"/>
  <c r="BM93" i="28"/>
  <c r="BI93" i="28"/>
  <c r="BE93" i="28"/>
  <c r="BA93" i="28"/>
  <c r="AW93" i="28"/>
  <c r="AS93" i="28"/>
  <c r="AO93" i="28"/>
  <c r="AK93" i="28"/>
  <c r="AG93" i="28"/>
  <c r="AC93" i="28"/>
  <c r="Y93" i="28"/>
  <c r="U93" i="28"/>
  <c r="Q93" i="28"/>
  <c r="M93" i="28"/>
  <c r="BT93" i="28"/>
  <c r="BP93" i="28"/>
  <c r="BL93" i="28"/>
  <c r="BH93" i="28"/>
  <c r="BD93" i="28"/>
  <c r="AZ93" i="28"/>
  <c r="AV93" i="28"/>
  <c r="AR93" i="28"/>
  <c r="AN93" i="28"/>
  <c r="AJ93" i="28"/>
  <c r="AF93" i="28"/>
  <c r="AB93" i="28"/>
  <c r="X93" i="28"/>
  <c r="T93" i="28"/>
  <c r="P93" i="28"/>
  <c r="L93" i="28"/>
  <c r="BS93" i="28"/>
  <c r="BO93" i="28"/>
  <c r="BK93" i="28"/>
  <c r="BG93" i="28"/>
  <c r="BC93" i="28"/>
  <c r="AY93" i="28"/>
  <c r="AU93" i="28"/>
  <c r="AQ93" i="28"/>
  <c r="AM93" i="28"/>
  <c r="AI93" i="28"/>
  <c r="AE93" i="28"/>
  <c r="AA93" i="28"/>
  <c r="W93" i="28"/>
  <c r="S93" i="28"/>
  <c r="O93" i="28"/>
  <c r="K93" i="28"/>
  <c r="BR93" i="28"/>
  <c r="BN93" i="28"/>
  <c r="BJ93" i="28"/>
  <c r="BF93" i="28"/>
  <c r="BB93" i="28"/>
  <c r="AX93" i="28"/>
  <c r="AT93" i="28"/>
  <c r="AP93" i="28"/>
  <c r="AL93" i="28"/>
  <c r="AH93" i="28"/>
  <c r="AD93" i="28"/>
  <c r="Z93" i="28"/>
  <c r="V93" i="28"/>
  <c r="R93" i="28"/>
  <c r="N93" i="28"/>
  <c r="J93" i="28"/>
  <c r="BK61" i="28"/>
  <c r="J61" i="28"/>
  <c r="AH61" i="28"/>
  <c r="J76" i="28"/>
  <c r="AD61" i="28"/>
  <c r="AX61" i="28"/>
  <c r="R61" i="28"/>
  <c r="BB76" i="28"/>
  <c r="AL76" i="28"/>
  <c r="V76" i="28"/>
  <c r="BA76" i="28"/>
  <c r="AR76" i="28"/>
  <c r="AB76" i="28"/>
  <c r="BC76" i="28"/>
  <c r="S76" i="28"/>
  <c r="AU76" i="28"/>
  <c r="BE76" i="28"/>
  <c r="AW76" i="28"/>
  <c r="AO76" i="28"/>
  <c r="AG76" i="28"/>
  <c r="Y76" i="28"/>
  <c r="AE76" i="28"/>
  <c r="BG61" i="28"/>
  <c r="BS61" i="28"/>
  <c r="AI61" i="28"/>
  <c r="BO61" i="28"/>
  <c r="BC61" i="28"/>
  <c r="BJ61" i="28"/>
  <c r="BR61" i="28"/>
  <c r="BN61" i="28"/>
  <c r="BF61" i="28"/>
  <c r="AY61" i="28"/>
  <c r="AA61" i="28"/>
  <c r="AP61" i="28"/>
  <c r="Z61" i="28"/>
  <c r="BH61" i="28"/>
  <c r="BT61" i="28"/>
  <c r="BP61" i="28"/>
  <c r="BL61" i="28"/>
  <c r="AQ61" i="28"/>
  <c r="W61" i="28"/>
  <c r="K61" i="28"/>
  <c r="BB61" i="28"/>
  <c r="AL61" i="28"/>
  <c r="V61" i="28"/>
  <c r="BI61" i="28"/>
  <c r="BU61" i="28"/>
  <c r="BQ61" i="28"/>
  <c r="BM61" i="28"/>
  <c r="AM61" i="28"/>
  <c r="S61" i="28"/>
  <c r="K76" i="28"/>
  <c r="AX76" i="28"/>
  <c r="AH76" i="28"/>
  <c r="R76" i="28"/>
  <c r="AC76" i="28"/>
  <c r="BD76" i="28"/>
  <c r="AN76" i="28"/>
  <c r="X76" i="28"/>
  <c r="AQ76" i="28"/>
  <c r="O76" i="28"/>
  <c r="AM76" i="28"/>
  <c r="M76" i="28"/>
  <c r="AT76" i="28"/>
  <c r="AD76" i="28"/>
  <c r="Q76" i="28"/>
  <c r="AZ76" i="28"/>
  <c r="AJ76" i="28"/>
  <c r="T76" i="28"/>
  <c r="AI76" i="28"/>
  <c r="W76" i="28"/>
  <c r="AS76" i="28"/>
  <c r="AK76" i="28"/>
  <c r="U76" i="28"/>
  <c r="AY76" i="28"/>
  <c r="N76" i="28"/>
  <c r="AP76" i="28"/>
  <c r="Z76" i="28"/>
  <c r="AV76" i="28"/>
  <c r="AF76" i="28"/>
  <c r="P76" i="28"/>
  <c r="AA76" i="28"/>
  <c r="D38" i="20"/>
  <c r="E38" i="20" s="1"/>
  <c r="AL138" i="29"/>
  <c r="J18" i="23"/>
  <c r="G61" i="25"/>
  <c r="AC61" i="25" s="1"/>
  <c r="AD61" i="25" s="1"/>
  <c r="BC84" i="29"/>
  <c r="BH94" i="28" s="1"/>
  <c r="BO74" i="29"/>
  <c r="BT76" i="28" s="1"/>
  <c r="BD74" i="29"/>
  <c r="BI76" i="28" s="1"/>
  <c r="BM84" i="29"/>
  <c r="BR94" i="28" s="1"/>
  <c r="BK84" i="29"/>
  <c r="BP94" i="28" s="1"/>
  <c r="BB84" i="29"/>
  <c r="BG94" i="28" s="1"/>
  <c r="BF84" i="29"/>
  <c r="BK94" i="28" s="1"/>
  <c r="BJ84" i="29"/>
  <c r="BO94" i="28" s="1"/>
  <c r="BN84" i="29"/>
  <c r="BS94" i="28" s="1"/>
  <c r="BE74" i="29"/>
  <c r="BJ76" i="28" s="1"/>
  <c r="BC74" i="29"/>
  <c r="BH76" i="28" s="1"/>
  <c r="BI84" i="29"/>
  <c r="BN94" i="28" s="1"/>
  <c r="BK74" i="29"/>
  <c r="BP76" i="28" s="1"/>
  <c r="BB74" i="29"/>
  <c r="BG76" i="28" s="1"/>
  <c r="BF74" i="29"/>
  <c r="BK76" i="28" s="1"/>
  <c r="BJ74" i="29"/>
  <c r="BO76" i="28" s="1"/>
  <c r="BN74" i="29"/>
  <c r="BS76" i="28" s="1"/>
  <c r="BE84" i="29"/>
  <c r="BJ94" i="28" s="1"/>
  <c r="BH84" i="29"/>
  <c r="BM94" i="28" s="1"/>
  <c r="BL84" i="29"/>
  <c r="BQ94" i="28" s="1"/>
  <c r="BP84" i="29"/>
  <c r="BU94" i="28" s="1"/>
  <c r="BG84" i="29"/>
  <c r="BL94" i="28" s="1"/>
  <c r="BA74" i="29"/>
  <c r="BF76" i="28" s="1"/>
  <c r="BI74" i="29"/>
  <c r="BN76" i="28" s="1"/>
  <c r="BO84" i="29"/>
  <c r="BT94" i="28" s="1"/>
  <c r="BD84" i="29"/>
  <c r="BI94" i="28" s="1"/>
  <c r="BH74" i="29"/>
  <c r="BM76" i="28" s="1"/>
  <c r="BL74" i="29"/>
  <c r="BQ76" i="28" s="1"/>
  <c r="BP74" i="29"/>
  <c r="BU76" i="28" s="1"/>
  <c r="BM74" i="29"/>
  <c r="BR76" i="28" s="1"/>
  <c r="BG74" i="29"/>
  <c r="BL76" i="28" s="1"/>
  <c r="BA84" i="29"/>
  <c r="BF94" i="28" s="1"/>
  <c r="C28" i="20"/>
  <c r="E28" i="20" s="1"/>
  <c r="G24" i="25"/>
  <c r="E40" i="28"/>
  <c r="O160" i="28"/>
  <c r="AU61" i="28"/>
  <c r="AE61" i="28"/>
  <c r="G63" i="25"/>
  <c r="AC63" i="25" s="1"/>
  <c r="AD63" i="25" s="1"/>
  <c r="G62" i="25"/>
  <c r="AC62" i="25" s="1"/>
  <c r="AD62" i="25" s="1"/>
  <c r="G76" i="25"/>
  <c r="AC76" i="25" s="1"/>
  <c r="AD76" i="25" s="1"/>
  <c r="G66" i="25"/>
  <c r="AC66" i="25" s="1"/>
  <c r="AD66" i="25" s="1"/>
  <c r="G77" i="25"/>
  <c r="AC77" i="25" s="1"/>
  <c r="AD77" i="25" s="1"/>
  <c r="H7" i="23"/>
  <c r="H8" i="23"/>
  <c r="F81" i="25"/>
  <c r="E79" i="28"/>
  <c r="F64" i="25"/>
  <c r="R81" i="25"/>
  <c r="R82" i="25" s="1"/>
  <c r="R53" i="25"/>
  <c r="AA17" i="23"/>
  <c r="AA23" i="23"/>
  <c r="AA27" i="23"/>
  <c r="AA31" i="23"/>
  <c r="AA35" i="23"/>
  <c r="AA39" i="23"/>
  <c r="AA21" i="23"/>
  <c r="AA33" i="23"/>
  <c r="AA37" i="23"/>
  <c r="I19" i="23"/>
  <c r="AB19" i="23" s="1"/>
  <c r="AA25" i="23"/>
  <c r="H10" i="23"/>
  <c r="N29" i="25"/>
  <c r="F48" i="19"/>
  <c r="H48" i="19" s="1"/>
  <c r="I48" i="19" s="1"/>
  <c r="BC6" i="19" s="1"/>
  <c r="BD182" i="28" s="1"/>
  <c r="H9" i="23"/>
  <c r="I53" i="23"/>
  <c r="C17" i="15"/>
  <c r="G17" i="15" s="1"/>
  <c r="J30" i="23"/>
  <c r="AB30" i="23"/>
  <c r="I23" i="23"/>
  <c r="AB23" i="23" s="1"/>
  <c r="AB22" i="23"/>
  <c r="AA19" i="23"/>
  <c r="J16" i="23"/>
  <c r="AB16" i="23"/>
  <c r="B29" i="20"/>
  <c r="C29" i="20" s="1"/>
  <c r="E29" i="20" s="1"/>
  <c r="H28" i="20"/>
  <c r="V138" i="29"/>
  <c r="I29" i="23"/>
  <c r="AB28" i="23"/>
  <c r="I15" i="23" s="1"/>
  <c r="AD138" i="29"/>
  <c r="AT138" i="29"/>
  <c r="Z138" i="29"/>
  <c r="N138" i="29"/>
  <c r="I39" i="23"/>
  <c r="O38" i="23" s="1"/>
  <c r="Q38" i="23" s="1"/>
  <c r="AX138" i="29"/>
  <c r="AH138" i="29"/>
  <c r="R138" i="29"/>
  <c r="AV25" i="28"/>
  <c r="BI92" i="28"/>
  <c r="BF92" i="28"/>
  <c r="BG92" i="28"/>
  <c r="BH92" i="28"/>
  <c r="BQ92" i="28"/>
  <c r="BP92" i="28"/>
  <c r="BM92" i="28"/>
  <c r="BJ92" i="28"/>
  <c r="BK92" i="28"/>
  <c r="BL92" i="28"/>
  <c r="BN92" i="28"/>
  <c r="BU92" i="28"/>
  <c r="BR92" i="28"/>
  <c r="BS92" i="28"/>
  <c r="BT92" i="28"/>
  <c r="BO92" i="28"/>
  <c r="BS63" i="28"/>
  <c r="BO63" i="28"/>
  <c r="BK63" i="28"/>
  <c r="BG63" i="28"/>
  <c r="BR63" i="28"/>
  <c r="BN63" i="28"/>
  <c r="BJ63" i="28"/>
  <c r="BF63" i="28"/>
  <c r="BU63" i="28"/>
  <c r="BQ63" i="28"/>
  <c r="BM63" i="28"/>
  <c r="BI63" i="28"/>
  <c r="BT63" i="28"/>
  <c r="BP63" i="28"/>
  <c r="BL63" i="28"/>
  <c r="BH63" i="28"/>
  <c r="BI182" i="28"/>
  <c r="BD122" i="29"/>
  <c r="AW34" i="28"/>
  <c r="AX34" i="28" s="1"/>
  <c r="AY34" i="28" s="1"/>
  <c r="AZ34" i="28" s="1"/>
  <c r="BB34" i="28" s="1"/>
  <c r="BC34" i="28" s="1"/>
  <c r="BD34" i="28" s="1"/>
  <c r="H113" i="28"/>
  <c r="I113" i="28" s="1"/>
  <c r="AW22" i="28"/>
  <c r="AX22" i="28" s="1"/>
  <c r="AY22" i="28" s="1"/>
  <c r="AZ22" i="28" s="1"/>
  <c r="BB22" i="28" s="1"/>
  <c r="BC22" i="28" s="1"/>
  <c r="BD22" i="28" s="1"/>
  <c r="C5" i="23"/>
  <c r="J38" i="23"/>
  <c r="D13" i="14"/>
  <c r="K13" i="14" s="1"/>
  <c r="K12" i="14"/>
  <c r="D31" i="14" s="1"/>
  <c r="K47" i="16"/>
  <c r="H48" i="16"/>
  <c r="P11" i="28"/>
  <c r="Q8" i="28"/>
  <c r="Q9" i="28" s="1"/>
  <c r="P160" i="28"/>
  <c r="AC78" i="25"/>
  <c r="AD78" i="25" s="1"/>
  <c r="J40" i="23"/>
  <c r="I41" i="23"/>
  <c r="O40" i="23" s="1"/>
  <c r="Q40" i="23" s="1"/>
  <c r="D38" i="14"/>
  <c r="D17" i="14"/>
  <c r="K133" i="28"/>
  <c r="K128" i="28"/>
  <c r="M133" i="28"/>
  <c r="M128" i="28"/>
  <c r="M163" i="28"/>
  <c r="N7" i="28"/>
  <c r="BY193" i="28"/>
  <c r="B8" i="29"/>
  <c r="J2" i="28"/>
  <c r="J3" i="28" s="1"/>
  <c r="I6" i="28"/>
  <c r="I5" i="28"/>
  <c r="I4" i="28"/>
  <c r="F10" i="19"/>
  <c r="H10" i="19" s="1"/>
  <c r="I10" i="19" s="1"/>
  <c r="Q6" i="19" s="1"/>
  <c r="M122" i="29" s="1"/>
  <c r="F16" i="19"/>
  <c r="H16" i="19" s="1"/>
  <c r="I16" i="19" s="1"/>
  <c r="W6" i="19" s="1"/>
  <c r="S122" i="29" s="1"/>
  <c r="F65" i="19"/>
  <c r="H65" i="19" s="1"/>
  <c r="I65" i="19" s="1"/>
  <c r="F81" i="19"/>
  <c r="H81" i="19" s="1"/>
  <c r="I81" i="19" s="1"/>
  <c r="AQ16" i="28"/>
  <c r="AR16" i="28" s="1"/>
  <c r="AS16" i="28" s="1"/>
  <c r="AT16" i="28" s="1"/>
  <c r="AU16" i="28" s="1"/>
  <c r="AQ13" i="28"/>
  <c r="AR13" i="28" s="1"/>
  <c r="AS13" i="28" s="1"/>
  <c r="AT13" i="28" s="1"/>
  <c r="AU13" i="28" s="1"/>
  <c r="AV13" i="28" s="1"/>
  <c r="AW13" i="28" s="1"/>
  <c r="AX13" i="28" s="1"/>
  <c r="D93" i="29"/>
  <c r="BB25" i="28"/>
  <c r="BC25" i="28" s="1"/>
  <c r="BD25" i="28" s="1"/>
  <c r="BA25" i="28"/>
  <c r="CA91" i="28"/>
  <c r="F91" i="28" s="1"/>
  <c r="D76" i="29"/>
  <c r="I37" i="23"/>
  <c r="O36" i="23" s="1"/>
  <c r="Q36" i="23" s="1"/>
  <c r="U36" i="23" s="1"/>
  <c r="J36" i="23"/>
  <c r="J28" i="23"/>
  <c r="J26" i="23"/>
  <c r="I35" i="23"/>
  <c r="O34" i="23" s="1"/>
  <c r="Q34" i="23" s="1"/>
  <c r="J34" i="23"/>
  <c r="I31" i="23"/>
  <c r="O30" i="23" s="1"/>
  <c r="Q30" i="23" s="1"/>
  <c r="U30" i="23" s="1"/>
  <c r="I33" i="23"/>
  <c r="O32" i="23" s="1"/>
  <c r="Q32" i="23" s="1"/>
  <c r="U32" i="23" s="1"/>
  <c r="J32" i="23"/>
  <c r="I27" i="23"/>
  <c r="O26" i="23" s="1"/>
  <c r="Q26" i="23" s="1"/>
  <c r="U26" i="23" s="1"/>
  <c r="AP31" i="28"/>
  <c r="J22" i="23"/>
  <c r="F8" i="19"/>
  <c r="H8" i="19" s="1"/>
  <c r="I8" i="19" s="1"/>
  <c r="O6" i="19" s="1"/>
  <c r="K122" i="29" s="1"/>
  <c r="F36" i="19"/>
  <c r="H36" i="19" s="1"/>
  <c r="I36" i="19" s="1"/>
  <c r="AQ6" i="19" s="1"/>
  <c r="AM122" i="29" s="1"/>
  <c r="F20" i="19"/>
  <c r="H20" i="19" s="1"/>
  <c r="I20" i="19" s="1"/>
  <c r="AA6" i="19" s="1"/>
  <c r="AB182" i="28" s="1"/>
  <c r="F61" i="19"/>
  <c r="H61" i="19" s="1"/>
  <c r="I61" i="19" s="1"/>
  <c r="F77" i="19"/>
  <c r="H77" i="19" s="1"/>
  <c r="I77" i="19" s="1"/>
  <c r="F93" i="19"/>
  <c r="H93" i="19" s="1"/>
  <c r="I93" i="19" s="1"/>
  <c r="F32" i="19"/>
  <c r="H32" i="19" s="1"/>
  <c r="I32" i="19" s="1"/>
  <c r="AM6" i="19" s="1"/>
  <c r="AI122" i="29" s="1"/>
  <c r="F102" i="19"/>
  <c r="H102" i="19" s="1"/>
  <c r="I102" i="19" s="1"/>
  <c r="F11" i="19"/>
  <c r="H11" i="19" s="1"/>
  <c r="I11" i="19" s="1"/>
  <c r="R6" i="19" s="1"/>
  <c r="N122" i="29" s="1"/>
  <c r="F22" i="19"/>
  <c r="H22" i="19" s="1"/>
  <c r="I22" i="19" s="1"/>
  <c r="AC6" i="19" s="1"/>
  <c r="Y122" i="29" s="1"/>
  <c r="F55" i="19"/>
  <c r="H55" i="19" s="1"/>
  <c r="I55" i="19" s="1"/>
  <c r="BJ6" i="19" s="1"/>
  <c r="F63" i="19"/>
  <c r="H63" i="19" s="1"/>
  <c r="I63" i="19" s="1"/>
  <c r="F71" i="19"/>
  <c r="H71" i="19" s="1"/>
  <c r="I71" i="19" s="1"/>
  <c r="F79" i="19"/>
  <c r="H79" i="19" s="1"/>
  <c r="I79" i="19" s="1"/>
  <c r="F87" i="19"/>
  <c r="H87" i="19" s="1"/>
  <c r="I87" i="19" s="1"/>
  <c r="F95" i="19"/>
  <c r="H95" i="19" s="1"/>
  <c r="I95" i="19" s="1"/>
  <c r="F40" i="19"/>
  <c r="H40" i="19" s="1"/>
  <c r="I40" i="19" s="1"/>
  <c r="AU6" i="19" s="1"/>
  <c r="AV182" i="28" s="1"/>
  <c r="F27" i="19"/>
  <c r="H27" i="19" s="1"/>
  <c r="I27" i="19" s="1"/>
  <c r="AH6" i="19" s="1"/>
  <c r="AD122" i="29" s="1"/>
  <c r="F43" i="19"/>
  <c r="H43" i="19" s="1"/>
  <c r="I43" i="19" s="1"/>
  <c r="AX6" i="19" s="1"/>
  <c r="AT122" i="29" s="1"/>
  <c r="F30" i="19"/>
  <c r="H30" i="19" s="1"/>
  <c r="I30" i="19" s="1"/>
  <c r="AK6" i="19" s="1"/>
  <c r="AL182" i="28" s="1"/>
  <c r="F46" i="19"/>
  <c r="H46" i="19" s="1"/>
  <c r="I46" i="19" s="1"/>
  <c r="BA6" i="19" s="1"/>
  <c r="AW122" i="29" s="1"/>
  <c r="F97" i="19"/>
  <c r="H97" i="19" s="1"/>
  <c r="I97" i="19" s="1"/>
  <c r="AP19" i="28"/>
  <c r="E5" i="23"/>
  <c r="G10" i="15"/>
  <c r="F23" i="15"/>
  <c r="C30" i="15" s="1"/>
  <c r="G30" i="15" s="1"/>
  <c r="F35" i="19"/>
  <c r="H35" i="19" s="1"/>
  <c r="I35" i="19" s="1"/>
  <c r="AP6" i="19" s="1"/>
  <c r="AL122" i="29" s="1"/>
  <c r="F38" i="19"/>
  <c r="H38" i="19" s="1"/>
  <c r="I38" i="19" s="1"/>
  <c r="AS6" i="19" s="1"/>
  <c r="AT182" i="28" s="1"/>
  <c r="I17" i="23"/>
  <c r="O16" i="23" s="1"/>
  <c r="Q16" i="23" s="1"/>
  <c r="U16" i="23" s="1"/>
  <c r="I25" i="23"/>
  <c r="O24" i="23" s="1"/>
  <c r="Q24" i="23" s="1"/>
  <c r="U24" i="23" s="1"/>
  <c r="J24" i="23"/>
  <c r="J20" i="23"/>
  <c r="I21" i="23"/>
  <c r="AB21" i="23" s="1"/>
  <c r="C20" i="25"/>
  <c r="F17" i="19"/>
  <c r="H17" i="19" s="1"/>
  <c r="I17" i="19" s="1"/>
  <c r="X6" i="19" s="1"/>
  <c r="T122" i="29" s="1"/>
  <c r="F33" i="19"/>
  <c r="H33" i="19" s="1"/>
  <c r="I33" i="19" s="1"/>
  <c r="AN6" i="19" s="1"/>
  <c r="AJ122" i="29" s="1"/>
  <c r="F49" i="19"/>
  <c r="H49" i="19" s="1"/>
  <c r="I49" i="19" s="1"/>
  <c r="BD6" i="19" s="1"/>
  <c r="BV182" i="28" s="1"/>
  <c r="F58" i="19"/>
  <c r="H58" i="19" s="1"/>
  <c r="I58" i="19" s="1"/>
  <c r="F74" i="19"/>
  <c r="H74" i="19" s="1"/>
  <c r="I74" i="19" s="1"/>
  <c r="F90" i="19"/>
  <c r="H90" i="19" s="1"/>
  <c r="I90" i="19" s="1"/>
  <c r="F104" i="19"/>
  <c r="H104" i="19" s="1"/>
  <c r="I104" i="19" s="1"/>
  <c r="F99" i="19"/>
  <c r="H99" i="19" s="1"/>
  <c r="I99" i="19" s="1"/>
  <c r="F39" i="19"/>
  <c r="H39" i="19" s="1"/>
  <c r="I39" i="19" s="1"/>
  <c r="AT6" i="19" s="1"/>
  <c r="AU182" i="28" s="1"/>
  <c r="F26" i="19"/>
  <c r="H26" i="19" s="1"/>
  <c r="I26" i="19" s="1"/>
  <c r="AG6" i="19" s="1"/>
  <c r="AH182" i="28" s="1"/>
  <c r="F42" i="19"/>
  <c r="H42" i="19" s="1"/>
  <c r="I42" i="19" s="1"/>
  <c r="AW6" i="19" s="1"/>
  <c r="AX182" i="28" s="1"/>
  <c r="F13" i="19"/>
  <c r="H13" i="19" s="1"/>
  <c r="I13" i="19" s="1"/>
  <c r="T6" i="19" s="1"/>
  <c r="U182" i="28" s="1"/>
  <c r="N185" i="28"/>
  <c r="O185" i="28" s="1"/>
  <c r="D85" i="29"/>
  <c r="F29" i="19"/>
  <c r="H29" i="19" s="1"/>
  <c r="I29" i="19" s="1"/>
  <c r="AJ6" i="19" s="1"/>
  <c r="AK182" i="28" s="1"/>
  <c r="F52" i="19"/>
  <c r="H52" i="19" s="1"/>
  <c r="I52" i="19" s="1"/>
  <c r="BG6" i="19" s="1"/>
  <c r="F68" i="19"/>
  <c r="H68" i="19" s="1"/>
  <c r="I68" i="19" s="1"/>
  <c r="F84" i="19"/>
  <c r="H84" i="19" s="1"/>
  <c r="I84" i="19" s="1"/>
  <c r="F100" i="19"/>
  <c r="H100" i="19" s="1"/>
  <c r="I100" i="19" s="1"/>
  <c r="D5" i="20"/>
  <c r="E5" i="20" s="1"/>
  <c r="K39" i="28"/>
  <c r="F72" i="19"/>
  <c r="H72" i="19" s="1"/>
  <c r="I72" i="19" s="1"/>
  <c r="F14" i="19"/>
  <c r="H14" i="19" s="1"/>
  <c r="I14" i="19" s="1"/>
  <c r="U6" i="19" s="1"/>
  <c r="F24" i="19"/>
  <c r="H24" i="19" s="1"/>
  <c r="I24" i="19" s="1"/>
  <c r="AE6" i="19" s="1"/>
  <c r="F57" i="19"/>
  <c r="H57" i="19" s="1"/>
  <c r="I57" i="19" s="1"/>
  <c r="F73" i="19"/>
  <c r="H73" i="19" s="1"/>
  <c r="I73" i="19" s="1"/>
  <c r="F89" i="19"/>
  <c r="H89" i="19" s="1"/>
  <c r="I89" i="19" s="1"/>
  <c r="F12" i="19"/>
  <c r="H12" i="19" s="1"/>
  <c r="I12" i="19" s="1"/>
  <c r="S6" i="19" s="1"/>
  <c r="F31" i="19"/>
  <c r="H31" i="19" s="1"/>
  <c r="I31" i="19" s="1"/>
  <c r="AL6" i="19" s="1"/>
  <c r="F47" i="19"/>
  <c r="H47" i="19" s="1"/>
  <c r="I47" i="19" s="1"/>
  <c r="BB6" i="19" s="1"/>
  <c r="F34" i="19"/>
  <c r="H34" i="19" s="1"/>
  <c r="I34" i="19" s="1"/>
  <c r="AO6" i="19" s="1"/>
  <c r="F7" i="19"/>
  <c r="H7" i="19" s="1"/>
  <c r="I7" i="19" s="1"/>
  <c r="N6" i="19" s="1"/>
  <c r="F21" i="19"/>
  <c r="H21" i="19" s="1"/>
  <c r="I21" i="19" s="1"/>
  <c r="AB6" i="19" s="1"/>
  <c r="F37" i="19"/>
  <c r="H37" i="19" s="1"/>
  <c r="I37" i="19" s="1"/>
  <c r="AR6" i="19" s="1"/>
  <c r="F62" i="19"/>
  <c r="H62" i="19" s="1"/>
  <c r="I62" i="19" s="1"/>
  <c r="F78" i="19"/>
  <c r="H78" i="19" s="1"/>
  <c r="I78" i="19" s="1"/>
  <c r="F94" i="19"/>
  <c r="H94" i="19" s="1"/>
  <c r="I94" i="19" s="1"/>
  <c r="F101" i="19"/>
  <c r="H101" i="19" s="1"/>
  <c r="I101" i="19" s="1"/>
  <c r="F60" i="19"/>
  <c r="H60" i="19" s="1"/>
  <c r="I60" i="19" s="1"/>
  <c r="F76" i="19"/>
  <c r="H76" i="19" s="1"/>
  <c r="I76" i="19" s="1"/>
  <c r="F92" i="19"/>
  <c r="H92" i="19" s="1"/>
  <c r="I92" i="19" s="1"/>
  <c r="O48" i="28"/>
  <c r="D44" i="29"/>
  <c r="AU138" i="29"/>
  <c r="AU141" i="29"/>
  <c r="AM138" i="29"/>
  <c r="AM141" i="29"/>
  <c r="AE138" i="29"/>
  <c r="AE141" i="29"/>
  <c r="W138" i="29"/>
  <c r="W141" i="29"/>
  <c r="O138" i="29"/>
  <c r="O141" i="29"/>
  <c r="O56" i="28"/>
  <c r="D52" i="29"/>
  <c r="I141" i="29"/>
  <c r="C137" i="29"/>
  <c r="C141" i="29"/>
  <c r="I138" i="29"/>
  <c r="F88" i="19"/>
  <c r="H88" i="19" s="1"/>
  <c r="I88" i="19" s="1"/>
  <c r="M7" i="19"/>
  <c r="N182" i="28"/>
  <c r="I122" i="29"/>
  <c r="F28" i="19"/>
  <c r="H28" i="19" s="1"/>
  <c r="I28" i="19" s="1"/>
  <c r="AI6" i="19" s="1"/>
  <c r="F18" i="19"/>
  <c r="H18" i="19" s="1"/>
  <c r="I18" i="19" s="1"/>
  <c r="Y6" i="19" s="1"/>
  <c r="F59" i="19"/>
  <c r="H59" i="19" s="1"/>
  <c r="I59" i="19" s="1"/>
  <c r="F75" i="19"/>
  <c r="H75" i="19" s="1"/>
  <c r="I75" i="19" s="1"/>
  <c r="F91" i="19"/>
  <c r="H91" i="19" s="1"/>
  <c r="I91" i="19" s="1"/>
  <c r="F15" i="19"/>
  <c r="H15" i="19" s="1"/>
  <c r="I15" i="19" s="1"/>
  <c r="V6" i="19" s="1"/>
  <c r="F19" i="19"/>
  <c r="H19" i="19" s="1"/>
  <c r="I19" i="19" s="1"/>
  <c r="Z6" i="19" s="1"/>
  <c r="F103" i="19"/>
  <c r="H103" i="19" s="1"/>
  <c r="I103" i="19" s="1"/>
  <c r="F9" i="19"/>
  <c r="H9" i="19" s="1"/>
  <c r="I9" i="19" s="1"/>
  <c r="P6" i="19" s="1"/>
  <c r="F25" i="19"/>
  <c r="H25" i="19" s="1"/>
  <c r="I25" i="19" s="1"/>
  <c r="AF6" i="19" s="1"/>
  <c r="F41" i="19"/>
  <c r="H41" i="19" s="1"/>
  <c r="I41" i="19" s="1"/>
  <c r="AV6" i="19" s="1"/>
  <c r="F50" i="19"/>
  <c r="H50" i="19" s="1"/>
  <c r="I50" i="19" s="1"/>
  <c r="BE6" i="19" s="1"/>
  <c r="BW182" i="28" s="1"/>
  <c r="F66" i="19"/>
  <c r="H66" i="19" s="1"/>
  <c r="I66" i="19" s="1"/>
  <c r="F82" i="19"/>
  <c r="H82" i="19" s="1"/>
  <c r="I82" i="19" s="1"/>
  <c r="F98" i="19"/>
  <c r="H98" i="19" s="1"/>
  <c r="I98" i="19" s="1"/>
  <c r="F105" i="19"/>
  <c r="H105" i="19" s="1"/>
  <c r="I105" i="19" s="1"/>
  <c r="F64" i="19"/>
  <c r="H64" i="19" s="1"/>
  <c r="I64" i="19" s="1"/>
  <c r="F80" i="19"/>
  <c r="H80" i="19" s="1"/>
  <c r="I80" i="19" s="1"/>
  <c r="F96" i="19"/>
  <c r="H96" i="19" s="1"/>
  <c r="I96" i="19" s="1"/>
  <c r="J125" i="29"/>
  <c r="AV138" i="29"/>
  <c r="AV141" i="29"/>
  <c r="AN138" i="29"/>
  <c r="AN141" i="29"/>
  <c r="AF138" i="29"/>
  <c r="AF141" i="29"/>
  <c r="X138" i="29"/>
  <c r="X141" i="29"/>
  <c r="P138" i="29"/>
  <c r="P141" i="29"/>
  <c r="D62" i="29"/>
  <c r="D37" i="29"/>
  <c r="O67" i="28"/>
  <c r="D64" i="29"/>
  <c r="AS141" i="29"/>
  <c r="AS138" i="29"/>
  <c r="AK141" i="29"/>
  <c r="AK138" i="29"/>
  <c r="AC141" i="29"/>
  <c r="AC138" i="29"/>
  <c r="U141" i="29"/>
  <c r="U138" i="29"/>
  <c r="M141" i="29"/>
  <c r="M138" i="29"/>
  <c r="F23" i="19"/>
  <c r="H23" i="19" s="1"/>
  <c r="I23" i="19" s="1"/>
  <c r="AD6" i="19" s="1"/>
  <c r="F45" i="19"/>
  <c r="H45" i="19" s="1"/>
  <c r="I45" i="19" s="1"/>
  <c r="AZ6" i="19" s="1"/>
  <c r="F54" i="19"/>
  <c r="H54" i="19" s="1"/>
  <c r="I54" i="19" s="1"/>
  <c r="BI6" i="19" s="1"/>
  <c r="F70" i="19"/>
  <c r="H70" i="19" s="1"/>
  <c r="I70" i="19" s="1"/>
  <c r="F86" i="19"/>
  <c r="H86" i="19" s="1"/>
  <c r="I86" i="19" s="1"/>
  <c r="AY138" i="29"/>
  <c r="AY141" i="29"/>
  <c r="AQ138" i="29"/>
  <c r="AQ141" i="29"/>
  <c r="AI138" i="29"/>
  <c r="AI141" i="29"/>
  <c r="AA138" i="29"/>
  <c r="AA141" i="29"/>
  <c r="S138" i="29"/>
  <c r="S141" i="29"/>
  <c r="K138" i="29"/>
  <c r="K141" i="29"/>
  <c r="D63" i="29"/>
  <c r="C144" i="29"/>
  <c r="F56" i="19"/>
  <c r="H56" i="19" s="1"/>
  <c r="I56" i="19" s="1"/>
  <c r="AZ138" i="29"/>
  <c r="AZ141" i="29"/>
  <c r="AR138" i="29"/>
  <c r="AR141" i="29"/>
  <c r="AJ138" i="29"/>
  <c r="AJ141" i="29"/>
  <c r="AB138" i="29"/>
  <c r="AB141" i="29"/>
  <c r="T138" i="29"/>
  <c r="T141" i="29"/>
  <c r="L138" i="29"/>
  <c r="L141" i="29"/>
  <c r="D57" i="29"/>
  <c r="P10" i="28"/>
  <c r="O10" i="28"/>
  <c r="L15" i="25"/>
  <c r="P11" i="24"/>
  <c r="R11" i="24" s="1"/>
  <c r="BV6" i="28"/>
  <c r="BV4" i="28"/>
  <c r="BV5" i="28"/>
  <c r="AW141" i="29"/>
  <c r="AW138" i="29"/>
  <c r="AO141" i="29"/>
  <c r="AO138" i="29"/>
  <c r="AG141" i="29"/>
  <c r="AG138" i="29"/>
  <c r="Y141" i="29"/>
  <c r="Y138" i="29"/>
  <c r="Q141" i="29"/>
  <c r="Q138" i="29"/>
  <c r="BB92" i="28"/>
  <c r="AX92" i="28"/>
  <c r="AT92" i="28"/>
  <c r="AP92" i="28"/>
  <c r="AL92" i="28"/>
  <c r="AH92" i="28"/>
  <c r="AD92" i="28"/>
  <c r="Z92" i="28"/>
  <c r="V92" i="28"/>
  <c r="R92" i="28"/>
  <c r="N92" i="28"/>
  <c r="J92" i="28"/>
  <c r="BC92" i="28"/>
  <c r="AW92" i="28"/>
  <c r="AR92" i="28"/>
  <c r="AM92" i="28"/>
  <c r="AG92" i="28"/>
  <c r="AB92" i="28"/>
  <c r="W92" i="28"/>
  <c r="Q92" i="28"/>
  <c r="L92" i="28"/>
  <c r="BE92" i="28"/>
  <c r="AY92" i="28"/>
  <c r="AQ92" i="28"/>
  <c r="AJ92" i="28"/>
  <c r="AC92" i="28"/>
  <c r="U92" i="28"/>
  <c r="O92" i="28"/>
  <c r="BD92" i="28"/>
  <c r="AV92" i="28"/>
  <c r="AO92" i="28"/>
  <c r="AI92" i="28"/>
  <c r="AA92" i="28"/>
  <c r="T92" i="28"/>
  <c r="M92" i="28"/>
  <c r="BA92" i="28"/>
  <c r="AU92" i="28"/>
  <c r="AN92" i="28"/>
  <c r="AF92" i="28"/>
  <c r="Y92" i="28"/>
  <c r="S92" i="28"/>
  <c r="K92" i="28"/>
  <c r="AZ92" i="28"/>
  <c r="X92" i="28"/>
  <c r="AS92" i="28"/>
  <c r="P92" i="28"/>
  <c r="AK92" i="28"/>
  <c r="AE92" i="28"/>
  <c r="AC47" i="25"/>
  <c r="AD47" i="25" s="1"/>
  <c r="M9" i="10"/>
  <c r="AC23" i="25"/>
  <c r="AD23" i="25" s="1"/>
  <c r="AD38" i="25"/>
  <c r="J81" i="28"/>
  <c r="V31" i="25"/>
  <c r="BD63" i="28"/>
  <c r="AZ63" i="28"/>
  <c r="AV63" i="28"/>
  <c r="AR63" i="28"/>
  <c r="AN63" i="28"/>
  <c r="AJ63" i="28"/>
  <c r="AF63" i="28"/>
  <c r="AB63" i="28"/>
  <c r="X63" i="28"/>
  <c r="T63" i="28"/>
  <c r="P63" i="28"/>
  <c r="L63" i="28"/>
  <c r="BE63" i="28"/>
  <c r="AY63" i="28"/>
  <c r="AT63" i="28"/>
  <c r="AO63" i="28"/>
  <c r="AI63" i="28"/>
  <c r="AD63" i="28"/>
  <c r="Y63" i="28"/>
  <c r="S63" i="28"/>
  <c r="N63" i="28"/>
  <c r="BC63" i="28"/>
  <c r="AX63" i="28"/>
  <c r="AS63" i="28"/>
  <c r="AM63" i="28"/>
  <c r="AH63" i="28"/>
  <c r="AC63" i="28"/>
  <c r="W63" i="28"/>
  <c r="R63" i="28"/>
  <c r="M63" i="28"/>
  <c r="BB63" i="28"/>
  <c r="AQ63" i="28"/>
  <c r="AG63" i="28"/>
  <c r="V63" i="28"/>
  <c r="K63" i="28"/>
  <c r="BA63" i="28"/>
  <c r="AP63" i="28"/>
  <c r="AE63" i="28"/>
  <c r="U63" i="28"/>
  <c r="J63" i="28"/>
  <c r="AU63" i="28"/>
  <c r="Z63" i="28"/>
  <c r="AL63" i="28"/>
  <c r="Q63" i="28"/>
  <c r="AK63" i="28"/>
  <c r="O63" i="28"/>
  <c r="AA63" i="28"/>
  <c r="AW63" i="28"/>
  <c r="E26" i="25"/>
  <c r="P9" i="28" l="1"/>
  <c r="P186" i="28"/>
  <c r="BZ95" i="28"/>
  <c r="CA95" i="28" s="1"/>
  <c r="F95" i="28" s="1"/>
  <c r="BQ115" i="29"/>
  <c r="BR115" i="29"/>
  <c r="BS115" i="29"/>
  <c r="BQ84" i="29"/>
  <c r="BV94" i="28" s="1"/>
  <c r="BZ94" i="28" s="1"/>
  <c r="CA94" i="28" s="1"/>
  <c r="F94" i="28" s="1"/>
  <c r="BB122" i="29"/>
  <c r="BX182" i="28"/>
  <c r="BQ74" i="29"/>
  <c r="BV76" i="28" s="1"/>
  <c r="BZ76" i="28" s="1"/>
  <c r="CA76" i="28" s="1"/>
  <c r="F76" i="28" s="1"/>
  <c r="BV40" i="28"/>
  <c r="BW40" i="28"/>
  <c r="BX40" i="28"/>
  <c r="BV41" i="28"/>
  <c r="BX41" i="28"/>
  <c r="BW41" i="28"/>
  <c r="Q79" i="28"/>
  <c r="AC79" i="28"/>
  <c r="AO79" i="28"/>
  <c r="BA79" i="28"/>
  <c r="BM79" i="28"/>
  <c r="BX79" i="28"/>
  <c r="R79" i="28"/>
  <c r="AD79" i="28"/>
  <c r="AP79" i="28"/>
  <c r="BB79" i="28"/>
  <c r="BN79" i="28"/>
  <c r="P79" i="28"/>
  <c r="AN79" i="28"/>
  <c r="AZ79" i="28"/>
  <c r="S79" i="28"/>
  <c r="AE79" i="28"/>
  <c r="AQ79" i="28"/>
  <c r="BC79" i="28"/>
  <c r="BO79" i="28"/>
  <c r="T79" i="28"/>
  <c r="AF79" i="28"/>
  <c r="AR79" i="28"/>
  <c r="BD79" i="28"/>
  <c r="BP79" i="28"/>
  <c r="U79" i="28"/>
  <c r="AG79" i="28"/>
  <c r="AS79" i="28"/>
  <c r="BE79" i="28"/>
  <c r="BQ79" i="28"/>
  <c r="V79" i="28"/>
  <c r="AH79" i="28"/>
  <c r="AT79" i="28"/>
  <c r="BF79" i="28"/>
  <c r="BR79" i="28"/>
  <c r="K79" i="28"/>
  <c r="W79" i="28"/>
  <c r="AI79" i="28"/>
  <c r="AU79" i="28"/>
  <c r="BG79" i="28"/>
  <c r="BS79" i="28"/>
  <c r="L79" i="28"/>
  <c r="X79" i="28"/>
  <c r="AJ79" i="28"/>
  <c r="AV79" i="28"/>
  <c r="BH79" i="28"/>
  <c r="BT79" i="28"/>
  <c r="M79" i="28"/>
  <c r="Y79" i="28"/>
  <c r="AK79" i="28"/>
  <c r="AW79" i="28"/>
  <c r="BI79" i="28"/>
  <c r="BU79" i="28"/>
  <c r="AB79" i="28"/>
  <c r="N79" i="28"/>
  <c r="Z79" i="28"/>
  <c r="AL79" i="28"/>
  <c r="AX79" i="28"/>
  <c r="BJ79" i="28"/>
  <c r="BV79" i="28"/>
  <c r="O79" i="28"/>
  <c r="AA79" i="28"/>
  <c r="AM79" i="28"/>
  <c r="AY79" i="28"/>
  <c r="BK79" i="28"/>
  <c r="BW79" i="28"/>
  <c r="BL79" i="28"/>
  <c r="AW41" i="28"/>
  <c r="N195" i="28"/>
  <c r="K199" i="28"/>
  <c r="K200" i="28"/>
  <c r="L195" i="28"/>
  <c r="L199" i="28"/>
  <c r="K197" i="28"/>
  <c r="L197" i="28"/>
  <c r="M196" i="28"/>
  <c r="L200" i="28"/>
  <c r="M197" i="28"/>
  <c r="L196" i="28"/>
  <c r="M200" i="28"/>
  <c r="K198" i="28"/>
  <c r="M198" i="28"/>
  <c r="K196" i="28"/>
  <c r="M195" i="28"/>
  <c r="L198" i="28"/>
  <c r="M199" i="28"/>
  <c r="K195" i="28"/>
  <c r="Q17" i="28"/>
  <c r="Q133" i="28" s="1"/>
  <c r="L124" i="29"/>
  <c r="I117" i="29"/>
  <c r="AT41" i="28"/>
  <c r="BA41" i="28"/>
  <c r="AS41" i="28"/>
  <c r="AX41" i="28"/>
  <c r="BC41" i="28"/>
  <c r="P41" i="28"/>
  <c r="S41" i="28"/>
  <c r="AB41" i="28"/>
  <c r="AK25" i="25"/>
  <c r="AL25" i="25" s="1"/>
  <c r="G14" i="35"/>
  <c r="H14" i="35" s="1"/>
  <c r="G11" i="35"/>
  <c r="H11" i="35" s="1"/>
  <c r="Y41" i="28"/>
  <c r="AE41" i="28"/>
  <c r="AV41" i="28"/>
  <c r="AG41" i="28"/>
  <c r="U41" i="28"/>
  <c r="X41" i="28"/>
  <c r="AA41" i="28"/>
  <c r="V41" i="28"/>
  <c r="AQ41" i="28"/>
  <c r="R41" i="28"/>
  <c r="BD41" i="28"/>
  <c r="T41" i="28"/>
  <c r="BB41" i="28"/>
  <c r="AD41" i="28"/>
  <c r="AH41" i="28"/>
  <c r="AO41" i="28"/>
  <c r="W41" i="28"/>
  <c r="AY41" i="28"/>
  <c r="E62" i="28"/>
  <c r="AA26" i="25"/>
  <c r="O29" i="25"/>
  <c r="E30" i="25" s="1"/>
  <c r="AA30" i="25" s="1"/>
  <c r="G46" i="25"/>
  <c r="Q41" i="28"/>
  <c r="O41" i="28"/>
  <c r="Z41" i="28"/>
  <c r="AU41" i="28"/>
  <c r="AP41" i="28"/>
  <c r="AZ41" i="28"/>
  <c r="AK41" i="28"/>
  <c r="AM41" i="28"/>
  <c r="AI41" i="28"/>
  <c r="AJ41" i="28"/>
  <c r="AL41" i="28"/>
  <c r="AR41" i="28"/>
  <c r="AF41" i="28"/>
  <c r="L41" i="28"/>
  <c r="M41" i="28"/>
  <c r="J41" i="28"/>
  <c r="K41" i="28"/>
  <c r="BG41" i="28"/>
  <c r="BP41" i="28"/>
  <c r="BH41" i="28"/>
  <c r="BR41" i="28"/>
  <c r="BK41" i="28"/>
  <c r="BT41" i="28"/>
  <c r="BS41" i="28"/>
  <c r="BQ41" i="28"/>
  <c r="BF41" i="28"/>
  <c r="BO41" i="28"/>
  <c r="BI41" i="28"/>
  <c r="BM41" i="28"/>
  <c r="BN41" i="28"/>
  <c r="BL41" i="28"/>
  <c r="BJ41" i="28"/>
  <c r="BU41" i="28"/>
  <c r="N41" i="28"/>
  <c r="AN41" i="28"/>
  <c r="BE41" i="28"/>
  <c r="J19" i="23"/>
  <c r="AU122" i="29"/>
  <c r="K50" i="23"/>
  <c r="L50" i="23" s="1"/>
  <c r="M50" i="23" s="1"/>
  <c r="N50" i="23" s="1"/>
  <c r="P50" i="23" s="1"/>
  <c r="K54" i="23"/>
  <c r="F5" i="23"/>
  <c r="BG182" i="28"/>
  <c r="P17" i="28"/>
  <c r="O17" i="28"/>
  <c r="AA44" i="25"/>
  <c r="M15" i="25"/>
  <c r="N15" i="25" s="1"/>
  <c r="K56" i="25" s="1"/>
  <c r="I11" i="23"/>
  <c r="K46" i="23"/>
  <c r="K48" i="23"/>
  <c r="K44" i="23"/>
  <c r="K42" i="23"/>
  <c r="I116" i="29"/>
  <c r="O35" i="28"/>
  <c r="P35" i="28"/>
  <c r="BZ63" i="28"/>
  <c r="CA63" i="28" s="1"/>
  <c r="F63" i="28" s="1"/>
  <c r="BZ78" i="28"/>
  <c r="CA78" i="28" s="1"/>
  <c r="F78" i="28" s="1"/>
  <c r="BZ93" i="28"/>
  <c r="CA93" i="28" s="1"/>
  <c r="F93" i="28" s="1"/>
  <c r="Q14" i="28"/>
  <c r="BZ92" i="28"/>
  <c r="CA92" i="28" s="1"/>
  <c r="F92" i="28" s="1"/>
  <c r="BZ61" i="28"/>
  <c r="CA61" i="28" s="1"/>
  <c r="F61" i="28" s="1"/>
  <c r="I13" i="23"/>
  <c r="I7" i="23"/>
  <c r="AY122" i="29"/>
  <c r="P14" i="28"/>
  <c r="I8" i="23"/>
  <c r="C24" i="14" s="1"/>
  <c r="L69" i="29"/>
  <c r="P69" i="29"/>
  <c r="T69" i="29"/>
  <c r="X69" i="29"/>
  <c r="AB69" i="29"/>
  <c r="AF69" i="29"/>
  <c r="AJ69" i="29"/>
  <c r="AN69" i="29"/>
  <c r="AR69" i="29"/>
  <c r="AV69" i="29"/>
  <c r="AZ69" i="29"/>
  <c r="BD69" i="29"/>
  <c r="BH69" i="29"/>
  <c r="BL69" i="29"/>
  <c r="BP69" i="29"/>
  <c r="S69" i="29"/>
  <c r="BG69" i="29"/>
  <c r="M69" i="29"/>
  <c r="Q69" i="29"/>
  <c r="U69" i="29"/>
  <c r="Y69" i="29"/>
  <c r="AC69" i="29"/>
  <c r="AG69" i="29"/>
  <c r="AK69" i="29"/>
  <c r="AO69" i="29"/>
  <c r="AS69" i="29"/>
  <c r="AW69" i="29"/>
  <c r="BA69" i="29"/>
  <c r="BE69" i="29"/>
  <c r="BI69" i="29"/>
  <c r="BM69" i="29"/>
  <c r="I69" i="29"/>
  <c r="O69" i="29"/>
  <c r="AI69" i="29"/>
  <c r="AU69" i="29"/>
  <c r="BC69" i="29"/>
  <c r="BO69" i="29"/>
  <c r="J69" i="29"/>
  <c r="N69" i="29"/>
  <c r="R69" i="29"/>
  <c r="V69" i="29"/>
  <c r="Z69" i="29"/>
  <c r="AD69" i="29"/>
  <c r="AH69" i="29"/>
  <c r="AL69" i="29"/>
  <c r="AP69" i="29"/>
  <c r="AT69" i="29"/>
  <c r="AX69" i="29"/>
  <c r="BB69" i="29"/>
  <c r="BF69" i="29"/>
  <c r="BJ69" i="29"/>
  <c r="BN69" i="29"/>
  <c r="K69" i="29"/>
  <c r="W69" i="29"/>
  <c r="AA69" i="29"/>
  <c r="AE69" i="29"/>
  <c r="AM69" i="29"/>
  <c r="AQ69" i="29"/>
  <c r="AY69" i="29"/>
  <c r="BK69" i="29"/>
  <c r="BN115" i="29"/>
  <c r="BJ115" i="29"/>
  <c r="BF115" i="29"/>
  <c r="BB115" i="29"/>
  <c r="AX115" i="29"/>
  <c r="AT115" i="29"/>
  <c r="AP115" i="29"/>
  <c r="AL115" i="29"/>
  <c r="AH115" i="29"/>
  <c r="AD115" i="29"/>
  <c r="Z115" i="29"/>
  <c r="V115" i="29"/>
  <c r="R115" i="29"/>
  <c r="N115" i="29"/>
  <c r="J115" i="29"/>
  <c r="BG115" i="29"/>
  <c r="AU115" i="29"/>
  <c r="AI115" i="29"/>
  <c r="AA115" i="29"/>
  <c r="O115" i="29"/>
  <c r="BM115" i="29"/>
  <c r="BI115" i="29"/>
  <c r="BE115" i="29"/>
  <c r="BA115" i="29"/>
  <c r="AW115" i="29"/>
  <c r="AS115" i="29"/>
  <c r="AO115" i="29"/>
  <c r="AK115" i="29"/>
  <c r="AG115" i="29"/>
  <c r="AC115" i="29"/>
  <c r="Y115" i="29"/>
  <c r="U115" i="29"/>
  <c r="Q115" i="29"/>
  <c r="M115" i="29"/>
  <c r="I115" i="29"/>
  <c r="BK115" i="29"/>
  <c r="AY115" i="29"/>
  <c r="AM115" i="29"/>
  <c r="W115" i="29"/>
  <c r="BP115" i="29"/>
  <c r="BL115" i="29"/>
  <c r="BH115" i="29"/>
  <c r="BD115" i="29"/>
  <c r="AZ115" i="29"/>
  <c r="AV115" i="29"/>
  <c r="AR115" i="29"/>
  <c r="AN115" i="29"/>
  <c r="AJ115" i="29"/>
  <c r="AF115" i="29"/>
  <c r="AB115" i="29"/>
  <c r="X115" i="29"/>
  <c r="T115" i="29"/>
  <c r="P115" i="29"/>
  <c r="L115" i="29"/>
  <c r="BO115" i="29"/>
  <c r="BC115" i="29"/>
  <c r="AQ115" i="29"/>
  <c r="AE115" i="29"/>
  <c r="S115" i="29"/>
  <c r="K115" i="29"/>
  <c r="M70" i="29"/>
  <c r="R72" i="28" s="1"/>
  <c r="Q70" i="29"/>
  <c r="V72" i="28" s="1"/>
  <c r="U70" i="29"/>
  <c r="Z72" i="28" s="1"/>
  <c r="Y70" i="29"/>
  <c r="AD72" i="28" s="1"/>
  <c r="AC70" i="29"/>
  <c r="AH72" i="28" s="1"/>
  <c r="AG70" i="29"/>
  <c r="AL72" i="28" s="1"/>
  <c r="AK70" i="29"/>
  <c r="AP72" i="28" s="1"/>
  <c r="AO70" i="29"/>
  <c r="AT72" i="28" s="1"/>
  <c r="AS70" i="29"/>
  <c r="AX72" i="28" s="1"/>
  <c r="AW70" i="29"/>
  <c r="BB72" i="28" s="1"/>
  <c r="BA70" i="29"/>
  <c r="BF72" i="28" s="1"/>
  <c r="BE70" i="29"/>
  <c r="BJ72" i="28" s="1"/>
  <c r="BI70" i="29"/>
  <c r="BN72" i="28" s="1"/>
  <c r="BM70" i="29"/>
  <c r="BR72" i="28" s="1"/>
  <c r="I70" i="29"/>
  <c r="T70" i="29"/>
  <c r="Y72" i="28" s="1"/>
  <c r="AF70" i="29"/>
  <c r="AK72" i="28" s="1"/>
  <c r="AR70" i="29"/>
  <c r="AW72" i="28" s="1"/>
  <c r="BD70" i="29"/>
  <c r="BI72" i="28" s="1"/>
  <c r="BP70" i="29"/>
  <c r="BU72" i="28" s="1"/>
  <c r="J70" i="29"/>
  <c r="O72" i="28" s="1"/>
  <c r="N70" i="29"/>
  <c r="S72" i="28" s="1"/>
  <c r="R70" i="29"/>
  <c r="W72" i="28" s="1"/>
  <c r="V70" i="29"/>
  <c r="AA72" i="28" s="1"/>
  <c r="Z70" i="29"/>
  <c r="AE72" i="28" s="1"/>
  <c r="AD70" i="29"/>
  <c r="AI72" i="28" s="1"/>
  <c r="AH70" i="29"/>
  <c r="AM72" i="28" s="1"/>
  <c r="AL70" i="29"/>
  <c r="AQ72" i="28" s="1"/>
  <c r="AP70" i="29"/>
  <c r="AU72" i="28" s="1"/>
  <c r="AT70" i="29"/>
  <c r="AY72" i="28" s="1"/>
  <c r="AX70" i="29"/>
  <c r="BC72" i="28" s="1"/>
  <c r="BB70" i="29"/>
  <c r="BG72" i="28" s="1"/>
  <c r="BF70" i="29"/>
  <c r="BK72" i="28" s="1"/>
  <c r="BJ70" i="29"/>
  <c r="BO72" i="28" s="1"/>
  <c r="BN70" i="29"/>
  <c r="BS72" i="28" s="1"/>
  <c r="P70" i="29"/>
  <c r="U72" i="28" s="1"/>
  <c r="AB70" i="29"/>
  <c r="AG72" i="28" s="1"/>
  <c r="AN70" i="29"/>
  <c r="AS72" i="28" s="1"/>
  <c r="AZ70" i="29"/>
  <c r="BE72" i="28" s="1"/>
  <c r="BL70" i="29"/>
  <c r="BQ72" i="28" s="1"/>
  <c r="K70" i="29"/>
  <c r="P72" i="28" s="1"/>
  <c r="O70" i="29"/>
  <c r="T72" i="28" s="1"/>
  <c r="S70" i="29"/>
  <c r="X72" i="28" s="1"/>
  <c r="W70" i="29"/>
  <c r="AB72" i="28" s="1"/>
  <c r="AA70" i="29"/>
  <c r="AF72" i="28" s="1"/>
  <c r="AE70" i="29"/>
  <c r="AJ72" i="28" s="1"/>
  <c r="AI70" i="29"/>
  <c r="AN72" i="28" s="1"/>
  <c r="AM70" i="29"/>
  <c r="AR72" i="28" s="1"/>
  <c r="AQ70" i="29"/>
  <c r="AV72" i="28" s="1"/>
  <c r="AU70" i="29"/>
  <c r="AZ72" i="28" s="1"/>
  <c r="AY70" i="29"/>
  <c r="BD72" i="28" s="1"/>
  <c r="BC70" i="29"/>
  <c r="BH72" i="28" s="1"/>
  <c r="BG70" i="29"/>
  <c r="BL72" i="28" s="1"/>
  <c r="BK70" i="29"/>
  <c r="BP72" i="28" s="1"/>
  <c r="BO70" i="29"/>
  <c r="BT72" i="28" s="1"/>
  <c r="L70" i="29"/>
  <c r="Q72" i="28" s="1"/>
  <c r="X70" i="29"/>
  <c r="AC72" i="28" s="1"/>
  <c r="AJ70" i="29"/>
  <c r="AO72" i="28" s="1"/>
  <c r="AV70" i="29"/>
  <c r="BA72" i="28" s="1"/>
  <c r="BH70" i="29"/>
  <c r="BM72" i="28" s="1"/>
  <c r="D84" i="29"/>
  <c r="D74" i="29"/>
  <c r="D46" i="29"/>
  <c r="G26" i="25"/>
  <c r="J23" i="23"/>
  <c r="I9" i="23"/>
  <c r="C31" i="14" s="1"/>
  <c r="K56" i="23"/>
  <c r="K52" i="23"/>
  <c r="K34" i="23"/>
  <c r="K26" i="23"/>
  <c r="K18" i="23"/>
  <c r="K40" i="23"/>
  <c r="K32" i="23"/>
  <c r="K24" i="23"/>
  <c r="K16" i="23"/>
  <c r="K38" i="23"/>
  <c r="K30" i="23"/>
  <c r="K22" i="23"/>
  <c r="K36" i="23"/>
  <c r="K28" i="23"/>
  <c r="K20" i="23"/>
  <c r="O14" i="28"/>
  <c r="M40" i="28"/>
  <c r="Q40" i="28"/>
  <c r="U40" i="28"/>
  <c r="Y40" i="28"/>
  <c r="AC40" i="28"/>
  <c r="AG40" i="28"/>
  <c r="AK40" i="28"/>
  <c r="AO40" i="28"/>
  <c r="AS40" i="28"/>
  <c r="AW40" i="28"/>
  <c r="BA40" i="28"/>
  <c r="BE40" i="28"/>
  <c r="BI40" i="28"/>
  <c r="BM40" i="28"/>
  <c r="BQ40" i="28"/>
  <c r="BU40" i="28"/>
  <c r="P40" i="28"/>
  <c r="X40" i="28"/>
  <c r="AF40" i="28"/>
  <c r="AN40" i="28"/>
  <c r="AV40" i="28"/>
  <c r="BD40" i="28"/>
  <c r="BL40" i="28"/>
  <c r="BT40" i="28"/>
  <c r="J40" i="28"/>
  <c r="N40" i="28"/>
  <c r="R40" i="28"/>
  <c r="V40" i="28"/>
  <c r="Z40" i="28"/>
  <c r="AD40" i="28"/>
  <c r="AH40" i="28"/>
  <c r="AL40" i="28"/>
  <c r="AP40" i="28"/>
  <c r="AT40" i="28"/>
  <c r="AX40" i="28"/>
  <c r="BB40" i="28"/>
  <c r="BF40" i="28"/>
  <c r="BJ40" i="28"/>
  <c r="BN40" i="28"/>
  <c r="BR40" i="28"/>
  <c r="K40" i="28"/>
  <c r="O40" i="28"/>
  <c r="S40" i="28"/>
  <c r="W40" i="28"/>
  <c r="AA40" i="28"/>
  <c r="AE40" i="28"/>
  <c r="AI40" i="28"/>
  <c r="AM40" i="28"/>
  <c r="AQ40" i="28"/>
  <c r="AU40" i="28"/>
  <c r="AY40" i="28"/>
  <c r="BC40" i="28"/>
  <c r="BG40" i="28"/>
  <c r="BK40" i="28"/>
  <c r="BO40" i="28"/>
  <c r="BS40" i="28"/>
  <c r="L40" i="28"/>
  <c r="T40" i="28"/>
  <c r="AB40" i="28"/>
  <c r="AJ40" i="28"/>
  <c r="AR40" i="28"/>
  <c r="AZ40" i="28"/>
  <c r="BH40" i="28"/>
  <c r="BP40" i="28"/>
  <c r="Q10" i="28"/>
  <c r="BZ48" i="28"/>
  <c r="CA48" i="28" s="1"/>
  <c r="F48" i="28" s="1"/>
  <c r="F51" i="15"/>
  <c r="J79" i="28"/>
  <c r="AB29" i="23"/>
  <c r="O28" i="23"/>
  <c r="Q28" i="23" s="1"/>
  <c r="U28" i="23" s="1"/>
  <c r="O22" i="23"/>
  <c r="Q22" i="23" s="1"/>
  <c r="U22" i="23" s="1"/>
  <c r="O20" i="23"/>
  <c r="Q20" i="23" s="1"/>
  <c r="U20" i="23" s="1"/>
  <c r="U15" i="23" s="1"/>
  <c r="O18" i="23"/>
  <c r="Q18" i="23" s="1"/>
  <c r="U18" i="23" s="1"/>
  <c r="BZ56" i="28"/>
  <c r="CA56" i="28" s="1"/>
  <c r="F56" i="28" s="1"/>
  <c r="BZ67" i="28"/>
  <c r="CA67" i="28" s="1"/>
  <c r="F67" i="28" s="1"/>
  <c r="G64" i="25"/>
  <c r="AC64" i="25" s="1"/>
  <c r="AD64" i="25" s="1"/>
  <c r="AB53" i="23"/>
  <c r="O52" i="23"/>
  <c r="Q52" i="23" s="1"/>
  <c r="J53" i="23"/>
  <c r="I10" i="23"/>
  <c r="P182" i="28"/>
  <c r="AB41" i="23"/>
  <c r="AB39" i="23"/>
  <c r="AB37" i="23"/>
  <c r="J29" i="23"/>
  <c r="AB35" i="23"/>
  <c r="AB33" i="23"/>
  <c r="AB31" i="23"/>
  <c r="J17" i="23"/>
  <c r="AB17" i="23"/>
  <c r="Y182" i="28"/>
  <c r="H31" i="20"/>
  <c r="H34" i="20"/>
  <c r="H33" i="20"/>
  <c r="H30" i="20"/>
  <c r="B30" i="20"/>
  <c r="G30" i="20" s="1"/>
  <c r="H29" i="20"/>
  <c r="AB25" i="23"/>
  <c r="AB27" i="23"/>
  <c r="J39" i="23"/>
  <c r="AC122" i="29"/>
  <c r="BA34" i="28"/>
  <c r="AN182" i="28"/>
  <c r="P122" i="29"/>
  <c r="AI182" i="28"/>
  <c r="BK182" i="28"/>
  <c r="BF122" i="29"/>
  <c r="X182" i="28"/>
  <c r="BF182" i="28"/>
  <c r="BA122" i="29"/>
  <c r="BJ182" i="28"/>
  <c r="BE122" i="29"/>
  <c r="BH182" i="28"/>
  <c r="BC122" i="29"/>
  <c r="BA22" i="28"/>
  <c r="AQ122" i="29"/>
  <c r="R182" i="28"/>
  <c r="BB182" i="28"/>
  <c r="S182" i="28"/>
  <c r="AP122" i="29"/>
  <c r="N133" i="28"/>
  <c r="N128" i="28"/>
  <c r="Q160" i="28"/>
  <c r="R8" i="28"/>
  <c r="R17" i="28" s="1"/>
  <c r="Q11" i="28"/>
  <c r="Q186" i="28"/>
  <c r="Q184" i="28" s="1"/>
  <c r="N163" i="28"/>
  <c r="O7" i="28"/>
  <c r="J6" i="28"/>
  <c r="J5" i="28"/>
  <c r="J4" i="28"/>
  <c r="K2" i="28"/>
  <c r="K3" i="28" s="1"/>
  <c r="K158" i="28" s="1"/>
  <c r="K105" i="28" s="1"/>
  <c r="J41" i="23"/>
  <c r="H49" i="16"/>
  <c r="K48" i="16"/>
  <c r="AV16" i="28"/>
  <c r="AW16" i="28"/>
  <c r="AX16" i="28" s="1"/>
  <c r="AY16" i="28" s="1"/>
  <c r="AZ16" i="28" s="1"/>
  <c r="BB16" i="28" s="1"/>
  <c r="BC16" i="28" s="1"/>
  <c r="BD16" i="28" s="1"/>
  <c r="AY182" i="28"/>
  <c r="AD182" i="28"/>
  <c r="AR182" i="28"/>
  <c r="AQ182" i="28"/>
  <c r="AO182" i="28"/>
  <c r="AY13" i="28"/>
  <c r="AZ13" i="28" s="1"/>
  <c r="BA13" i="28" s="1"/>
  <c r="W122" i="29"/>
  <c r="AO122" i="29"/>
  <c r="AQ19" i="28"/>
  <c r="AR19" i="28" s="1"/>
  <c r="AS19" i="28" s="1"/>
  <c r="AT19" i="28" s="1"/>
  <c r="AU19" i="28" s="1"/>
  <c r="AW19" i="28" s="1"/>
  <c r="AX19" i="28" s="1"/>
  <c r="AY19" i="28" s="1"/>
  <c r="AZ19" i="28" s="1"/>
  <c r="BA19" i="28" s="1"/>
  <c r="BB19" i="28" s="1"/>
  <c r="BC19" i="28" s="1"/>
  <c r="BD19" i="28" s="1"/>
  <c r="BE19" i="28" s="1"/>
  <c r="BF19" i="28" s="1"/>
  <c r="BG19" i="28" s="1"/>
  <c r="BH19" i="28" s="1"/>
  <c r="BI19" i="28" s="1"/>
  <c r="BJ19" i="28" s="1"/>
  <c r="BK19" i="28" s="1"/>
  <c r="BL19" i="28" s="1"/>
  <c r="BM19" i="28" s="1"/>
  <c r="BN19" i="28" s="1"/>
  <c r="BO19" i="28" s="1"/>
  <c r="BP19" i="28" s="1"/>
  <c r="BQ19" i="28" s="1"/>
  <c r="BR19" i="28" s="1"/>
  <c r="BS19" i="28" s="1"/>
  <c r="BT19" i="28" s="1"/>
  <c r="BU19" i="28" s="1"/>
  <c r="BV19" i="28" s="1"/>
  <c r="BW19" i="28" s="1"/>
  <c r="BX19" i="28" s="1"/>
  <c r="AQ31" i="28"/>
  <c r="AR31" i="28" s="1"/>
  <c r="AS31" i="28" s="1"/>
  <c r="AT31" i="28" s="1"/>
  <c r="AU31" i="28" s="1"/>
  <c r="BE34" i="28"/>
  <c r="BF34" i="28" s="1"/>
  <c r="BG34" i="28" s="1"/>
  <c r="BH34" i="28" s="1"/>
  <c r="BI34" i="28" s="1"/>
  <c r="BJ34" i="28" s="1"/>
  <c r="BK34" i="28" s="1"/>
  <c r="BL34" i="28" s="1"/>
  <c r="BM34" i="28" s="1"/>
  <c r="BN34" i="28" s="1"/>
  <c r="BO34" i="28" s="1"/>
  <c r="BP34" i="28" s="1"/>
  <c r="BQ34" i="28" s="1"/>
  <c r="BR34" i="28" s="1"/>
  <c r="BS34" i="28" s="1"/>
  <c r="BT34" i="28" s="1"/>
  <c r="BU34" i="28" s="1"/>
  <c r="BV34" i="28" s="1"/>
  <c r="BW34" i="28" s="1"/>
  <c r="BX34" i="28" s="1"/>
  <c r="BE25" i="28"/>
  <c r="BF25" i="28" s="1"/>
  <c r="BG25" i="28" s="1"/>
  <c r="BH25" i="28" s="1"/>
  <c r="BI25" i="28" s="1"/>
  <c r="BJ25" i="28" s="1"/>
  <c r="BK25" i="28" s="1"/>
  <c r="BL25" i="28" s="1"/>
  <c r="BM25" i="28" s="1"/>
  <c r="BN25" i="28" s="1"/>
  <c r="BO25" i="28" s="1"/>
  <c r="BP25" i="28" s="1"/>
  <c r="BQ25" i="28" s="1"/>
  <c r="BR25" i="28" s="1"/>
  <c r="BS25" i="28" s="1"/>
  <c r="BT25" i="28" s="1"/>
  <c r="BU25" i="28" s="1"/>
  <c r="BV25" i="28" s="1"/>
  <c r="BW25" i="28" s="1"/>
  <c r="BX25" i="28" s="1"/>
  <c r="BE22" i="28"/>
  <c r="BF22" i="28" s="1"/>
  <c r="BG22" i="28" s="1"/>
  <c r="BH22" i="28" s="1"/>
  <c r="BI22" i="28" s="1"/>
  <c r="BJ22" i="28" s="1"/>
  <c r="BK22" i="28" s="1"/>
  <c r="BL22" i="28" s="1"/>
  <c r="BM22" i="28" s="1"/>
  <c r="BN22" i="28" s="1"/>
  <c r="BO22" i="28" s="1"/>
  <c r="BP22" i="28" s="1"/>
  <c r="BQ22" i="28" s="1"/>
  <c r="BR22" i="28" s="1"/>
  <c r="BS22" i="28" s="1"/>
  <c r="BT22" i="28" s="1"/>
  <c r="BU22" i="28" s="1"/>
  <c r="BV22" i="28" s="1"/>
  <c r="BW22" i="28" s="1"/>
  <c r="BX22" i="28" s="1"/>
  <c r="J37" i="23"/>
  <c r="J27" i="23"/>
  <c r="J35" i="23"/>
  <c r="J31" i="23"/>
  <c r="J33" i="23"/>
  <c r="AF122" i="29"/>
  <c r="AS122" i="29"/>
  <c r="AG122" i="29"/>
  <c r="AZ122" i="29"/>
  <c r="H5" i="23"/>
  <c r="G23" i="15"/>
  <c r="G37" i="15" s="1"/>
  <c r="N7" i="19"/>
  <c r="O7" i="19" s="1"/>
  <c r="P7" i="19" s="1"/>
  <c r="Q7" i="19" s="1"/>
  <c r="R7" i="19" s="1"/>
  <c r="S7" i="19" s="1"/>
  <c r="T7" i="19" s="1"/>
  <c r="U7" i="19" s="1"/>
  <c r="V7" i="19" s="1"/>
  <c r="W7" i="19" s="1"/>
  <c r="X7" i="19" s="1"/>
  <c r="Y7" i="19" s="1"/>
  <c r="Z7" i="19" s="1"/>
  <c r="AA7" i="19" s="1"/>
  <c r="AB7" i="19" s="1"/>
  <c r="AC7" i="19" s="1"/>
  <c r="AD7" i="19" s="1"/>
  <c r="AE7" i="19" s="1"/>
  <c r="AF7" i="19" s="1"/>
  <c r="AG7" i="19" s="1"/>
  <c r="AH7" i="19" s="1"/>
  <c r="AI7" i="19" s="1"/>
  <c r="AJ7" i="19" s="1"/>
  <c r="AK7" i="19" s="1"/>
  <c r="AL7" i="19" s="1"/>
  <c r="AM7" i="19" s="1"/>
  <c r="AN7" i="19" s="1"/>
  <c r="AO7" i="19" s="1"/>
  <c r="AP7" i="19" s="1"/>
  <c r="AQ7" i="19" s="1"/>
  <c r="AR7" i="19" s="1"/>
  <c r="AS7" i="19" s="1"/>
  <c r="AT7" i="19" s="1"/>
  <c r="AU7" i="19" s="1"/>
  <c r="AV7" i="19" s="1"/>
  <c r="AW7" i="19" s="1"/>
  <c r="AX7" i="19" s="1"/>
  <c r="AY7" i="19" s="1"/>
  <c r="AZ7" i="19" s="1"/>
  <c r="BA7" i="19" s="1"/>
  <c r="BB7" i="19" s="1"/>
  <c r="BC7" i="19" s="1"/>
  <c r="BD7" i="19" s="1"/>
  <c r="BE7" i="19" s="1"/>
  <c r="BF7" i="19" s="1"/>
  <c r="BG7" i="19" s="1"/>
  <c r="BH7" i="19" s="1"/>
  <c r="BI7" i="19" s="1"/>
  <c r="BJ7" i="19" s="1"/>
  <c r="BK7" i="19" s="1"/>
  <c r="BL7" i="19" s="1"/>
  <c r="BM7" i="19" s="1"/>
  <c r="BN7" i="19" s="1"/>
  <c r="BO7" i="19" s="1"/>
  <c r="BP7" i="19" s="1"/>
  <c r="BQ7" i="19" s="1"/>
  <c r="BR7" i="19" s="1"/>
  <c r="BS7" i="19" s="1"/>
  <c r="BT7" i="19" s="1"/>
  <c r="BE182" i="28"/>
  <c r="J25" i="23"/>
  <c r="J21" i="23"/>
  <c r="D35" i="29"/>
  <c r="AG182" i="28"/>
  <c r="AB122" i="29"/>
  <c r="W182" i="28"/>
  <c r="R122" i="29"/>
  <c r="Z182" i="28"/>
  <c r="U122" i="29"/>
  <c r="AP182" i="28"/>
  <c r="AK122" i="29"/>
  <c r="AE182" i="28"/>
  <c r="Z122" i="29"/>
  <c r="Q182" i="28"/>
  <c r="L122" i="29"/>
  <c r="AJ182" i="28"/>
  <c r="AE122" i="29"/>
  <c r="AS182" i="28"/>
  <c r="AN122" i="29"/>
  <c r="BC182" i="28"/>
  <c r="AX122" i="29"/>
  <c r="T182" i="28"/>
  <c r="O122" i="29"/>
  <c r="AF182" i="28"/>
  <c r="AA122" i="29"/>
  <c r="O119" i="28"/>
  <c r="N200" i="28"/>
  <c r="O199" i="28"/>
  <c r="P198" i="28"/>
  <c r="N199" i="28"/>
  <c r="O198" i="28"/>
  <c r="P197" i="28"/>
  <c r="P200" i="28"/>
  <c r="O197" i="28"/>
  <c r="O200" i="28"/>
  <c r="N197" i="28"/>
  <c r="P196" i="28"/>
  <c r="P195" i="28"/>
  <c r="O196" i="28"/>
  <c r="O195" i="28"/>
  <c r="P199" i="28"/>
  <c r="N198" i="28"/>
  <c r="N196" i="28"/>
  <c r="L16" i="25"/>
  <c r="N16" i="25" s="1"/>
  <c r="BA182" i="28"/>
  <c r="AV122" i="29"/>
  <c r="I123" i="29"/>
  <c r="I127" i="29" s="1"/>
  <c r="AC182" i="28"/>
  <c r="X122" i="29"/>
  <c r="AM182" i="28"/>
  <c r="AH122" i="29"/>
  <c r="V182" i="28"/>
  <c r="Q122" i="29"/>
  <c r="P119" i="28"/>
  <c r="AW182" i="28"/>
  <c r="AR122" i="29"/>
  <c r="AA182" i="28"/>
  <c r="V122" i="29"/>
  <c r="N183" i="28"/>
  <c r="O182" i="28"/>
  <c r="J122" i="29"/>
  <c r="AC46" i="25"/>
  <c r="AD46" i="25" s="1"/>
  <c r="U26" i="25"/>
  <c r="AC24" i="25"/>
  <c r="U27" i="25" s="1"/>
  <c r="S27" i="25"/>
  <c r="P8" i="10"/>
  <c r="N18" i="10" s="1"/>
  <c r="C112" i="25"/>
  <c r="I119" i="29" l="1"/>
  <c r="BG62" i="28"/>
  <c r="BV62" i="28"/>
  <c r="BW62" i="28"/>
  <c r="BX62" i="28"/>
  <c r="BQ69" i="29"/>
  <c r="BQ70" i="29"/>
  <c r="BV72" i="28" s="1"/>
  <c r="O215" i="28"/>
  <c r="R216" i="28"/>
  <c r="O217" i="28"/>
  <c r="L218" i="28"/>
  <c r="R220" i="28"/>
  <c r="P215" i="28"/>
  <c r="P217" i="28"/>
  <c r="M218" i="28"/>
  <c r="Q217" i="28"/>
  <c r="N218" i="28"/>
  <c r="K219" i="28"/>
  <c r="R217" i="28"/>
  <c r="O218" i="28"/>
  <c r="L219" i="28"/>
  <c r="P218" i="28"/>
  <c r="M219" i="28"/>
  <c r="K216" i="28"/>
  <c r="Q218" i="28"/>
  <c r="N219" i="28"/>
  <c r="K220" i="28"/>
  <c r="L216" i="28"/>
  <c r="R218" i="28"/>
  <c r="O219" i="28"/>
  <c r="L220" i="28"/>
  <c r="M216" i="28"/>
  <c r="P219" i="28"/>
  <c r="M220" i="28"/>
  <c r="K215" i="28"/>
  <c r="N216" i="28"/>
  <c r="K217" i="28"/>
  <c r="Q219" i="28"/>
  <c r="N220" i="28"/>
  <c r="L215" i="28"/>
  <c r="O216" i="28"/>
  <c r="L217" i="28"/>
  <c r="R219" i="28"/>
  <c r="O220" i="28"/>
  <c r="M215" i="28"/>
  <c r="P216" i="28"/>
  <c r="M217" i="28"/>
  <c r="P220" i="28"/>
  <c r="K218" i="28"/>
  <c r="N215" i="28"/>
  <c r="Q216" i="28"/>
  <c r="Q220" i="28"/>
  <c r="N217" i="28"/>
  <c r="O206" i="28"/>
  <c r="Q208" i="28"/>
  <c r="N209" i="28"/>
  <c r="N206" i="28"/>
  <c r="K205" i="28"/>
  <c r="P206" i="28"/>
  <c r="O209" i="28"/>
  <c r="M209" i="28"/>
  <c r="L205" i="28"/>
  <c r="Q206" i="28"/>
  <c r="P209" i="28"/>
  <c r="M205" i="28"/>
  <c r="Q209" i="28"/>
  <c r="K210" i="28"/>
  <c r="N205" i="28"/>
  <c r="L210" i="28"/>
  <c r="P208" i="28"/>
  <c r="O205" i="28"/>
  <c r="K207" i="28"/>
  <c r="M210" i="28"/>
  <c r="P205" i="28"/>
  <c r="L207" i="28"/>
  <c r="K208" i="28"/>
  <c r="N210" i="28"/>
  <c r="Q207" i="28"/>
  <c r="M207" i="28"/>
  <c r="L208" i="28"/>
  <c r="O210" i="28"/>
  <c r="K206" i="28"/>
  <c r="N207" i="28"/>
  <c r="M208" i="28"/>
  <c r="P210" i="28"/>
  <c r="L206" i="28"/>
  <c r="O207" i="28"/>
  <c r="N208" i="28"/>
  <c r="K209" i="28"/>
  <c r="Q210" i="28"/>
  <c r="M206" i="28"/>
  <c r="P207" i="28"/>
  <c r="O208" i="28"/>
  <c r="L209" i="28"/>
  <c r="R14" i="28"/>
  <c r="R9" i="28"/>
  <c r="R10" i="28"/>
  <c r="R35" i="28" s="1"/>
  <c r="I47" i="29"/>
  <c r="J117" i="29"/>
  <c r="J47" i="29" s="1"/>
  <c r="U62" i="28"/>
  <c r="BE62" i="28"/>
  <c r="AK29" i="25"/>
  <c r="AL29" i="25" s="1"/>
  <c r="S62" i="28"/>
  <c r="V62" i="28"/>
  <c r="AZ62" i="28"/>
  <c r="AP62" i="28"/>
  <c r="BC62" i="28"/>
  <c r="AN62" i="28"/>
  <c r="BU62" i="28"/>
  <c r="AQ62" i="28"/>
  <c r="AG62" i="28"/>
  <c r="BB62" i="28"/>
  <c r="O62" i="28"/>
  <c r="AK62" i="28"/>
  <c r="L62" i="28"/>
  <c r="AF62" i="28"/>
  <c r="R62" i="28"/>
  <c r="BF62" i="28"/>
  <c r="BL62" i="28"/>
  <c r="BN62" i="28"/>
  <c r="AY62" i="28"/>
  <c r="AE62" i="28"/>
  <c r="BD62" i="28"/>
  <c r="AS62" i="28"/>
  <c r="AD62" i="28"/>
  <c r="T62" i="28"/>
  <c r="AM62" i="28"/>
  <c r="M62" i="28"/>
  <c r="AW62" i="28"/>
  <c r="AH62" i="28"/>
  <c r="BP62" i="28"/>
  <c r="BR62" i="28"/>
  <c r="BI62" i="28"/>
  <c r="BK62" i="28"/>
  <c r="AB62" i="28"/>
  <c r="K62" i="28"/>
  <c r="P62" i="28"/>
  <c r="Y62" i="28"/>
  <c r="J62" i="28"/>
  <c r="AT62" i="28"/>
  <c r="BM62" i="28"/>
  <c r="BO62" i="28"/>
  <c r="AI62" i="28"/>
  <c r="AA62" i="28"/>
  <c r="AU62" i="28"/>
  <c r="AV62" i="28"/>
  <c r="AC62" i="28"/>
  <c r="BA62" i="28"/>
  <c r="Z62" i="28"/>
  <c r="AX62" i="28"/>
  <c r="BT62" i="28"/>
  <c r="BJ62" i="28"/>
  <c r="BS62" i="28"/>
  <c r="AR62" i="28"/>
  <c r="AJ62" i="28"/>
  <c r="W62" i="28"/>
  <c r="X62" i="28"/>
  <c r="Q62" i="28"/>
  <c r="AO62" i="28"/>
  <c r="N62" i="28"/>
  <c r="AL62" i="28"/>
  <c r="BH62" i="28"/>
  <c r="BQ62" i="28"/>
  <c r="J116" i="29"/>
  <c r="K51" i="23"/>
  <c r="K55" i="23"/>
  <c r="L54" i="23"/>
  <c r="M54" i="23" s="1"/>
  <c r="N54" i="23" s="1"/>
  <c r="P54" i="23" s="1"/>
  <c r="G44" i="25"/>
  <c r="E60" i="28"/>
  <c r="O133" i="28"/>
  <c r="O12" i="23"/>
  <c r="D12" i="23" s="1"/>
  <c r="O11" i="23"/>
  <c r="D11" i="23" s="1"/>
  <c r="O9" i="23"/>
  <c r="D9" i="23" s="1"/>
  <c r="O8" i="23"/>
  <c r="D8" i="23" s="1"/>
  <c r="O10" i="23"/>
  <c r="D10" i="23" s="1"/>
  <c r="O13" i="23"/>
  <c r="D13" i="23" s="1"/>
  <c r="O7" i="23"/>
  <c r="O15" i="23"/>
  <c r="D15" i="23" s="1"/>
  <c r="L16" i="23"/>
  <c r="O14" i="23"/>
  <c r="D14" i="23" s="1"/>
  <c r="K43" i="23"/>
  <c r="L42" i="23"/>
  <c r="M42" i="23" s="1"/>
  <c r="N42" i="23" s="1"/>
  <c r="P42" i="23" s="1"/>
  <c r="K45" i="23"/>
  <c r="L44" i="23"/>
  <c r="M44" i="23" s="1"/>
  <c r="N44" i="23" s="1"/>
  <c r="P44" i="23" s="1"/>
  <c r="K49" i="23"/>
  <c r="L48" i="23"/>
  <c r="M48" i="23" s="1"/>
  <c r="N48" i="23" s="1"/>
  <c r="P48" i="23" s="1"/>
  <c r="K47" i="23"/>
  <c r="L46" i="23"/>
  <c r="M46" i="23" s="1"/>
  <c r="N46" i="23" s="1"/>
  <c r="P46" i="23" s="1"/>
  <c r="Q197" i="28"/>
  <c r="Q35" i="28"/>
  <c r="Q196" i="28"/>
  <c r="Q200" i="28"/>
  <c r="Q119" i="28"/>
  <c r="Q198" i="28"/>
  <c r="Q199" i="28"/>
  <c r="B31" i="20"/>
  <c r="B32" i="20" s="1"/>
  <c r="C32" i="20" s="1"/>
  <c r="E32" i="20" s="1"/>
  <c r="C30" i="20"/>
  <c r="E30" i="20" s="1"/>
  <c r="E46" i="28"/>
  <c r="F30" i="25"/>
  <c r="K27" i="23"/>
  <c r="L26" i="23"/>
  <c r="M26" i="23" s="1"/>
  <c r="N26" i="23" s="1"/>
  <c r="K29" i="23"/>
  <c r="L28" i="23"/>
  <c r="M28" i="23" s="1"/>
  <c r="N28" i="23" s="1"/>
  <c r="K23" i="23"/>
  <c r="L22" i="23"/>
  <c r="M22" i="23" s="1"/>
  <c r="N22" i="23" s="1"/>
  <c r="K17" i="23"/>
  <c r="K25" i="23"/>
  <c r="L24" i="23"/>
  <c r="M24" i="23" s="1"/>
  <c r="N24" i="23" s="1"/>
  <c r="K35" i="23"/>
  <c r="L34" i="23"/>
  <c r="M34" i="23" s="1"/>
  <c r="N34" i="23" s="1"/>
  <c r="K37" i="23"/>
  <c r="L36" i="23"/>
  <c r="M36" i="23" s="1"/>
  <c r="N36" i="23" s="1"/>
  <c r="P36" i="23" s="1"/>
  <c r="K31" i="23"/>
  <c r="L30" i="23"/>
  <c r="M30" i="23" s="1"/>
  <c r="N30" i="23" s="1"/>
  <c r="K19" i="23"/>
  <c r="L18" i="23"/>
  <c r="M18" i="23" s="1"/>
  <c r="N18" i="23" s="1"/>
  <c r="K33" i="23"/>
  <c r="L32" i="23"/>
  <c r="M32" i="23" s="1"/>
  <c r="N32" i="23" s="1"/>
  <c r="K53" i="23"/>
  <c r="L52" i="23"/>
  <c r="M52" i="23" s="1"/>
  <c r="N52" i="23" s="1"/>
  <c r="P52" i="23" s="1"/>
  <c r="K39" i="23"/>
  <c r="L38" i="23"/>
  <c r="M38" i="23" s="1"/>
  <c r="N38" i="23" s="1"/>
  <c r="K21" i="23"/>
  <c r="L20" i="23"/>
  <c r="M20" i="23" s="1"/>
  <c r="N20" i="23" s="1"/>
  <c r="K41" i="23"/>
  <c r="L40" i="23"/>
  <c r="M40" i="23" s="1"/>
  <c r="N40" i="23" s="1"/>
  <c r="P40" i="23" s="1"/>
  <c r="K57" i="23"/>
  <c r="L56" i="23"/>
  <c r="M56" i="23" s="1"/>
  <c r="N56" i="23" s="1"/>
  <c r="P56" i="23" s="1"/>
  <c r="C38" i="14"/>
  <c r="F53" i="15"/>
  <c r="C17" i="14"/>
  <c r="O128" i="28"/>
  <c r="E71" i="28"/>
  <c r="AC56" i="25"/>
  <c r="AD56" i="25" s="1"/>
  <c r="P184" i="28"/>
  <c r="P128" i="28"/>
  <c r="P133" i="28"/>
  <c r="K49" i="16"/>
  <c r="H50" i="16"/>
  <c r="L2" i="28"/>
  <c r="L3" i="28" s="1"/>
  <c r="K6" i="28"/>
  <c r="K5" i="28"/>
  <c r="K4" i="28"/>
  <c r="O163" i="28"/>
  <c r="P7" i="28"/>
  <c r="O161" i="28"/>
  <c r="O162" i="28" s="1"/>
  <c r="R160" i="28"/>
  <c r="R11" i="28"/>
  <c r="S8" i="28"/>
  <c r="R186" i="28"/>
  <c r="BA16" i="28"/>
  <c r="Q128" i="28"/>
  <c r="BB13" i="28"/>
  <c r="BC13" i="28" s="1"/>
  <c r="BD13" i="28" s="1"/>
  <c r="BE13" i="28" s="1"/>
  <c r="BF13" i="28" s="1"/>
  <c r="BG13" i="28" s="1"/>
  <c r="BH13" i="28" s="1"/>
  <c r="BI13" i="28" s="1"/>
  <c r="BJ13" i="28" s="1"/>
  <c r="BK13" i="28" s="1"/>
  <c r="BL13" i="28" s="1"/>
  <c r="BM13" i="28" s="1"/>
  <c r="BN13" i="28" s="1"/>
  <c r="BO13" i="28" s="1"/>
  <c r="BP13" i="28" s="1"/>
  <c r="BQ13" i="28" s="1"/>
  <c r="BR13" i="28" s="1"/>
  <c r="BS13" i="28" s="1"/>
  <c r="BT13" i="28" s="1"/>
  <c r="BU13" i="28" s="1"/>
  <c r="BV13" i="28" s="1"/>
  <c r="BW13" i="28" s="1"/>
  <c r="BX13" i="28" s="1"/>
  <c r="AV19" i="28"/>
  <c r="AW31" i="28"/>
  <c r="AX31" i="28" s="1"/>
  <c r="AY31" i="28" s="1"/>
  <c r="AZ31" i="28" s="1"/>
  <c r="AV31" i="28"/>
  <c r="BE16" i="28"/>
  <c r="BF16" i="28" s="1"/>
  <c r="BG16" i="28" s="1"/>
  <c r="BH16" i="28" s="1"/>
  <c r="BI16" i="28" s="1"/>
  <c r="BJ16" i="28" s="1"/>
  <c r="BK16" i="28" s="1"/>
  <c r="BL16" i="28" s="1"/>
  <c r="BM16" i="28" s="1"/>
  <c r="BN16" i="28" s="1"/>
  <c r="BO16" i="28" s="1"/>
  <c r="BP16" i="28" s="1"/>
  <c r="BQ16" i="28" s="1"/>
  <c r="BR16" i="28" s="1"/>
  <c r="BS16" i="28" s="1"/>
  <c r="BT16" i="28" s="1"/>
  <c r="BU16" i="28" s="1"/>
  <c r="BV16" i="28" s="1"/>
  <c r="BW16" i="28" s="1"/>
  <c r="BX16" i="28" s="1"/>
  <c r="V27" i="25"/>
  <c r="O183" i="28"/>
  <c r="P183" i="28" s="1"/>
  <c r="Q183" i="28" s="1"/>
  <c r="R183" i="28" s="1"/>
  <c r="S183" i="28" s="1"/>
  <c r="T183" i="28" s="1"/>
  <c r="U183" i="28" s="1"/>
  <c r="V183" i="28" s="1"/>
  <c r="W183" i="28" s="1"/>
  <c r="X183" i="28" s="1"/>
  <c r="Y183" i="28" s="1"/>
  <c r="Z183" i="28" s="1"/>
  <c r="AA183" i="28" s="1"/>
  <c r="AB183" i="28" s="1"/>
  <c r="AC183" i="28" s="1"/>
  <c r="AD183" i="28" s="1"/>
  <c r="AE183" i="28" s="1"/>
  <c r="AF183" i="28" s="1"/>
  <c r="AG183" i="28" s="1"/>
  <c r="AH183" i="28" s="1"/>
  <c r="AI183" i="28" s="1"/>
  <c r="AJ183" i="28" s="1"/>
  <c r="AK183" i="28" s="1"/>
  <c r="AL183" i="28" s="1"/>
  <c r="AM183" i="28" s="1"/>
  <c r="AN183" i="28" s="1"/>
  <c r="AO183" i="28" s="1"/>
  <c r="AP183" i="28" s="1"/>
  <c r="AQ183" i="28" s="1"/>
  <c r="AR183" i="28" s="1"/>
  <c r="AS183" i="28" s="1"/>
  <c r="AT183" i="28" s="1"/>
  <c r="AU183" i="28" s="1"/>
  <c r="AV183" i="28" s="1"/>
  <c r="AW183" i="28" s="1"/>
  <c r="AX183" i="28" s="1"/>
  <c r="AY183" i="28" s="1"/>
  <c r="AZ183" i="28" s="1"/>
  <c r="BA183" i="28" s="1"/>
  <c r="BB183" i="28" s="1"/>
  <c r="BC183" i="28" s="1"/>
  <c r="BD183" i="28" s="1"/>
  <c r="D70" i="29"/>
  <c r="N72" i="28"/>
  <c r="D122" i="29"/>
  <c r="J123" i="29"/>
  <c r="J127" i="29" s="1"/>
  <c r="J129" i="29" s="1"/>
  <c r="I39" i="29"/>
  <c r="K124" i="29"/>
  <c r="D69" i="29"/>
  <c r="AC26" i="25"/>
  <c r="AD24" i="25"/>
  <c r="AC44" i="25"/>
  <c r="AD44" i="25" s="1"/>
  <c r="V26" i="25"/>
  <c r="BN60" i="28" l="1"/>
  <c r="BW60" i="28"/>
  <c r="BX60" i="28"/>
  <c r="BV60" i="28"/>
  <c r="I50" i="29"/>
  <c r="BW71" i="28"/>
  <c r="BX71" i="28"/>
  <c r="BV71" i="28"/>
  <c r="P185" i="28"/>
  <c r="Q185" i="28" s="1"/>
  <c r="BV46" i="28"/>
  <c r="BW46" i="28"/>
  <c r="BX46" i="28"/>
  <c r="K116" i="29"/>
  <c r="R207" i="28"/>
  <c r="R206" i="28"/>
  <c r="R209" i="28"/>
  <c r="R208" i="28"/>
  <c r="R210" i="28"/>
  <c r="S14" i="28"/>
  <c r="S209" i="28" s="1"/>
  <c r="S9" i="28"/>
  <c r="S10" i="28"/>
  <c r="S35" i="28" s="1"/>
  <c r="S17" i="28"/>
  <c r="N124" i="29"/>
  <c r="M124" i="29"/>
  <c r="K117" i="29"/>
  <c r="BZ62" i="28"/>
  <c r="CA62" i="28" s="1"/>
  <c r="F62" i="28" s="1"/>
  <c r="I87" i="29"/>
  <c r="E19" i="25"/>
  <c r="E11" i="25"/>
  <c r="D7" i="23"/>
  <c r="E16" i="25"/>
  <c r="E39" i="9" s="1"/>
  <c r="J87" i="29"/>
  <c r="Q20" i="28"/>
  <c r="AP60" i="28"/>
  <c r="AD60" i="28"/>
  <c r="AX60" i="28"/>
  <c r="Q60" i="28"/>
  <c r="L60" i="28"/>
  <c r="S60" i="28"/>
  <c r="BS60" i="28"/>
  <c r="N60" i="28"/>
  <c r="BF60" i="28"/>
  <c r="AQ60" i="28"/>
  <c r="AH60" i="28"/>
  <c r="AG60" i="28"/>
  <c r="T60" i="28"/>
  <c r="AI60" i="28"/>
  <c r="J60" i="28"/>
  <c r="K60" i="28"/>
  <c r="AJ60" i="28"/>
  <c r="BT60" i="28"/>
  <c r="BL60" i="28"/>
  <c r="BG60" i="28"/>
  <c r="AU60" i="28"/>
  <c r="BH60" i="28"/>
  <c r="BK60" i="28"/>
  <c r="M60" i="28"/>
  <c r="AO60" i="28"/>
  <c r="W60" i="28"/>
  <c r="AV60" i="28"/>
  <c r="AK60" i="28"/>
  <c r="AC60" i="28"/>
  <c r="AT60" i="28"/>
  <c r="AW60" i="28"/>
  <c r="AA60" i="28"/>
  <c r="AY60" i="28"/>
  <c r="AB60" i="28"/>
  <c r="AZ60" i="28"/>
  <c r="BI60" i="28"/>
  <c r="BQ60" i="28"/>
  <c r="AR60" i="28"/>
  <c r="U60" i="28"/>
  <c r="AL60" i="28"/>
  <c r="X60" i="28"/>
  <c r="BA60" i="28"/>
  <c r="AS60" i="28"/>
  <c r="BB60" i="28"/>
  <c r="BE60" i="28"/>
  <c r="AE60" i="28"/>
  <c r="BC60" i="28"/>
  <c r="AF60" i="28"/>
  <c r="BD60" i="28"/>
  <c r="BR60" i="28"/>
  <c r="BP60" i="28"/>
  <c r="BO60" i="28"/>
  <c r="R60" i="28"/>
  <c r="Z60" i="28"/>
  <c r="V60" i="28"/>
  <c r="Y60" i="28"/>
  <c r="O60" i="28"/>
  <c r="AM60" i="28"/>
  <c r="P60" i="28"/>
  <c r="AN60" i="28"/>
  <c r="BM60" i="28"/>
  <c r="BJ60" i="28"/>
  <c r="BU60" i="28"/>
  <c r="J119" i="29"/>
  <c r="E220" i="28"/>
  <c r="E219" i="28"/>
  <c r="P20" i="28"/>
  <c r="N20" i="28"/>
  <c r="S20" i="28"/>
  <c r="O20" i="28"/>
  <c r="R20" i="28"/>
  <c r="E250" i="28"/>
  <c r="E244" i="28"/>
  <c r="E249" i="28"/>
  <c r="E248" i="28"/>
  <c r="E251" i="28"/>
  <c r="E245" i="28"/>
  <c r="E247" i="28"/>
  <c r="E246" i="28"/>
  <c r="K12" i="23"/>
  <c r="L12" i="23"/>
  <c r="K8" i="23"/>
  <c r="K13" i="23"/>
  <c r="K14" i="23"/>
  <c r="K10" i="23"/>
  <c r="K9" i="23"/>
  <c r="K7" i="23"/>
  <c r="K11" i="23"/>
  <c r="K15" i="23"/>
  <c r="L7" i="23"/>
  <c r="L15" i="23"/>
  <c r="L11" i="23"/>
  <c r="L8" i="23"/>
  <c r="L10" i="23"/>
  <c r="L13" i="23"/>
  <c r="L9" i="23"/>
  <c r="L14" i="23"/>
  <c r="E211" i="28"/>
  <c r="E207" i="28"/>
  <c r="E205" i="28"/>
  <c r="E208" i="28"/>
  <c r="E210" i="28"/>
  <c r="E206" i="28"/>
  <c r="E209" i="28"/>
  <c r="E204" i="28"/>
  <c r="BI46" i="28"/>
  <c r="BT71" i="28"/>
  <c r="B33" i="20"/>
  <c r="G33" i="20" s="1"/>
  <c r="N189" i="28"/>
  <c r="B34" i="20"/>
  <c r="R119" i="28"/>
  <c r="R128" i="28"/>
  <c r="R133" i="28"/>
  <c r="P38" i="23"/>
  <c r="G30" i="25"/>
  <c r="AC30" i="25" s="1"/>
  <c r="BL46" i="28"/>
  <c r="AE46" i="28"/>
  <c r="BN46" i="28"/>
  <c r="BQ46" i="28"/>
  <c r="AS46" i="28"/>
  <c r="AJ46" i="28"/>
  <c r="AH46" i="28"/>
  <c r="BP46" i="28"/>
  <c r="AK46" i="28"/>
  <c r="AD46" i="28"/>
  <c r="AF46" i="28"/>
  <c r="AB46" i="28"/>
  <c r="AQ46" i="28"/>
  <c r="Y46" i="28"/>
  <c r="BD46" i="28"/>
  <c r="BO46" i="28"/>
  <c r="BU46" i="28"/>
  <c r="T46" i="28"/>
  <c r="AW46" i="28"/>
  <c r="O46" i="28"/>
  <c r="AC46" i="28"/>
  <c r="V46" i="28"/>
  <c r="AM46" i="28"/>
  <c r="BR46" i="28"/>
  <c r="BA46" i="28"/>
  <c r="S46" i="28"/>
  <c r="AV46" i="28"/>
  <c r="AL46" i="28"/>
  <c r="L46" i="28"/>
  <c r="W46" i="28"/>
  <c r="R46" i="28"/>
  <c r="E12" i="25"/>
  <c r="BF46" i="28"/>
  <c r="BG46" i="28"/>
  <c r="BH46" i="28"/>
  <c r="U46" i="28"/>
  <c r="AY46" i="28"/>
  <c r="J46" i="28"/>
  <c r="AG46" i="28"/>
  <c r="P46" i="28"/>
  <c r="N46" i="28"/>
  <c r="AP46" i="28"/>
  <c r="M46" i="28"/>
  <c r="AA46" i="28"/>
  <c r="BE46" i="28"/>
  <c r="BC46" i="28"/>
  <c r="AO46" i="28"/>
  <c r="X46" i="28"/>
  <c r="BS46" i="28"/>
  <c r="BM46" i="28"/>
  <c r="BJ46" i="28"/>
  <c r="BK46" i="28"/>
  <c r="AZ46" i="28"/>
  <c r="AI46" i="28"/>
  <c r="BB46" i="28"/>
  <c r="Q46" i="28"/>
  <c r="AU46" i="28"/>
  <c r="AX46" i="28"/>
  <c r="BT46" i="28"/>
  <c r="AR46" i="28"/>
  <c r="K46" i="28"/>
  <c r="AN46" i="28"/>
  <c r="Z46" i="28"/>
  <c r="AT46" i="28"/>
  <c r="BZ72" i="28"/>
  <c r="CA72" i="28" s="1"/>
  <c r="F72" i="28" s="1"/>
  <c r="M16" i="23"/>
  <c r="M12" i="23" s="1"/>
  <c r="C69" i="14"/>
  <c r="E38" i="14"/>
  <c r="E40" i="14" s="1"/>
  <c r="I5" i="23"/>
  <c r="W7" i="23" s="1"/>
  <c r="C16" i="14" s="1"/>
  <c r="F50" i="15"/>
  <c r="F56" i="15" s="1"/>
  <c r="N71" i="28"/>
  <c r="BL71" i="28"/>
  <c r="AO71" i="28"/>
  <c r="BR71" i="28"/>
  <c r="BJ71" i="28"/>
  <c r="U71" i="28"/>
  <c r="BK71" i="28"/>
  <c r="AE71" i="28"/>
  <c r="BM71" i="28"/>
  <c r="AU71" i="28"/>
  <c r="BE71" i="28"/>
  <c r="BG71" i="28"/>
  <c r="BA71" i="28"/>
  <c r="O71" i="28"/>
  <c r="AZ71" i="28"/>
  <c r="AA71" i="28"/>
  <c r="P71" i="28"/>
  <c r="Z71" i="28"/>
  <c r="AB71" i="28"/>
  <c r="AL71" i="28"/>
  <c r="K71" i="28"/>
  <c r="J71" i="28"/>
  <c r="L71" i="28"/>
  <c r="M71" i="28"/>
  <c r="AP71" i="28"/>
  <c r="Y71" i="28"/>
  <c r="BH71" i="28"/>
  <c r="AQ71" i="28"/>
  <c r="V71" i="28"/>
  <c r="AR71" i="28"/>
  <c r="BS71" i="28"/>
  <c r="AM71" i="28"/>
  <c r="R71" i="28"/>
  <c r="AN71" i="28"/>
  <c r="BQ71" i="28"/>
  <c r="S71" i="28"/>
  <c r="AC71" i="28"/>
  <c r="BU71" i="28"/>
  <c r="W71" i="28"/>
  <c r="AW71" i="28"/>
  <c r="AV71" i="28"/>
  <c r="BN71" i="28"/>
  <c r="AT71" i="28"/>
  <c r="BD71" i="28"/>
  <c r="X71" i="28"/>
  <c r="BI71" i="28"/>
  <c r="BB71" i="28"/>
  <c r="AK71" i="28"/>
  <c r="T71" i="28"/>
  <c r="BF71" i="28"/>
  <c r="AX71" i="28"/>
  <c r="AG71" i="28"/>
  <c r="BP71" i="28"/>
  <c r="AY71" i="28"/>
  <c r="AD71" i="28"/>
  <c r="AF71" i="28"/>
  <c r="BC71" i="28"/>
  <c r="AH71" i="28"/>
  <c r="Q71" i="28"/>
  <c r="BO71" i="28"/>
  <c r="AI71" i="28"/>
  <c r="AS71" i="28"/>
  <c r="AJ71" i="28"/>
  <c r="R184" i="28"/>
  <c r="H51" i="16"/>
  <c r="K50" i="16"/>
  <c r="P163" i="28"/>
  <c r="Q7" i="28"/>
  <c r="P161" i="28"/>
  <c r="P162" i="28" s="1"/>
  <c r="S160" i="28"/>
  <c r="S11" i="28"/>
  <c r="T8" i="28"/>
  <c r="T20" i="28" s="1"/>
  <c r="S186" i="28"/>
  <c r="S184" i="28" s="1"/>
  <c r="R199" i="28"/>
  <c r="R196" i="28"/>
  <c r="R200" i="28"/>
  <c r="R198" i="28"/>
  <c r="R197" i="28"/>
  <c r="M2" i="28"/>
  <c r="M3" i="28" s="1"/>
  <c r="L6" i="28"/>
  <c r="L5" i="28"/>
  <c r="L4" i="28"/>
  <c r="BA31" i="28"/>
  <c r="BB31" i="28"/>
  <c r="BC31" i="28" s="1"/>
  <c r="BD31" i="28" s="1"/>
  <c r="O124" i="29"/>
  <c r="I130" i="29"/>
  <c r="J128" i="29" s="1"/>
  <c r="N54" i="28"/>
  <c r="K123" i="29"/>
  <c r="K127" i="29" s="1"/>
  <c r="K129" i="29" s="1"/>
  <c r="K125" i="29"/>
  <c r="L125" i="29" s="1"/>
  <c r="BV183" i="28"/>
  <c r="BE183" i="28"/>
  <c r="AD26" i="25"/>
  <c r="R185" i="28" l="1"/>
  <c r="K251" i="28"/>
  <c r="L251" i="28"/>
  <c r="M251" i="28"/>
  <c r="N251" i="28"/>
  <c r="O251" i="28"/>
  <c r="K211" i="28"/>
  <c r="L211" i="28"/>
  <c r="M211" i="28"/>
  <c r="N211" i="28"/>
  <c r="O211" i="28"/>
  <c r="P251" i="28"/>
  <c r="P211" i="28"/>
  <c r="BF183" i="28"/>
  <c r="BW183" i="28"/>
  <c r="BX211" i="28"/>
  <c r="BX140" i="28" s="1"/>
  <c r="BW211" i="28"/>
  <c r="BW140" i="28" s="1"/>
  <c r="BW244" i="28"/>
  <c r="BX244" i="28"/>
  <c r="BW204" i="28"/>
  <c r="BX204" i="28"/>
  <c r="Q205" i="28"/>
  <c r="R205" i="28" s="1"/>
  <c r="S205" i="28" s="1"/>
  <c r="BX251" i="28"/>
  <c r="BW251" i="28"/>
  <c r="BV251" i="28"/>
  <c r="S210" i="28"/>
  <c r="Q211" i="28"/>
  <c r="Q251" i="28"/>
  <c r="BV211" i="28"/>
  <c r="BV140" i="28" s="1"/>
  <c r="S208" i="28"/>
  <c r="K244" i="28"/>
  <c r="L244" i="28"/>
  <c r="M244" i="28"/>
  <c r="V244" i="28"/>
  <c r="AA244" i="28"/>
  <c r="BI244" i="28"/>
  <c r="AE244" i="28"/>
  <c r="AR244" i="28"/>
  <c r="BE244" i="28"/>
  <c r="BK244" i="28"/>
  <c r="BS244" i="28"/>
  <c r="BL244" i="28"/>
  <c r="AH244" i="28"/>
  <c r="Z244" i="28"/>
  <c r="AW244" i="28"/>
  <c r="AC244" i="28"/>
  <c r="AM244" i="28"/>
  <c r="BN244" i="28"/>
  <c r="R244" i="28"/>
  <c r="BJ244" i="28"/>
  <c r="BU244" i="28"/>
  <c r="AB244" i="28"/>
  <c r="AX244" i="28"/>
  <c r="AQ244" i="28"/>
  <c r="BD244" i="28"/>
  <c r="BQ244" i="28"/>
  <c r="BC244" i="28"/>
  <c r="BG244" i="28"/>
  <c r="Q244" i="28"/>
  <c r="BO244" i="28"/>
  <c r="BH244" i="28"/>
  <c r="O244" i="28"/>
  <c r="AK244" i="28"/>
  <c r="AP244" i="28"/>
  <c r="P244" i="28"/>
  <c r="BF244" i="28"/>
  <c r="AN244" i="28"/>
  <c r="BP244" i="28"/>
  <c r="X244" i="28"/>
  <c r="AO244" i="28"/>
  <c r="AJ244" i="28"/>
  <c r="BR244" i="28"/>
  <c r="W244" i="28"/>
  <c r="BM244" i="28"/>
  <c r="AT244" i="28"/>
  <c r="AY244" i="28"/>
  <c r="N244" i="28"/>
  <c r="BT244" i="28"/>
  <c r="AZ244" i="28"/>
  <c r="AD244" i="28"/>
  <c r="Y244" i="28"/>
  <c r="AV244" i="28"/>
  <c r="AU244" i="28"/>
  <c r="U244" i="28"/>
  <c r="T244" i="28"/>
  <c r="AG244" i="28"/>
  <c r="S244" i="28"/>
  <c r="BB244" i="28"/>
  <c r="AL244" i="28"/>
  <c r="BA244" i="28"/>
  <c r="AS244" i="28"/>
  <c r="AI244" i="28"/>
  <c r="AF244" i="28"/>
  <c r="K204" i="28"/>
  <c r="L204" i="28"/>
  <c r="M204" i="28"/>
  <c r="BR204" i="28"/>
  <c r="BH204" i="28"/>
  <c r="BL204" i="28"/>
  <c r="BT204" i="28"/>
  <c r="BQ204" i="28"/>
  <c r="BK204" i="28"/>
  <c r="BP204" i="28"/>
  <c r="BO204" i="28"/>
  <c r="BJ204" i="28"/>
  <c r="BN204" i="28"/>
  <c r="BG204" i="28"/>
  <c r="BS204" i="28"/>
  <c r="BI204" i="28"/>
  <c r="BM204" i="28"/>
  <c r="BU204" i="28"/>
  <c r="BF204" i="28"/>
  <c r="AP204" i="28"/>
  <c r="S204" i="28"/>
  <c r="BB204" i="28"/>
  <c r="AE204" i="28"/>
  <c r="AQ204" i="28"/>
  <c r="T204" i="28"/>
  <c r="X204" i="28"/>
  <c r="Y204" i="28"/>
  <c r="N204" i="28"/>
  <c r="O204" i="28"/>
  <c r="BC204" i="28"/>
  <c r="AF204" i="28"/>
  <c r="AJ204" i="28"/>
  <c r="AK204" i="28"/>
  <c r="Z204" i="28"/>
  <c r="AA204" i="28"/>
  <c r="AR204" i="28"/>
  <c r="U204" i="28"/>
  <c r="AV204" i="28"/>
  <c r="AW204" i="28"/>
  <c r="AL204" i="28"/>
  <c r="AM204" i="28"/>
  <c r="P204" i="28"/>
  <c r="BD204" i="28"/>
  <c r="AG204" i="28"/>
  <c r="AX204" i="28"/>
  <c r="AY204" i="28"/>
  <c r="AB204" i="28"/>
  <c r="AS204" i="28"/>
  <c r="AN204" i="28"/>
  <c r="BE204" i="28"/>
  <c r="V204" i="28"/>
  <c r="AZ204" i="28"/>
  <c r="Q204" i="28"/>
  <c r="AH204" i="28"/>
  <c r="W204" i="28"/>
  <c r="AC204" i="28"/>
  <c r="AT204" i="28"/>
  <c r="AI204" i="28"/>
  <c r="AO204" i="28"/>
  <c r="R204" i="28"/>
  <c r="AU204" i="28"/>
  <c r="BA204" i="28"/>
  <c r="AD204" i="28"/>
  <c r="S218" i="28"/>
  <c r="S219" i="28"/>
  <c r="S220" i="28"/>
  <c r="S217" i="28"/>
  <c r="S216" i="28"/>
  <c r="S206" i="28"/>
  <c r="O226" i="28"/>
  <c r="R227" i="28"/>
  <c r="P226" i="28"/>
  <c r="S227" i="28"/>
  <c r="Q226" i="28"/>
  <c r="T227" i="28"/>
  <c r="R226" i="28"/>
  <c r="U227" i="28"/>
  <c r="S226" i="28"/>
  <c r="P227" i="28"/>
  <c r="Q227" i="28"/>
  <c r="M225" i="28"/>
  <c r="Q228" i="28"/>
  <c r="N229" i="28"/>
  <c r="T230" i="28"/>
  <c r="N225" i="28"/>
  <c r="R228" i="28"/>
  <c r="O229" i="28"/>
  <c r="O225" i="28"/>
  <c r="S228" i="28"/>
  <c r="P229" i="28"/>
  <c r="P225" i="28"/>
  <c r="T228" i="28"/>
  <c r="Q229" i="28"/>
  <c r="K230" i="28"/>
  <c r="Q225" i="28"/>
  <c r="R229" i="28"/>
  <c r="L230" i="28"/>
  <c r="R225" i="28"/>
  <c r="K227" i="28"/>
  <c r="S229" i="28"/>
  <c r="M230" i="28"/>
  <c r="S225" i="28"/>
  <c r="L227" i="28"/>
  <c r="K228" i="28"/>
  <c r="T229" i="28"/>
  <c r="N230" i="28"/>
  <c r="T225" i="28"/>
  <c r="M227" i="28"/>
  <c r="L228" i="28"/>
  <c r="O230" i="28"/>
  <c r="K226" i="28"/>
  <c r="N227" i="28"/>
  <c r="M228" i="28"/>
  <c r="P230" i="28"/>
  <c r="L226" i="28"/>
  <c r="O227" i="28"/>
  <c r="N228" i="28"/>
  <c r="K229" i="28"/>
  <c r="Q230" i="28"/>
  <c r="K225" i="28"/>
  <c r="R230" i="28"/>
  <c r="L225" i="28"/>
  <c r="S230" i="28"/>
  <c r="M226" i="28"/>
  <c r="N226" i="28"/>
  <c r="O228" i="28"/>
  <c r="P228" i="28"/>
  <c r="L229" i="28"/>
  <c r="M229" i="28"/>
  <c r="S207" i="28"/>
  <c r="T9" i="28"/>
  <c r="T10" i="28"/>
  <c r="T35" i="28" s="1"/>
  <c r="T17" i="28"/>
  <c r="P124" i="29"/>
  <c r="R124" i="29"/>
  <c r="M125" i="29"/>
  <c r="N125" i="29" s="1"/>
  <c r="O125" i="29" s="1"/>
  <c r="L116" i="29"/>
  <c r="K47" i="29"/>
  <c r="L117" i="29"/>
  <c r="L47" i="29" s="1"/>
  <c r="E35" i="9"/>
  <c r="J50" i="29"/>
  <c r="O54" i="28" s="1"/>
  <c r="K119" i="29"/>
  <c r="BV244" i="28"/>
  <c r="BZ60" i="28"/>
  <c r="CA60" i="28" s="1"/>
  <c r="F60" i="28" s="1"/>
  <c r="C31" i="20"/>
  <c r="E31" i="20" s="1"/>
  <c r="C33" i="20"/>
  <c r="E33" i="20" s="1"/>
  <c r="N23" i="28"/>
  <c r="E252" i="28"/>
  <c r="N16" i="23"/>
  <c r="M15" i="23"/>
  <c r="M11" i="23"/>
  <c r="M8" i="23"/>
  <c r="M9" i="23"/>
  <c r="M13" i="23"/>
  <c r="M14" i="23"/>
  <c r="M10" i="23"/>
  <c r="M7" i="23"/>
  <c r="T14" i="28"/>
  <c r="AD30" i="25"/>
  <c r="BZ46" i="28"/>
  <c r="CA46" i="28" s="1"/>
  <c r="F46" i="28" s="1"/>
  <c r="BZ71" i="28"/>
  <c r="CA71" i="28" s="1"/>
  <c r="F71" i="28" s="1"/>
  <c r="G34" i="20"/>
  <c r="S199" i="28"/>
  <c r="L5" i="23"/>
  <c r="K5" i="23"/>
  <c r="E27" i="25"/>
  <c r="P2" i="23"/>
  <c r="W11" i="23"/>
  <c r="W15" i="23"/>
  <c r="W9" i="23"/>
  <c r="C30" i="14" s="1"/>
  <c r="E30" i="14" s="1"/>
  <c r="W10" i="23"/>
  <c r="C37" i="14" s="1"/>
  <c r="W14" i="23"/>
  <c r="W13" i="23"/>
  <c r="W8" i="23"/>
  <c r="C23" i="14" s="1"/>
  <c r="E23" i="14" s="1"/>
  <c r="J39" i="29"/>
  <c r="O189" i="28"/>
  <c r="C63" i="14"/>
  <c r="E31" i="14"/>
  <c r="E33" i="14" s="1"/>
  <c r="Q124" i="29"/>
  <c r="S200" i="28"/>
  <c r="S197" i="28"/>
  <c r="S198" i="28"/>
  <c r="T11" i="28"/>
  <c r="T160" i="28"/>
  <c r="U8" i="28"/>
  <c r="T186" i="28"/>
  <c r="T184" i="28" s="1"/>
  <c r="N2" i="28"/>
  <c r="N3" i="28" s="1"/>
  <c r="M6" i="28"/>
  <c r="M5" i="28"/>
  <c r="M4" i="28"/>
  <c r="S128" i="28"/>
  <c r="S133" i="28"/>
  <c r="S119" i="28"/>
  <c r="H52" i="16"/>
  <c r="K51" i="16"/>
  <c r="Q163" i="28"/>
  <c r="R7" i="28"/>
  <c r="BE31" i="28"/>
  <c r="BF31" i="28" s="1"/>
  <c r="BG31" i="28" s="1"/>
  <c r="BH31" i="28" s="1"/>
  <c r="BI31" i="28" s="1"/>
  <c r="BJ31" i="28" s="1"/>
  <c r="BK31" i="28" s="1"/>
  <c r="BL31" i="28" s="1"/>
  <c r="BM31" i="28" s="1"/>
  <c r="BN31" i="28" s="1"/>
  <c r="BO31" i="28" s="1"/>
  <c r="BP31" i="28" s="1"/>
  <c r="BQ31" i="28" s="1"/>
  <c r="BR31" i="28" s="1"/>
  <c r="BS31" i="28" s="1"/>
  <c r="BT31" i="28" s="1"/>
  <c r="BU31" i="28" s="1"/>
  <c r="BV31" i="28" s="1"/>
  <c r="BW31" i="28" s="1"/>
  <c r="BX31" i="28" s="1"/>
  <c r="S185" i="28"/>
  <c r="L123" i="29"/>
  <c r="L127" i="29" s="1"/>
  <c r="L129" i="29" s="1"/>
  <c r="J130" i="29"/>
  <c r="K128" i="29" s="1"/>
  <c r="P212" i="28" l="1"/>
  <c r="O212" i="28"/>
  <c r="N212" i="28"/>
  <c r="M212" i="28"/>
  <c r="L212" i="28"/>
  <c r="K50" i="29"/>
  <c r="BG183" i="28"/>
  <c r="BH183" i="28" s="1"/>
  <c r="BI183" i="28" s="1"/>
  <c r="BJ183" i="28" s="1"/>
  <c r="BK183" i="28" s="1"/>
  <c r="BL183" i="28" s="1"/>
  <c r="BM183" i="28" s="1"/>
  <c r="BN183" i="28" s="1"/>
  <c r="BO183" i="28" s="1"/>
  <c r="BP183" i="28" s="1"/>
  <c r="BQ183" i="28" s="1"/>
  <c r="BR183" i="28" s="1"/>
  <c r="BS183" i="28" s="1"/>
  <c r="BT183" i="28" s="1"/>
  <c r="BU183" i="28" s="1"/>
  <c r="BX183" i="28"/>
  <c r="Q212" i="28"/>
  <c r="T206" i="28"/>
  <c r="P125" i="29"/>
  <c r="K212" i="28"/>
  <c r="R251" i="28"/>
  <c r="R211" i="28"/>
  <c r="R212" i="28" s="1"/>
  <c r="T209" i="28"/>
  <c r="T208" i="28"/>
  <c r="T217" i="28"/>
  <c r="T205" i="28"/>
  <c r="T216" i="28"/>
  <c r="T219" i="28"/>
  <c r="T220" i="28"/>
  <c r="T218" i="28"/>
  <c r="T207" i="28"/>
  <c r="T210" i="28"/>
  <c r="U14" i="28"/>
  <c r="U210" i="28" s="1"/>
  <c r="U9" i="28"/>
  <c r="U10" i="28"/>
  <c r="U17" i="28"/>
  <c r="U20" i="28"/>
  <c r="T124" i="29"/>
  <c r="L119" i="29"/>
  <c r="M117" i="29"/>
  <c r="K87" i="29"/>
  <c r="L50" i="29"/>
  <c r="Q54" i="28" s="1"/>
  <c r="M116" i="29"/>
  <c r="F3" i="32"/>
  <c r="F8" i="32" s="1"/>
  <c r="O2" i="23"/>
  <c r="Q23" i="28"/>
  <c r="Q29" i="28"/>
  <c r="S29" i="28"/>
  <c r="U29" i="28"/>
  <c r="O23" i="28"/>
  <c r="T29" i="28"/>
  <c r="O29" i="28"/>
  <c r="R29" i="28"/>
  <c r="U23" i="28"/>
  <c r="G6" i="32"/>
  <c r="R23" i="28"/>
  <c r="C34" i="20"/>
  <c r="E34" i="20" s="1"/>
  <c r="N29" i="28"/>
  <c r="N26" i="28"/>
  <c r="S23" i="28"/>
  <c r="T23" i="28"/>
  <c r="P29" i="28"/>
  <c r="P23" i="28"/>
  <c r="F6" i="32"/>
  <c r="N12" i="23"/>
  <c r="F16" i="25" s="1"/>
  <c r="G16" i="25" s="1"/>
  <c r="E7" i="32"/>
  <c r="F7" i="32"/>
  <c r="G3" i="32"/>
  <c r="G8" i="32" s="1"/>
  <c r="E4" i="32"/>
  <c r="G5" i="32"/>
  <c r="H5" i="32" s="1"/>
  <c r="F4" i="32"/>
  <c r="G4" i="32"/>
  <c r="E6" i="32"/>
  <c r="G7" i="32"/>
  <c r="N15" i="23"/>
  <c r="F19" i="25" s="1"/>
  <c r="N13" i="23"/>
  <c r="N10" i="23"/>
  <c r="N8" i="23"/>
  <c r="N14" i="23"/>
  <c r="N11" i="23"/>
  <c r="N9" i="23"/>
  <c r="N7" i="23"/>
  <c r="E43" i="28"/>
  <c r="AA27" i="25"/>
  <c r="Q125" i="29"/>
  <c r="R125" i="29" s="1"/>
  <c r="M5" i="23"/>
  <c r="J29" i="25"/>
  <c r="E29" i="25" s="1"/>
  <c r="AA29" i="25" s="1"/>
  <c r="W5" i="23"/>
  <c r="E32" i="14"/>
  <c r="G30" i="14" s="1"/>
  <c r="E37" i="14"/>
  <c r="E16" i="14"/>
  <c r="C57" i="14"/>
  <c r="E24" i="14"/>
  <c r="C51" i="14"/>
  <c r="C45" i="14"/>
  <c r="E17" i="14"/>
  <c r="E19" i="14" s="1"/>
  <c r="P28" i="23"/>
  <c r="P26" i="23"/>
  <c r="S124" i="29"/>
  <c r="R163" i="28"/>
  <c r="S7" i="28"/>
  <c r="R161" i="28"/>
  <c r="R162" i="28" s="1"/>
  <c r="K52" i="16"/>
  <c r="H53" i="16"/>
  <c r="T128" i="28"/>
  <c r="T133" i="28"/>
  <c r="U160" i="28"/>
  <c r="V8" i="28"/>
  <c r="U11" i="28"/>
  <c r="U186" i="28"/>
  <c r="U184" i="28" s="1"/>
  <c r="N6" i="28"/>
  <c r="O106" i="28" s="1"/>
  <c r="N5" i="28"/>
  <c r="N4" i="28"/>
  <c r="O2" i="28"/>
  <c r="O3" i="28" s="1"/>
  <c r="T119" i="28"/>
  <c r="T198" i="28"/>
  <c r="T199" i="28"/>
  <c r="T197" i="28"/>
  <c r="T200" i="28"/>
  <c r="P11" i="10"/>
  <c r="M123" i="29"/>
  <c r="M127" i="29" s="1"/>
  <c r="M129" i="29" s="1"/>
  <c r="P189" i="28"/>
  <c r="T185" i="28"/>
  <c r="L87" i="29"/>
  <c r="P54" i="28" l="1"/>
  <c r="BX249" i="28"/>
  <c r="BX245" i="28"/>
  <c r="BW246" i="28"/>
  <c r="BW250" i="28"/>
  <c r="BX250" i="28"/>
  <c r="BW247" i="28"/>
  <c r="BW245" i="28"/>
  <c r="BX246" i="28"/>
  <c r="BX247" i="28"/>
  <c r="BW249" i="28"/>
  <c r="BW248" i="28"/>
  <c r="BX248" i="28"/>
  <c r="K43" i="28"/>
  <c r="L239" i="28"/>
  <c r="S251" i="28"/>
  <c r="S211" i="28"/>
  <c r="S212" i="28" s="1"/>
  <c r="L236" i="28"/>
  <c r="L235" i="28"/>
  <c r="U208" i="28"/>
  <c r="U209" i="28"/>
  <c r="M238" i="28"/>
  <c r="M239" i="28"/>
  <c r="U206" i="28"/>
  <c r="N238" i="28"/>
  <c r="N237" i="28"/>
  <c r="R256" i="28"/>
  <c r="T257" i="28"/>
  <c r="R258" i="28"/>
  <c r="S256" i="28"/>
  <c r="U257" i="28"/>
  <c r="S258" i="28"/>
  <c r="O260" i="28"/>
  <c r="T256" i="28"/>
  <c r="T258" i="28"/>
  <c r="P260" i="28"/>
  <c r="O255" i="28"/>
  <c r="U258" i="28"/>
  <c r="O259" i="28"/>
  <c r="Q260" i="28"/>
  <c r="P255" i="28"/>
  <c r="P259" i="28"/>
  <c r="R260" i="28"/>
  <c r="Q259" i="28"/>
  <c r="S260" i="28"/>
  <c r="R259" i="28"/>
  <c r="T260" i="28"/>
  <c r="O257" i="28"/>
  <c r="S259" i="28"/>
  <c r="U260" i="28"/>
  <c r="P257" i="28"/>
  <c r="T259" i="28"/>
  <c r="O256" i="28"/>
  <c r="Q257" i="28"/>
  <c r="O258" i="28"/>
  <c r="U259" i="28"/>
  <c r="P256" i="28"/>
  <c r="Q256" i="28"/>
  <c r="R257" i="28"/>
  <c r="S257" i="28"/>
  <c r="P258" i="28"/>
  <c r="Q258" i="28"/>
  <c r="N240" i="28"/>
  <c r="M236" i="28"/>
  <c r="U216" i="28"/>
  <c r="K235" i="28"/>
  <c r="R236" i="28"/>
  <c r="S237" i="28"/>
  <c r="O238" i="28"/>
  <c r="R239" i="28"/>
  <c r="O240" i="28"/>
  <c r="S236" i="28"/>
  <c r="T237" i="28"/>
  <c r="P238" i="28"/>
  <c r="S239" i="28"/>
  <c r="P240" i="28"/>
  <c r="T236" i="28"/>
  <c r="U237" i="28"/>
  <c r="Q238" i="28"/>
  <c r="T239" i="28"/>
  <c r="Q240" i="28"/>
  <c r="O235" i="28"/>
  <c r="U236" i="28"/>
  <c r="R238" i="28"/>
  <c r="U239" i="28"/>
  <c r="R240" i="28"/>
  <c r="P235" i="28"/>
  <c r="S238" i="28"/>
  <c r="S240" i="28"/>
  <c r="T238" i="28"/>
  <c r="T240" i="28"/>
  <c r="U238" i="28"/>
  <c r="U240" i="28"/>
  <c r="O237" i="28"/>
  <c r="O236" i="28"/>
  <c r="P237" i="28"/>
  <c r="O239" i="28"/>
  <c r="P236" i="28"/>
  <c r="Q237" i="28"/>
  <c r="P239" i="28"/>
  <c r="Q239" i="28"/>
  <c r="Q236" i="28"/>
  <c r="R237" i="28"/>
  <c r="M240" i="28"/>
  <c r="M237" i="28"/>
  <c r="L240" i="28"/>
  <c r="K239" i="28"/>
  <c r="U219" i="28"/>
  <c r="U207" i="28"/>
  <c r="U218" i="28"/>
  <c r="U220" i="28"/>
  <c r="L238" i="28"/>
  <c r="L237" i="28"/>
  <c r="U217" i="28"/>
  <c r="L255" i="28"/>
  <c r="L259" i="28"/>
  <c r="N260" i="28"/>
  <c r="M255" i="28"/>
  <c r="M259" i="28"/>
  <c r="N255" i="28"/>
  <c r="N259" i="28"/>
  <c r="K257" i="28"/>
  <c r="L257" i="28"/>
  <c r="K256" i="28"/>
  <c r="M257" i="28"/>
  <c r="K258" i="28"/>
  <c r="L256" i="28"/>
  <c r="N257" i="28"/>
  <c r="L258" i="28"/>
  <c r="M256" i="28"/>
  <c r="M258" i="28"/>
  <c r="N256" i="28"/>
  <c r="N258" i="28"/>
  <c r="K260" i="28"/>
  <c r="L260" i="28"/>
  <c r="K255" i="28"/>
  <c r="M260" i="28"/>
  <c r="K259" i="28"/>
  <c r="K240" i="28"/>
  <c r="K236" i="28"/>
  <c r="S245" i="28"/>
  <c r="AE245" i="28"/>
  <c r="AQ245" i="28"/>
  <c r="BC245" i="28"/>
  <c r="BO245" i="28"/>
  <c r="P246" i="28"/>
  <c r="AB246" i="28"/>
  <c r="AN246" i="28"/>
  <c r="AZ246" i="28"/>
  <c r="BL246" i="28"/>
  <c r="M247" i="28"/>
  <c r="Y247" i="28"/>
  <c r="AK247" i="28"/>
  <c r="AW247" i="28"/>
  <c r="BI247" i="28"/>
  <c r="BU247" i="28"/>
  <c r="V248" i="28"/>
  <c r="AH248" i="28"/>
  <c r="AT248" i="28"/>
  <c r="BF248" i="28"/>
  <c r="BR248" i="28"/>
  <c r="S249" i="28"/>
  <c r="AE249" i="28"/>
  <c r="AQ249" i="28"/>
  <c r="T245" i="28"/>
  <c r="AF245" i="28"/>
  <c r="AR245" i="28"/>
  <c r="BD245" i="28"/>
  <c r="BP245" i="28"/>
  <c r="Q246" i="28"/>
  <c r="AC246" i="28"/>
  <c r="AO246" i="28"/>
  <c r="BA246" i="28"/>
  <c r="BM246" i="28"/>
  <c r="N247" i="28"/>
  <c r="Z247" i="28"/>
  <c r="AL247" i="28"/>
  <c r="AX247" i="28"/>
  <c r="BJ247" i="28"/>
  <c r="K248" i="28"/>
  <c r="W248" i="28"/>
  <c r="AI248" i="28"/>
  <c r="AU248" i="28"/>
  <c r="BG248" i="28"/>
  <c r="BS248" i="28"/>
  <c r="T249" i="28"/>
  <c r="AF249" i="28"/>
  <c r="U245" i="28"/>
  <c r="AG245" i="28"/>
  <c r="AS245" i="28"/>
  <c r="BE245" i="28"/>
  <c r="BQ245" i="28"/>
  <c r="R246" i="28"/>
  <c r="AD246" i="28"/>
  <c r="AP246" i="28"/>
  <c r="BB246" i="28"/>
  <c r="BN246" i="28"/>
  <c r="O247" i="28"/>
  <c r="AA247" i="28"/>
  <c r="AM247" i="28"/>
  <c r="AY247" i="28"/>
  <c r="BK247" i="28"/>
  <c r="L248" i="28"/>
  <c r="X248" i="28"/>
  <c r="AJ248" i="28"/>
  <c r="AV248" i="28"/>
  <c r="BH248" i="28"/>
  <c r="BT248" i="28"/>
  <c r="U249" i="28"/>
  <c r="AG249" i="28"/>
  <c r="AS249" i="28"/>
  <c r="V245" i="28"/>
  <c r="AH245" i="28"/>
  <c r="AT245" i="28"/>
  <c r="BF245" i="28"/>
  <c r="BR245" i="28"/>
  <c r="S246" i="28"/>
  <c r="AE246" i="28"/>
  <c r="AQ246" i="28"/>
  <c r="BC246" i="28"/>
  <c r="BO246" i="28"/>
  <c r="P247" i="28"/>
  <c r="AB247" i="28"/>
  <c r="AN247" i="28"/>
  <c r="AZ247" i="28"/>
  <c r="BL247" i="28"/>
  <c r="M248" i="28"/>
  <c r="Y248" i="28"/>
  <c r="AK248" i="28"/>
  <c r="AW248" i="28"/>
  <c r="BI248" i="28"/>
  <c r="BU248" i="28"/>
  <c r="V249" i="28"/>
  <c r="AH249" i="28"/>
  <c r="AT249" i="28"/>
  <c r="K245" i="28"/>
  <c r="W245" i="28"/>
  <c r="AI245" i="28"/>
  <c r="AU245" i="28"/>
  <c r="BG245" i="28"/>
  <c r="BS245" i="28"/>
  <c r="T246" i="28"/>
  <c r="AF246" i="28"/>
  <c r="AR246" i="28"/>
  <c r="BD246" i="28"/>
  <c r="BP246" i="28"/>
  <c r="Q247" i="28"/>
  <c r="AC247" i="28"/>
  <c r="AO247" i="28"/>
  <c r="BA247" i="28"/>
  <c r="BM247" i="28"/>
  <c r="N248" i="28"/>
  <c r="Z248" i="28"/>
  <c r="AL248" i="28"/>
  <c r="AX248" i="28"/>
  <c r="BJ248" i="28"/>
  <c r="K249" i="28"/>
  <c r="W249" i="28"/>
  <c r="AI249" i="28"/>
  <c r="AU249" i="28"/>
  <c r="L245" i="28"/>
  <c r="X245" i="28"/>
  <c r="AJ245" i="28"/>
  <c r="AV245" i="28"/>
  <c r="BH245" i="28"/>
  <c r="BT245" i="28"/>
  <c r="U246" i="28"/>
  <c r="AG246" i="28"/>
  <c r="AS246" i="28"/>
  <c r="BE246" i="28"/>
  <c r="BQ246" i="28"/>
  <c r="R247" i="28"/>
  <c r="AD247" i="28"/>
  <c r="AP247" i="28"/>
  <c r="BB247" i="28"/>
  <c r="BN247" i="28"/>
  <c r="O248" i="28"/>
  <c r="AA248" i="28"/>
  <c r="AM248" i="28"/>
  <c r="AY248" i="28"/>
  <c r="BK248" i="28"/>
  <c r="L249" i="28"/>
  <c r="X249" i="28"/>
  <c r="AJ249" i="28"/>
  <c r="M245" i="28"/>
  <c r="Y245" i="28"/>
  <c r="AK245" i="28"/>
  <c r="AW245" i="28"/>
  <c r="BI245" i="28"/>
  <c r="BU245" i="28"/>
  <c r="V246" i="28"/>
  <c r="AH246" i="28"/>
  <c r="AT246" i="28"/>
  <c r="BF246" i="28"/>
  <c r="BR246" i="28"/>
  <c r="S247" i="28"/>
  <c r="AE247" i="28"/>
  <c r="AQ247" i="28"/>
  <c r="BC247" i="28"/>
  <c r="BO247" i="28"/>
  <c r="P248" i="28"/>
  <c r="AB248" i="28"/>
  <c r="AN248" i="28"/>
  <c r="AZ248" i="28"/>
  <c r="BL248" i="28"/>
  <c r="M249" i="28"/>
  <c r="Y249" i="28"/>
  <c r="AK249" i="28"/>
  <c r="N245" i="28"/>
  <c r="Z245" i="28"/>
  <c r="AL245" i="28"/>
  <c r="AX245" i="28"/>
  <c r="BJ245" i="28"/>
  <c r="K246" i="28"/>
  <c r="W246" i="28"/>
  <c r="AI246" i="28"/>
  <c r="AU246" i="28"/>
  <c r="BG246" i="28"/>
  <c r="BS246" i="28"/>
  <c r="T247" i="28"/>
  <c r="AF247" i="28"/>
  <c r="AR247" i="28"/>
  <c r="BD247" i="28"/>
  <c r="BP247" i="28"/>
  <c r="Q248" i="28"/>
  <c r="AC248" i="28"/>
  <c r="AO248" i="28"/>
  <c r="BA248" i="28"/>
  <c r="BM248" i="28"/>
  <c r="N249" i="28"/>
  <c r="Z249" i="28"/>
  <c r="AL249" i="28"/>
  <c r="O245" i="28"/>
  <c r="AA245" i="28"/>
  <c r="AM245" i="28"/>
  <c r="AY245" i="28"/>
  <c r="BK245" i="28"/>
  <c r="L246" i="28"/>
  <c r="X246" i="28"/>
  <c r="AJ246" i="28"/>
  <c r="AV246" i="28"/>
  <c r="BH246" i="28"/>
  <c r="BT246" i="28"/>
  <c r="U247" i="28"/>
  <c r="AG247" i="28"/>
  <c r="AS247" i="28"/>
  <c r="BE247" i="28"/>
  <c r="BQ247" i="28"/>
  <c r="R248" i="28"/>
  <c r="AD248" i="28"/>
  <c r="AP248" i="28"/>
  <c r="BB248" i="28"/>
  <c r="BN248" i="28"/>
  <c r="O249" i="28"/>
  <c r="AA249" i="28"/>
  <c r="P245" i="28"/>
  <c r="AB245" i="28"/>
  <c r="AN245" i="28"/>
  <c r="AZ245" i="28"/>
  <c r="BL245" i="28"/>
  <c r="M246" i="28"/>
  <c r="Y246" i="28"/>
  <c r="AK246" i="28"/>
  <c r="AW246" i="28"/>
  <c r="BI246" i="28"/>
  <c r="BU246" i="28"/>
  <c r="V247" i="28"/>
  <c r="AH247" i="28"/>
  <c r="AT247" i="28"/>
  <c r="BF247" i="28"/>
  <c r="BR247" i="28"/>
  <c r="S248" i="28"/>
  <c r="AE248" i="28"/>
  <c r="AQ248" i="28"/>
  <c r="BC248" i="28"/>
  <c r="BO248" i="28"/>
  <c r="P249" i="28"/>
  <c r="AB249" i="28"/>
  <c r="AN249" i="28"/>
  <c r="N246" i="28"/>
  <c r="W247" i="28"/>
  <c r="AF248" i="28"/>
  <c r="AM249" i="28"/>
  <c r="BD249" i="28"/>
  <c r="BP249" i="28"/>
  <c r="Q250" i="28"/>
  <c r="AC250" i="28"/>
  <c r="AO250" i="28"/>
  <c r="BA250" i="28"/>
  <c r="BM250" i="28"/>
  <c r="O246" i="28"/>
  <c r="X247" i="28"/>
  <c r="AG248" i="28"/>
  <c r="AO249" i="28"/>
  <c r="BE249" i="28"/>
  <c r="BQ249" i="28"/>
  <c r="R250" i="28"/>
  <c r="AD250" i="28"/>
  <c r="AP250" i="28"/>
  <c r="BB250" i="28"/>
  <c r="BN250" i="28"/>
  <c r="Q245" i="28"/>
  <c r="Z246" i="28"/>
  <c r="AI247" i="28"/>
  <c r="AR248" i="28"/>
  <c r="AP249" i="28"/>
  <c r="BF249" i="28"/>
  <c r="BR249" i="28"/>
  <c r="S250" i="28"/>
  <c r="AE250" i="28"/>
  <c r="AQ250" i="28"/>
  <c r="BC250" i="28"/>
  <c r="BO250" i="28"/>
  <c r="R245" i="28"/>
  <c r="AA246" i="28"/>
  <c r="AJ247" i="28"/>
  <c r="AS248" i="28"/>
  <c r="AR249" i="28"/>
  <c r="BG249" i="28"/>
  <c r="BS249" i="28"/>
  <c r="T250" i="28"/>
  <c r="AF250" i="28"/>
  <c r="AR250" i="28"/>
  <c r="BD250" i="28"/>
  <c r="BP250" i="28"/>
  <c r="AC245" i="28"/>
  <c r="AL246" i="28"/>
  <c r="AU247" i="28"/>
  <c r="BD248" i="28"/>
  <c r="AV249" i="28"/>
  <c r="BH249" i="28"/>
  <c r="BT249" i="28"/>
  <c r="U250" i="28"/>
  <c r="AG250" i="28"/>
  <c r="AS250" i="28"/>
  <c r="BE250" i="28"/>
  <c r="BQ250" i="28"/>
  <c r="AD245" i="28"/>
  <c r="AM246" i="28"/>
  <c r="AV247" i="28"/>
  <c r="BE248" i="28"/>
  <c r="AW249" i="28"/>
  <c r="BI249" i="28"/>
  <c r="BU249" i="28"/>
  <c r="V250" i="28"/>
  <c r="AH250" i="28"/>
  <c r="AT250" i="28"/>
  <c r="BF250" i="28"/>
  <c r="BR250" i="28"/>
  <c r="AO245" i="28"/>
  <c r="AX246" i="28"/>
  <c r="BG247" i="28"/>
  <c r="BP248" i="28"/>
  <c r="AX249" i="28"/>
  <c r="BJ249" i="28"/>
  <c r="K250" i="28"/>
  <c r="W250" i="28"/>
  <c r="AI250" i="28"/>
  <c r="AU250" i="28"/>
  <c r="BG250" i="28"/>
  <c r="BS250" i="28"/>
  <c r="AP245" i="28"/>
  <c r="AY246" i="28"/>
  <c r="BH247" i="28"/>
  <c r="BQ248" i="28"/>
  <c r="AY249" i="28"/>
  <c r="BK249" i="28"/>
  <c r="L250" i="28"/>
  <c r="X250" i="28"/>
  <c r="AJ250" i="28"/>
  <c r="AV250" i="28"/>
  <c r="BH250" i="28"/>
  <c r="BT250" i="28"/>
  <c r="BA245" i="28"/>
  <c r="BJ246" i="28"/>
  <c r="BS247" i="28"/>
  <c r="Q249" i="28"/>
  <c r="AZ249" i="28"/>
  <c r="BL249" i="28"/>
  <c r="M250" i="28"/>
  <c r="Y250" i="28"/>
  <c r="AK250" i="28"/>
  <c r="AW250" i="28"/>
  <c r="BI250" i="28"/>
  <c r="BU250" i="28"/>
  <c r="BB245" i="28"/>
  <c r="BK246" i="28"/>
  <c r="BT247" i="28"/>
  <c r="R249" i="28"/>
  <c r="BA249" i="28"/>
  <c r="BM249" i="28"/>
  <c r="N250" i="28"/>
  <c r="Z250" i="28"/>
  <c r="AL250" i="28"/>
  <c r="AX250" i="28"/>
  <c r="BJ250" i="28"/>
  <c r="BM245" i="28"/>
  <c r="K247" i="28"/>
  <c r="T248" i="28"/>
  <c r="AC249" i="28"/>
  <c r="BB249" i="28"/>
  <c r="BN249" i="28"/>
  <c r="O250" i="28"/>
  <c r="AA250" i="28"/>
  <c r="AM250" i="28"/>
  <c r="AY250" i="28"/>
  <c r="BK250" i="28"/>
  <c r="AD249" i="28"/>
  <c r="BC249" i="28"/>
  <c r="U248" i="28"/>
  <c r="BO249" i="28"/>
  <c r="P250" i="28"/>
  <c r="AB250" i="28"/>
  <c r="AN250" i="28"/>
  <c r="AZ250" i="28"/>
  <c r="BL250" i="28"/>
  <c r="BN245" i="28"/>
  <c r="L247" i="28"/>
  <c r="N239" i="28"/>
  <c r="K237" i="28"/>
  <c r="K238" i="28"/>
  <c r="N235" i="28"/>
  <c r="U229" i="28"/>
  <c r="V227" i="28"/>
  <c r="U230" i="28"/>
  <c r="U228" i="28"/>
  <c r="N236" i="28"/>
  <c r="M235" i="28"/>
  <c r="U205" i="28"/>
  <c r="V14" i="28"/>
  <c r="V207" i="28" s="1"/>
  <c r="V9" i="28"/>
  <c r="V10" i="28"/>
  <c r="V17" i="28"/>
  <c r="V20" i="28"/>
  <c r="V23" i="28"/>
  <c r="V29" i="28"/>
  <c r="V124" i="29"/>
  <c r="N117" i="29"/>
  <c r="O116" i="29" s="1"/>
  <c r="M47" i="29"/>
  <c r="N116" i="29"/>
  <c r="M119" i="29"/>
  <c r="Q32" i="28"/>
  <c r="T32" i="28"/>
  <c r="P32" i="28"/>
  <c r="S32" i="28"/>
  <c r="R32" i="28"/>
  <c r="U32" i="28"/>
  <c r="O32" i="28"/>
  <c r="V32" i="28"/>
  <c r="N32" i="28"/>
  <c r="E9" i="32"/>
  <c r="D14" i="32" s="1"/>
  <c r="F9" i="32"/>
  <c r="G14" i="32" s="1"/>
  <c r="G9" i="32"/>
  <c r="J43" i="28"/>
  <c r="U35" i="28"/>
  <c r="F29" i="25"/>
  <c r="P16" i="23"/>
  <c r="J34" i="25"/>
  <c r="E34" i="25" s="1"/>
  <c r="AA34" i="25" s="1"/>
  <c r="G31" i="14"/>
  <c r="G32" i="14" s="1"/>
  <c r="E34" i="14"/>
  <c r="J30" i="14" s="1"/>
  <c r="G63" i="14" s="1"/>
  <c r="F63" i="14" s="1"/>
  <c r="L39" i="29"/>
  <c r="Q189" i="28"/>
  <c r="E44" i="14"/>
  <c r="E39" i="14"/>
  <c r="G37" i="14" s="1"/>
  <c r="C44" i="14"/>
  <c r="E26" i="14"/>
  <c r="E25" i="14"/>
  <c r="E45" i="14"/>
  <c r="E18" i="14"/>
  <c r="G17" i="14" s="1"/>
  <c r="C75" i="14"/>
  <c r="D51" i="14" s="1"/>
  <c r="P30" i="23"/>
  <c r="U124" i="29"/>
  <c r="S125" i="29"/>
  <c r="T125" i="29" s="1"/>
  <c r="U199" i="28"/>
  <c r="U198" i="28"/>
  <c r="U200" i="28"/>
  <c r="H54" i="16"/>
  <c r="K53" i="16"/>
  <c r="P2" i="28"/>
  <c r="P3" i="28" s="1"/>
  <c r="O6" i="28"/>
  <c r="P106" i="28" s="1"/>
  <c r="O5" i="28"/>
  <c r="O4" i="28"/>
  <c r="S163" i="28"/>
  <c r="T7" i="28"/>
  <c r="S161" i="28"/>
  <c r="S162" i="28" s="1"/>
  <c r="U133" i="28"/>
  <c r="U128" i="28"/>
  <c r="U119" i="28"/>
  <c r="V160" i="28"/>
  <c r="V11" i="28"/>
  <c r="W8" i="28"/>
  <c r="V186" i="28"/>
  <c r="V184" i="28" s="1"/>
  <c r="K39" i="29"/>
  <c r="K130" i="29"/>
  <c r="L128" i="29" s="1"/>
  <c r="E33" i="25"/>
  <c r="E45" i="28"/>
  <c r="U185" i="28"/>
  <c r="N123" i="29"/>
  <c r="N127" i="29" s="1"/>
  <c r="N129" i="29" s="1"/>
  <c r="BX252" i="28" l="1"/>
  <c r="M50" i="29"/>
  <c r="BW252" i="28"/>
  <c r="BX45" i="28"/>
  <c r="BW45" i="28"/>
  <c r="BV45" i="28"/>
  <c r="T251" i="28"/>
  <c r="T252" i="28" s="1"/>
  <c r="T211" i="28"/>
  <c r="T212" i="28" s="1"/>
  <c r="Q252" i="28"/>
  <c r="O252" i="28"/>
  <c r="L252" i="28"/>
  <c r="M87" i="29"/>
  <c r="N252" i="28"/>
  <c r="V217" i="28"/>
  <c r="V220" i="28"/>
  <c r="V218" i="28"/>
  <c r="V228" i="28"/>
  <c r="V230" i="28"/>
  <c r="K252" i="28"/>
  <c r="V229" i="28"/>
  <c r="V208" i="28"/>
  <c r="V205" i="28"/>
  <c r="V210" i="28"/>
  <c r="V209" i="28"/>
  <c r="V216" i="28"/>
  <c r="V219" i="28"/>
  <c r="N269" i="28"/>
  <c r="K267" i="28"/>
  <c r="L267" i="28"/>
  <c r="K266" i="28"/>
  <c r="M267" i="28"/>
  <c r="K268" i="28"/>
  <c r="L266" i="28"/>
  <c r="N267" i="28"/>
  <c r="L268" i="28"/>
  <c r="M266" i="28"/>
  <c r="M268" i="28"/>
  <c r="N266" i="28"/>
  <c r="N268" i="28"/>
  <c r="K270" i="28"/>
  <c r="K265" i="28"/>
  <c r="L270" i="28"/>
  <c r="L265" i="28"/>
  <c r="K269" i="28"/>
  <c r="M270" i="28"/>
  <c r="M265" i="28"/>
  <c r="N270" i="28"/>
  <c r="N265" i="28"/>
  <c r="L269" i="28"/>
  <c r="M269" i="28"/>
  <c r="V206" i="28"/>
  <c r="V238" i="28"/>
  <c r="O265" i="28"/>
  <c r="T266" i="28"/>
  <c r="V267" i="28"/>
  <c r="T268" i="28"/>
  <c r="P270" i="28"/>
  <c r="P265" i="28"/>
  <c r="U268" i="28"/>
  <c r="O269" i="28"/>
  <c r="Q270" i="28"/>
  <c r="V268" i="28"/>
  <c r="P269" i="28"/>
  <c r="R270" i="28"/>
  <c r="Q269" i="28"/>
  <c r="S270" i="28"/>
  <c r="R269" i="28"/>
  <c r="T270" i="28"/>
  <c r="O267" i="28"/>
  <c r="S269" i="28"/>
  <c r="U270" i="28"/>
  <c r="P267" i="28"/>
  <c r="T269" i="28"/>
  <c r="V270" i="28"/>
  <c r="O266" i="28"/>
  <c r="Q267" i="28"/>
  <c r="O268" i="28"/>
  <c r="U269" i="28"/>
  <c r="P266" i="28"/>
  <c r="R267" i="28"/>
  <c r="P268" i="28"/>
  <c r="V269" i="28"/>
  <c r="Q266" i="28"/>
  <c r="S267" i="28"/>
  <c r="Q268" i="28"/>
  <c r="O270" i="28"/>
  <c r="R266" i="28"/>
  <c r="S266" i="28"/>
  <c r="T267" i="28"/>
  <c r="U267" i="28"/>
  <c r="R268" i="28"/>
  <c r="S268" i="28"/>
  <c r="V259" i="28"/>
  <c r="V257" i="28"/>
  <c r="V258" i="28"/>
  <c r="V260" i="28"/>
  <c r="W227" i="28"/>
  <c r="V237" i="28"/>
  <c r="V240" i="28"/>
  <c r="V239" i="28"/>
  <c r="S252" i="28"/>
  <c r="M252" i="28"/>
  <c r="P252" i="28"/>
  <c r="R252" i="28"/>
  <c r="W9" i="28"/>
  <c r="W10" i="28"/>
  <c r="W17" i="28"/>
  <c r="W20" i="28"/>
  <c r="W23" i="28"/>
  <c r="W29" i="28"/>
  <c r="W32" i="28"/>
  <c r="X124" i="29"/>
  <c r="N119" i="29"/>
  <c r="O117" i="29"/>
  <c r="N47" i="29"/>
  <c r="F10" i="32"/>
  <c r="V35" i="28"/>
  <c r="W14" i="28"/>
  <c r="G29" i="25"/>
  <c r="S32" i="25" s="1"/>
  <c r="D19" i="32"/>
  <c r="J35" i="25"/>
  <c r="E35" i="25" s="1"/>
  <c r="J31" i="14"/>
  <c r="G64" i="14" s="1"/>
  <c r="F64" i="14" s="1"/>
  <c r="J34" i="14"/>
  <c r="G66" i="14" s="1"/>
  <c r="J32" i="14"/>
  <c r="J33" i="14"/>
  <c r="G65" i="14" s="1"/>
  <c r="F65" i="14" s="1"/>
  <c r="E46" i="14"/>
  <c r="G44" i="14" s="1"/>
  <c r="D44" i="14"/>
  <c r="G38" i="14"/>
  <c r="G39" i="14" s="1"/>
  <c r="E41" i="14"/>
  <c r="G23" i="14"/>
  <c r="G24" i="14"/>
  <c r="E27" i="14"/>
  <c r="D63" i="14"/>
  <c r="D57" i="14"/>
  <c r="F84" i="14"/>
  <c r="D69" i="14"/>
  <c r="D75" i="14"/>
  <c r="E47" i="14"/>
  <c r="E20" i="14"/>
  <c r="J18" i="14" s="1"/>
  <c r="G16" i="14"/>
  <c r="G18" i="14" s="1"/>
  <c r="D45" i="14"/>
  <c r="P20" i="23"/>
  <c r="P18" i="23"/>
  <c r="P32" i="23"/>
  <c r="P34" i="23"/>
  <c r="BI45" i="28"/>
  <c r="BF45" i="28"/>
  <c r="BG45" i="28"/>
  <c r="BH45" i="28"/>
  <c r="BQ45" i="28"/>
  <c r="BM45" i="28"/>
  <c r="BJ45" i="28"/>
  <c r="BK45" i="28"/>
  <c r="BL45" i="28"/>
  <c r="BN45" i="28"/>
  <c r="BO45" i="28"/>
  <c r="BU45" i="28"/>
  <c r="BR45" i="28"/>
  <c r="BS45" i="28"/>
  <c r="BT45" i="28"/>
  <c r="BP45" i="28"/>
  <c r="U125" i="29"/>
  <c r="V125" i="29" s="1"/>
  <c r="W124" i="29"/>
  <c r="L130" i="29"/>
  <c r="M128" i="29" s="1"/>
  <c r="R189" i="28" s="1"/>
  <c r="H55" i="16"/>
  <c r="H56" i="16" s="1"/>
  <c r="H57" i="16" s="1"/>
  <c r="K54" i="16"/>
  <c r="V128" i="28"/>
  <c r="V133" i="28"/>
  <c r="W160" i="28"/>
  <c r="W11" i="28"/>
  <c r="X8" i="28"/>
  <c r="W186" i="28"/>
  <c r="W184" i="28" s="1"/>
  <c r="V119" i="28"/>
  <c r="V200" i="28"/>
  <c r="V198" i="28"/>
  <c r="V199" i="28"/>
  <c r="T163" i="28"/>
  <c r="U7" i="28"/>
  <c r="Q2" i="28"/>
  <c r="Q3" i="28" s="1"/>
  <c r="P6" i="28"/>
  <c r="P5" i="28"/>
  <c r="P4" i="28"/>
  <c r="AR45" i="28"/>
  <c r="AB45" i="28"/>
  <c r="L45" i="28"/>
  <c r="AQ45" i="28"/>
  <c r="AA45" i="28"/>
  <c r="K45" i="28"/>
  <c r="AT45" i="28"/>
  <c r="AD45" i="28"/>
  <c r="N45" i="28"/>
  <c r="U45" i="28"/>
  <c r="BE45" i="28"/>
  <c r="M45" i="28"/>
  <c r="AJ45" i="28"/>
  <c r="T45" i="28"/>
  <c r="AI45" i="28"/>
  <c r="BB45" i="28"/>
  <c r="AL45" i="28"/>
  <c r="BA45" i="28"/>
  <c r="BD45" i="28"/>
  <c r="AN45" i="28"/>
  <c r="X45" i="28"/>
  <c r="BC45" i="28"/>
  <c r="AM45" i="28"/>
  <c r="W45" i="28"/>
  <c r="AP45" i="28"/>
  <c r="Z45" i="28"/>
  <c r="J45" i="28"/>
  <c r="AW45" i="28"/>
  <c r="Y45" i="28"/>
  <c r="AO45" i="28"/>
  <c r="AY45" i="28"/>
  <c r="V45" i="28"/>
  <c r="AS45" i="28"/>
  <c r="AZ45" i="28"/>
  <c r="S45" i="28"/>
  <c r="AG45" i="28"/>
  <c r="AV45" i="28"/>
  <c r="AF45" i="28"/>
  <c r="P45" i="28"/>
  <c r="AU45" i="28"/>
  <c r="AE45" i="28"/>
  <c r="O45" i="28"/>
  <c r="AX45" i="28"/>
  <c r="AH45" i="28"/>
  <c r="R45" i="28"/>
  <c r="AK45" i="28"/>
  <c r="Q45" i="28"/>
  <c r="AC45" i="28"/>
  <c r="C113" i="25"/>
  <c r="E50" i="28"/>
  <c r="O123" i="29"/>
  <c r="O127" i="29" s="1"/>
  <c r="O129" i="29" s="1"/>
  <c r="V185" i="28"/>
  <c r="R54" i="28" l="1"/>
  <c r="BV50" i="28"/>
  <c r="BX50" i="28"/>
  <c r="BW50" i="28"/>
  <c r="U251" i="28"/>
  <c r="U252" i="28" s="1"/>
  <c r="U211" i="28"/>
  <c r="U212" i="28" s="1"/>
  <c r="W258" i="28"/>
  <c r="W260" i="28"/>
  <c r="W257" i="28"/>
  <c r="W259" i="28"/>
  <c r="W237" i="28"/>
  <c r="W238" i="28"/>
  <c r="W206" i="28"/>
  <c r="W208" i="28"/>
  <c r="W210" i="28"/>
  <c r="W205" i="28"/>
  <c r="W209" i="28"/>
  <c r="W230" i="28"/>
  <c r="W228" i="28"/>
  <c r="W267" i="28"/>
  <c r="W268" i="28"/>
  <c r="W270" i="28"/>
  <c r="W269" i="28"/>
  <c r="W217" i="28"/>
  <c r="W218" i="28"/>
  <c r="W220" i="28"/>
  <c r="W219" i="28"/>
  <c r="W216" i="28"/>
  <c r="W240" i="28"/>
  <c r="W239" i="28"/>
  <c r="W229" i="28"/>
  <c r="W207" i="28"/>
  <c r="X9" i="28"/>
  <c r="X10" i="28"/>
  <c r="X17" i="28"/>
  <c r="X20" i="28"/>
  <c r="X230" i="28" s="1"/>
  <c r="X29" i="28"/>
  <c r="X23" i="28"/>
  <c r="X32" i="28"/>
  <c r="X268" i="28" s="1"/>
  <c r="Z124" i="29"/>
  <c r="Y124" i="29"/>
  <c r="N87" i="29"/>
  <c r="N50" i="29"/>
  <c r="S54" i="28" s="1"/>
  <c r="O47" i="29"/>
  <c r="O119" i="29"/>
  <c r="P117" i="29"/>
  <c r="P116" i="29"/>
  <c r="O107" i="28"/>
  <c r="X14" i="28"/>
  <c r="W35" i="28"/>
  <c r="BZ45" i="28"/>
  <c r="CA45" i="28" s="1"/>
  <c r="F45" i="28" s="1"/>
  <c r="AA35" i="25"/>
  <c r="AC29" i="25"/>
  <c r="F35" i="25"/>
  <c r="E51" i="28"/>
  <c r="E41" i="25"/>
  <c r="C114" i="25" s="1"/>
  <c r="N39" i="29"/>
  <c r="S189" i="28"/>
  <c r="G45" i="14"/>
  <c r="G46" i="14" s="1"/>
  <c r="J39" i="14"/>
  <c r="J41" i="14"/>
  <c r="J38" i="14"/>
  <c r="G70" i="14" s="1"/>
  <c r="F70" i="14" s="1"/>
  <c r="J40" i="14"/>
  <c r="G71" i="14" s="1"/>
  <c r="F71" i="14" s="1"/>
  <c r="J37" i="14"/>
  <c r="G69" i="14" s="1"/>
  <c r="F69" i="14" s="1"/>
  <c r="G25" i="14"/>
  <c r="J19" i="14"/>
  <c r="G53" i="14" s="1"/>
  <c r="F53" i="14" s="1"/>
  <c r="J27" i="14"/>
  <c r="G60" i="14" s="1"/>
  <c r="J23" i="14"/>
  <c r="G57" i="14" s="1"/>
  <c r="F57" i="14" s="1"/>
  <c r="J24" i="14"/>
  <c r="G58" i="14" s="1"/>
  <c r="F58" i="14" s="1"/>
  <c r="J26" i="14"/>
  <c r="G59" i="14" s="1"/>
  <c r="F59" i="14" s="1"/>
  <c r="J25" i="14"/>
  <c r="E84" i="14"/>
  <c r="E81" i="14" s="1"/>
  <c r="F81" i="14"/>
  <c r="J20" i="14"/>
  <c r="G54" i="14" s="1"/>
  <c r="J16" i="14"/>
  <c r="G51" i="14" s="1"/>
  <c r="F51" i="14" s="1"/>
  <c r="J17" i="14"/>
  <c r="G52" i="14" s="1"/>
  <c r="F52" i="14" s="1"/>
  <c r="E48" i="14"/>
  <c r="J47" i="14" s="1"/>
  <c r="P24" i="23"/>
  <c r="E3" i="32"/>
  <c r="E8" i="32" s="1"/>
  <c r="BF50" i="28"/>
  <c r="BQ50" i="28"/>
  <c r="BS50" i="28"/>
  <c r="BJ50" i="28"/>
  <c r="BL50" i="28"/>
  <c r="BG50" i="28"/>
  <c r="BI50" i="28"/>
  <c r="BP50" i="28"/>
  <c r="BH50" i="28"/>
  <c r="BM50" i="28"/>
  <c r="BN50" i="28"/>
  <c r="BU50" i="28"/>
  <c r="BK50" i="28"/>
  <c r="BO50" i="28"/>
  <c r="BR50" i="28"/>
  <c r="BT50" i="28"/>
  <c r="W125" i="29"/>
  <c r="X125" i="29" s="1"/>
  <c r="W200" i="28"/>
  <c r="W199" i="28"/>
  <c r="X11" i="28"/>
  <c r="X160" i="28"/>
  <c r="Y8" i="28"/>
  <c r="X186" i="28"/>
  <c r="X184" i="28" s="1"/>
  <c r="U163" i="28"/>
  <c r="V7" i="28"/>
  <c r="U161" i="28"/>
  <c r="U162" i="28" s="1"/>
  <c r="W133" i="28"/>
  <c r="W128" i="28"/>
  <c r="W119" i="28"/>
  <c r="R2" i="28"/>
  <c r="R3" i="28" s="1"/>
  <c r="Q6" i="28"/>
  <c r="Q5" i="28"/>
  <c r="Q4" i="28"/>
  <c r="M39" i="29"/>
  <c r="M130" i="29"/>
  <c r="N128" i="29" s="1"/>
  <c r="AR50" i="28"/>
  <c r="AB50" i="28"/>
  <c r="L50" i="28"/>
  <c r="AQ50" i="28"/>
  <c r="AA50" i="28"/>
  <c r="K50" i="28"/>
  <c r="AT50" i="28"/>
  <c r="AD50" i="28"/>
  <c r="N50" i="28"/>
  <c r="U50" i="28"/>
  <c r="AO50" i="28"/>
  <c r="BE50" i="28"/>
  <c r="AN50" i="28"/>
  <c r="X50" i="28"/>
  <c r="BC50" i="28"/>
  <c r="AM50" i="28"/>
  <c r="AP50" i="28"/>
  <c r="J50" i="28"/>
  <c r="AS50" i="28"/>
  <c r="AZ50" i="28"/>
  <c r="AJ50" i="28"/>
  <c r="T50" i="28"/>
  <c r="AI50" i="28"/>
  <c r="S50" i="28"/>
  <c r="V50" i="28"/>
  <c r="BA50" i="28"/>
  <c r="BD50" i="28"/>
  <c r="AY50" i="28"/>
  <c r="AL50" i="28"/>
  <c r="AG50" i="28"/>
  <c r="BB50" i="28"/>
  <c r="AV50" i="28"/>
  <c r="AF50" i="28"/>
  <c r="P50" i="28"/>
  <c r="AU50" i="28"/>
  <c r="AE50" i="28"/>
  <c r="O50" i="28"/>
  <c r="AX50" i="28"/>
  <c r="AH50" i="28"/>
  <c r="R50" i="28"/>
  <c r="AK50" i="28"/>
  <c r="Q50" i="28"/>
  <c r="M50" i="28"/>
  <c r="W50" i="28"/>
  <c r="Z50" i="28"/>
  <c r="AW50" i="28"/>
  <c r="Y50" i="28"/>
  <c r="AC50" i="28"/>
  <c r="W185" i="28"/>
  <c r="P123" i="29"/>
  <c r="P127" i="29" s="1"/>
  <c r="P129" i="29" s="1"/>
  <c r="O51" i="28" l="1"/>
  <c r="P51" i="28"/>
  <c r="X217" i="28"/>
  <c r="X205" i="28"/>
  <c r="BX51" i="28"/>
  <c r="BW51" i="28"/>
  <c r="X240" i="28"/>
  <c r="V251" i="28"/>
  <c r="V252" i="28" s="1"/>
  <c r="V211" i="28"/>
  <c r="V212" i="28" s="1"/>
  <c r="X267" i="28"/>
  <c r="X269" i="28"/>
  <c r="X218" i="28"/>
  <c r="X259" i="28"/>
  <c r="X257" i="28"/>
  <c r="X239" i="28"/>
  <c r="X238" i="28"/>
  <c r="X258" i="28"/>
  <c r="X206" i="28"/>
  <c r="X209" i="28"/>
  <c r="X208" i="28"/>
  <c r="X210" i="28"/>
  <c r="X207" i="28"/>
  <c r="X229" i="28"/>
  <c r="X228" i="28"/>
  <c r="X260" i="28"/>
  <c r="X237" i="28"/>
  <c r="X220" i="28"/>
  <c r="X219" i="28"/>
  <c r="X270" i="28"/>
  <c r="Y9" i="28"/>
  <c r="Y10" i="28"/>
  <c r="Y17" i="28"/>
  <c r="Y20" i="28"/>
  <c r="Y228" i="28" s="1"/>
  <c r="Y29" i="28"/>
  <c r="Y258" i="28" s="1"/>
  <c r="Y23" i="28"/>
  <c r="Y32" i="28"/>
  <c r="Y125" i="29"/>
  <c r="Z125" i="29" s="1"/>
  <c r="AB124" i="29"/>
  <c r="AA124" i="29"/>
  <c r="AD124" i="29" s="1"/>
  <c r="Q117" i="29"/>
  <c r="P47" i="29"/>
  <c r="U51" i="28" s="1"/>
  <c r="P119" i="29"/>
  <c r="Q116" i="29"/>
  <c r="O87" i="29"/>
  <c r="O50" i="29"/>
  <c r="E229" i="28"/>
  <c r="E225" i="28"/>
  <c r="E227" i="28"/>
  <c r="E230" i="28"/>
  <c r="E228" i="28"/>
  <c r="E224" i="28"/>
  <c r="E231" i="28"/>
  <c r="E226" i="28"/>
  <c r="E269" i="28"/>
  <c r="E265" i="28"/>
  <c r="E267" i="28"/>
  <c r="E266" i="28"/>
  <c r="E268" i="28"/>
  <c r="E264" i="28"/>
  <c r="E271" i="28"/>
  <c r="V271" i="28" s="1"/>
  <c r="E270" i="28"/>
  <c r="E239" i="28"/>
  <c r="E235" i="28"/>
  <c r="E240" i="28"/>
  <c r="E238" i="28"/>
  <c r="E234" i="28"/>
  <c r="E241" i="28"/>
  <c r="V241" i="28" s="1"/>
  <c r="E237" i="28"/>
  <c r="E236" i="28"/>
  <c r="E259" i="28"/>
  <c r="E255" i="28"/>
  <c r="E257" i="28"/>
  <c r="E258" i="28"/>
  <c r="E254" i="28"/>
  <c r="E261" i="28"/>
  <c r="V261" i="28" s="1"/>
  <c r="E260" i="28"/>
  <c r="E256" i="28"/>
  <c r="E275" i="28"/>
  <c r="V275" i="28" s="1"/>
  <c r="E274" i="28"/>
  <c r="E217" i="28"/>
  <c r="E215" i="28"/>
  <c r="E218" i="28"/>
  <c r="E216" i="28"/>
  <c r="X216" i="28" s="1"/>
  <c r="E221" i="28"/>
  <c r="E214" i="28"/>
  <c r="E201" i="28"/>
  <c r="E197" i="28"/>
  <c r="E195" i="28"/>
  <c r="E198" i="28"/>
  <c r="E200" i="28"/>
  <c r="E196" i="28"/>
  <c r="E199" i="28"/>
  <c r="E194" i="28"/>
  <c r="Y14" i="28"/>
  <c r="X35" i="28"/>
  <c r="BZ50" i="28"/>
  <c r="CA50" i="28" s="1"/>
  <c r="F50" i="28" s="1"/>
  <c r="U32" i="25"/>
  <c r="V32" i="25" s="1"/>
  <c r="AD29" i="25"/>
  <c r="L51" i="28"/>
  <c r="G35" i="25"/>
  <c r="AC35" i="25" s="1"/>
  <c r="U30" i="25" s="1"/>
  <c r="E18" i="25"/>
  <c r="E17" i="25"/>
  <c r="E13" i="25"/>
  <c r="E34" i="9"/>
  <c r="E14" i="25"/>
  <c r="J42" i="25" s="1"/>
  <c r="E15" i="25"/>
  <c r="J67" i="25" s="1"/>
  <c r="E10" i="32"/>
  <c r="D13" i="32"/>
  <c r="Q51" i="28"/>
  <c r="M51" i="28"/>
  <c r="J51" i="28"/>
  <c r="T51" i="28"/>
  <c r="N51" i="28"/>
  <c r="R51" i="28"/>
  <c r="K51" i="28"/>
  <c r="S51" i="28"/>
  <c r="C24" i="16"/>
  <c r="G24" i="16" s="1"/>
  <c r="R27" i="10"/>
  <c r="R26" i="10"/>
  <c r="S26" i="10"/>
  <c r="S27" i="10"/>
  <c r="F77" i="14"/>
  <c r="A81" i="14" s="1"/>
  <c r="G81" i="14" s="1"/>
  <c r="F85" i="14" s="1"/>
  <c r="F76" i="14"/>
  <c r="F75" i="14"/>
  <c r="J46" i="14"/>
  <c r="J48" i="14"/>
  <c r="J44" i="14"/>
  <c r="J45" i="14"/>
  <c r="O5" i="23"/>
  <c r="P22" i="23"/>
  <c r="F11" i="25"/>
  <c r="F17" i="25"/>
  <c r="F13" i="25"/>
  <c r="F12" i="25"/>
  <c r="F14" i="25"/>
  <c r="F15" i="25"/>
  <c r="F18" i="25"/>
  <c r="N130" i="29"/>
  <c r="O128" i="29" s="1"/>
  <c r="T189" i="28" s="1"/>
  <c r="R6" i="28"/>
  <c r="R5" i="28"/>
  <c r="R4" i="28"/>
  <c r="S2" i="28"/>
  <c r="S3" i="28" s="1"/>
  <c r="W7" i="28"/>
  <c r="V163" i="28"/>
  <c r="V161" i="28"/>
  <c r="V162" i="28" s="1"/>
  <c r="X128" i="28"/>
  <c r="X133" i="28"/>
  <c r="X119" i="28"/>
  <c r="X199" i="28"/>
  <c r="X200" i="28"/>
  <c r="Y160" i="28"/>
  <c r="Z8" i="28"/>
  <c r="Y11" i="28"/>
  <c r="Y186" i="28"/>
  <c r="Y184" i="28" s="1"/>
  <c r="X185" i="28"/>
  <c r="Q123" i="29"/>
  <c r="Q127" i="29" s="1"/>
  <c r="Q129" i="29" s="1"/>
  <c r="V236" i="28" l="1"/>
  <c r="W236" i="28" s="1"/>
  <c r="K231" i="28"/>
  <c r="L231" i="28"/>
  <c r="M231" i="28"/>
  <c r="N231" i="28"/>
  <c r="O231" i="28"/>
  <c r="P231" i="28"/>
  <c r="Q231" i="28"/>
  <c r="R231" i="28"/>
  <c r="S231" i="28"/>
  <c r="T231" i="28"/>
  <c r="U231" i="28"/>
  <c r="K201" i="28"/>
  <c r="L201" i="28"/>
  <c r="M201" i="28"/>
  <c r="N201" i="28"/>
  <c r="O201" i="28"/>
  <c r="P201" i="28"/>
  <c r="Q201" i="28"/>
  <c r="R201" i="28"/>
  <c r="S201" i="28"/>
  <c r="T201" i="28"/>
  <c r="U201" i="28"/>
  <c r="K221" i="28"/>
  <c r="L221" i="28"/>
  <c r="M221" i="28"/>
  <c r="N221" i="28"/>
  <c r="O221" i="28"/>
  <c r="P221" i="28"/>
  <c r="Q221" i="28"/>
  <c r="R221" i="28"/>
  <c r="S221" i="28"/>
  <c r="T221" i="28"/>
  <c r="U221" i="28"/>
  <c r="K271" i="28"/>
  <c r="L271" i="28"/>
  <c r="M271" i="28"/>
  <c r="N271" i="28"/>
  <c r="O271" i="28"/>
  <c r="P271" i="28"/>
  <c r="Q271" i="28"/>
  <c r="R271" i="28"/>
  <c r="S271" i="28"/>
  <c r="T271" i="28"/>
  <c r="U271" i="28"/>
  <c r="V231" i="28"/>
  <c r="K241" i="28"/>
  <c r="L241" i="28"/>
  <c r="M241" i="28"/>
  <c r="N241" i="28"/>
  <c r="O241" i="28"/>
  <c r="P241" i="28"/>
  <c r="Q241" i="28"/>
  <c r="R241" i="28"/>
  <c r="S241" i="28"/>
  <c r="T241" i="28"/>
  <c r="U241" i="28"/>
  <c r="K261" i="28"/>
  <c r="L261" i="28"/>
  <c r="M261" i="28"/>
  <c r="N261" i="28"/>
  <c r="O261" i="28"/>
  <c r="P261" i="28"/>
  <c r="Q261" i="28"/>
  <c r="R261" i="28"/>
  <c r="S261" i="28"/>
  <c r="T261" i="28"/>
  <c r="U261" i="28"/>
  <c r="K275" i="28"/>
  <c r="L275" i="28"/>
  <c r="M275" i="28"/>
  <c r="N275" i="28"/>
  <c r="O275" i="28"/>
  <c r="P275" i="28"/>
  <c r="Q275" i="28"/>
  <c r="R275" i="28"/>
  <c r="S275" i="28"/>
  <c r="T275" i="28"/>
  <c r="U275" i="28"/>
  <c r="V201" i="28"/>
  <c r="V221" i="28"/>
  <c r="T54" i="28"/>
  <c r="BX221" i="28"/>
  <c r="BX141" i="28" s="1"/>
  <c r="BW221" i="28"/>
  <c r="BW141" i="28" s="1"/>
  <c r="BW271" i="28"/>
  <c r="BW145" i="28" s="1"/>
  <c r="BX271" i="28"/>
  <c r="BX145" i="28" s="1"/>
  <c r="X227" i="28"/>
  <c r="Y227" i="28" s="1"/>
  <c r="BW264" i="28"/>
  <c r="BX264" i="28"/>
  <c r="BW274" i="28"/>
  <c r="BX274" i="28"/>
  <c r="BX241" i="28"/>
  <c r="BX143" i="28" s="1"/>
  <c r="BW241" i="28"/>
  <c r="BW143" i="28" s="1"/>
  <c r="Q265" i="28"/>
  <c r="R265" i="28" s="1"/>
  <c r="S265" i="28" s="1"/>
  <c r="BX275" i="28"/>
  <c r="BX146" i="28" s="1"/>
  <c r="BW275" i="28"/>
  <c r="BW234" i="28"/>
  <c r="BX234" i="28"/>
  <c r="BW231" i="28"/>
  <c r="BW142" i="28" s="1"/>
  <c r="BX231" i="28"/>
  <c r="BX142" i="28" s="1"/>
  <c r="BW261" i="28"/>
  <c r="BW144" i="28" s="1"/>
  <c r="BX261" i="28"/>
  <c r="BX144" i="28" s="1"/>
  <c r="BW224" i="28"/>
  <c r="BX224" i="28"/>
  <c r="BW214" i="28"/>
  <c r="BX214" i="28"/>
  <c r="BW201" i="28"/>
  <c r="BW139" i="28" s="1"/>
  <c r="BX201" i="28"/>
  <c r="BX139" i="28" s="1"/>
  <c r="BX254" i="28"/>
  <c r="BW254" i="28"/>
  <c r="BW194" i="28"/>
  <c r="BX194" i="28"/>
  <c r="Y270" i="28"/>
  <c r="BV261" i="28"/>
  <c r="BV144" i="28" s="1"/>
  <c r="Q235" i="28"/>
  <c r="L224" i="28"/>
  <c r="M224" i="28"/>
  <c r="K224" i="28"/>
  <c r="BM224" i="28"/>
  <c r="BQ224" i="28"/>
  <c r="BJ224" i="28"/>
  <c r="BL224" i="28"/>
  <c r="BP224" i="28"/>
  <c r="BI224" i="28"/>
  <c r="BU224" i="28"/>
  <c r="BH224" i="28"/>
  <c r="BO224" i="28"/>
  <c r="BT224" i="28"/>
  <c r="BG224" i="28"/>
  <c r="BS224" i="28"/>
  <c r="BN224" i="28"/>
  <c r="BF224" i="28"/>
  <c r="BR224" i="28"/>
  <c r="BK224" i="28"/>
  <c r="AF224" i="28"/>
  <c r="Z224" i="28"/>
  <c r="BA224" i="28"/>
  <c r="BB224" i="28"/>
  <c r="AQ224" i="28"/>
  <c r="AR224" i="28"/>
  <c r="U224" i="28"/>
  <c r="AL224" i="28"/>
  <c r="O224" i="28"/>
  <c r="BC224" i="28"/>
  <c r="BD224" i="28"/>
  <c r="AG224" i="28"/>
  <c r="AX224" i="28"/>
  <c r="AA224" i="28"/>
  <c r="P224" i="28"/>
  <c r="AS224" i="28"/>
  <c r="AM224" i="28"/>
  <c r="AB224" i="28"/>
  <c r="BE224" i="28"/>
  <c r="V224" i="28"/>
  <c r="AY224" i="28"/>
  <c r="AN224" i="28"/>
  <c r="AH224" i="28"/>
  <c r="AZ224" i="28"/>
  <c r="AT224" i="28"/>
  <c r="W224" i="28"/>
  <c r="AI224" i="28"/>
  <c r="X224" i="28"/>
  <c r="AU224" i="28"/>
  <c r="AJ224" i="28"/>
  <c r="AV224" i="28"/>
  <c r="Y224" i="28"/>
  <c r="Q224" i="28"/>
  <c r="R224" i="28"/>
  <c r="AK224" i="28"/>
  <c r="AC224" i="28"/>
  <c r="AD224" i="28"/>
  <c r="S224" i="28"/>
  <c r="T224" i="28"/>
  <c r="AW224" i="28"/>
  <c r="N224" i="28"/>
  <c r="AO224" i="28"/>
  <c r="AP224" i="28"/>
  <c r="AE224" i="28"/>
  <c r="U256" i="28"/>
  <c r="V256" i="28" s="1"/>
  <c r="BV201" i="28"/>
  <c r="BV139" i="28" s="1"/>
  <c r="K254" i="28"/>
  <c r="L254" i="28"/>
  <c r="M254" i="28"/>
  <c r="BF254" i="28"/>
  <c r="BR254" i="28"/>
  <c r="BJ254" i="28"/>
  <c r="BO254" i="28"/>
  <c r="BI254" i="28"/>
  <c r="BQ254" i="28"/>
  <c r="BU254" i="28"/>
  <c r="BN254" i="28"/>
  <c r="BH254" i="28"/>
  <c r="BP254" i="28"/>
  <c r="BT254" i="28"/>
  <c r="BM254" i="28"/>
  <c r="BG254" i="28"/>
  <c r="BL254" i="28"/>
  <c r="BS254" i="28"/>
  <c r="BK254" i="28"/>
  <c r="AM254" i="28"/>
  <c r="P254" i="28"/>
  <c r="BD254" i="28"/>
  <c r="AS254" i="28"/>
  <c r="AY254" i="28"/>
  <c r="AB254" i="28"/>
  <c r="BE254" i="28"/>
  <c r="AN254" i="28"/>
  <c r="Q254" i="28"/>
  <c r="AZ254" i="28"/>
  <c r="AC254" i="28"/>
  <c r="AO254" i="28"/>
  <c r="R254" i="28"/>
  <c r="BA254" i="28"/>
  <c r="AD254" i="28"/>
  <c r="V254" i="28"/>
  <c r="W254" i="28"/>
  <c r="X254" i="28"/>
  <c r="Y254" i="28"/>
  <c r="AP254" i="28"/>
  <c r="AH254" i="28"/>
  <c r="AI254" i="28"/>
  <c r="AJ254" i="28"/>
  <c r="AK254" i="28"/>
  <c r="BB254" i="28"/>
  <c r="S254" i="28"/>
  <c r="AT254" i="28"/>
  <c r="AU254" i="28"/>
  <c r="AV254" i="28"/>
  <c r="AW254" i="28"/>
  <c r="N254" i="28"/>
  <c r="AE254" i="28"/>
  <c r="Z254" i="28"/>
  <c r="AQ254" i="28"/>
  <c r="T254" i="28"/>
  <c r="AL254" i="28"/>
  <c r="O254" i="28"/>
  <c r="BC254" i="28"/>
  <c r="AF254" i="28"/>
  <c r="U254" i="28"/>
  <c r="AX254" i="28"/>
  <c r="AA254" i="28"/>
  <c r="AR254" i="28"/>
  <c r="AG254" i="28"/>
  <c r="W201" i="28"/>
  <c r="W221" i="28"/>
  <c r="W231" i="28"/>
  <c r="W241" i="28"/>
  <c r="W251" i="28"/>
  <c r="W252" i="28" s="1"/>
  <c r="W261" i="28"/>
  <c r="W275" i="28"/>
  <c r="W271" i="28"/>
  <c r="W211" i="28"/>
  <c r="W212" i="28" s="1"/>
  <c r="M214" i="28"/>
  <c r="N214" i="28"/>
  <c r="K214" i="28"/>
  <c r="L214" i="28"/>
  <c r="BQ214" i="28"/>
  <c r="BU214" i="28"/>
  <c r="BN214" i="28"/>
  <c r="BH214" i="28"/>
  <c r="BP214" i="28"/>
  <c r="BT214" i="28"/>
  <c r="BM214" i="28"/>
  <c r="BG214" i="28"/>
  <c r="BL214" i="28"/>
  <c r="BS214" i="28"/>
  <c r="BK214" i="28"/>
  <c r="BF214" i="28"/>
  <c r="BR214" i="28"/>
  <c r="BJ214" i="28"/>
  <c r="BO214" i="28"/>
  <c r="BI214" i="28"/>
  <c r="BC214" i="28"/>
  <c r="T214" i="28"/>
  <c r="AW214" i="28"/>
  <c r="AL214" i="28"/>
  <c r="AF214" i="28"/>
  <c r="AX214" i="28"/>
  <c r="AR214" i="28"/>
  <c r="U214" i="28"/>
  <c r="BD214" i="28"/>
  <c r="AG214" i="28"/>
  <c r="AS214" i="28"/>
  <c r="V214" i="28"/>
  <c r="BE214" i="28"/>
  <c r="AH214" i="28"/>
  <c r="O214" i="28"/>
  <c r="P214" i="28"/>
  <c r="P222" i="28" s="1"/>
  <c r="AT214" i="28"/>
  <c r="W214" i="28"/>
  <c r="AA214" i="28"/>
  <c r="AB214" i="28"/>
  <c r="Q214" i="28"/>
  <c r="R214" i="28"/>
  <c r="AI214" i="28"/>
  <c r="AM214" i="28"/>
  <c r="AN214" i="28"/>
  <c r="AC214" i="28"/>
  <c r="AD214" i="28"/>
  <c r="AU214" i="28"/>
  <c r="X214" i="28"/>
  <c r="AY214" i="28"/>
  <c r="AZ214" i="28"/>
  <c r="AO214" i="28"/>
  <c r="AP214" i="28"/>
  <c r="S214" i="28"/>
  <c r="AJ214" i="28"/>
  <c r="BA214" i="28"/>
  <c r="BB214" i="28"/>
  <c r="AE214" i="28"/>
  <c r="AV214" i="28"/>
  <c r="Y214" i="28"/>
  <c r="AQ214" i="28"/>
  <c r="AK214" i="28"/>
  <c r="Z214" i="28"/>
  <c r="BV221" i="28"/>
  <c r="BV141" i="28" s="1"/>
  <c r="BV271" i="28"/>
  <c r="BV145" i="28" s="1"/>
  <c r="K264" i="28"/>
  <c r="L264" i="28"/>
  <c r="M264" i="28"/>
  <c r="BG264" i="28"/>
  <c r="BS264" i="28"/>
  <c r="BN264" i="28"/>
  <c r="BF264" i="28"/>
  <c r="BR264" i="28"/>
  <c r="BK264" i="28"/>
  <c r="BM264" i="28"/>
  <c r="BQ264" i="28"/>
  <c r="BJ264" i="28"/>
  <c r="BL264" i="28"/>
  <c r="BP264" i="28"/>
  <c r="BI264" i="28"/>
  <c r="BU264" i="28"/>
  <c r="BH264" i="28"/>
  <c r="BO264" i="28"/>
  <c r="BT264" i="28"/>
  <c r="AY264" i="28"/>
  <c r="P264" i="28"/>
  <c r="AG264" i="28"/>
  <c r="AB264" i="28"/>
  <c r="AS264" i="28"/>
  <c r="V264" i="28"/>
  <c r="AN264" i="28"/>
  <c r="Q264" i="28"/>
  <c r="BE264" i="28"/>
  <c r="AH264" i="28"/>
  <c r="W264" i="28"/>
  <c r="AZ264" i="28"/>
  <c r="AC264" i="28"/>
  <c r="AT264" i="28"/>
  <c r="AI264" i="28"/>
  <c r="AO264" i="28"/>
  <c r="R264" i="28"/>
  <c r="AU264" i="28"/>
  <c r="BA264" i="28"/>
  <c r="AD264" i="28"/>
  <c r="AP264" i="28"/>
  <c r="S264" i="28"/>
  <c r="BB264" i="28"/>
  <c r="AE264" i="28"/>
  <c r="AQ264" i="28"/>
  <c r="T264" i="28"/>
  <c r="X264" i="28"/>
  <c r="Y264" i="28"/>
  <c r="N264" i="28"/>
  <c r="O264" i="28"/>
  <c r="BC264" i="28"/>
  <c r="AF264" i="28"/>
  <c r="AJ264" i="28"/>
  <c r="AK264" i="28"/>
  <c r="Z264" i="28"/>
  <c r="AA264" i="28"/>
  <c r="AR264" i="28"/>
  <c r="AV264" i="28"/>
  <c r="AW264" i="28"/>
  <c r="AL264" i="28"/>
  <c r="AM264" i="28"/>
  <c r="BD264" i="28"/>
  <c r="U264" i="28"/>
  <c r="AX264" i="28"/>
  <c r="T226" i="28"/>
  <c r="U226" i="28" s="1"/>
  <c r="U225" i="28"/>
  <c r="Q255" i="28"/>
  <c r="K194" i="28"/>
  <c r="L194" i="28"/>
  <c r="M194" i="28"/>
  <c r="Q215" i="28"/>
  <c r="R215" i="28" s="1"/>
  <c r="U266" i="28"/>
  <c r="V266" i="28" s="1"/>
  <c r="BV231" i="28"/>
  <c r="BV142" i="28" s="1"/>
  <c r="K274" i="28"/>
  <c r="L274" i="28"/>
  <c r="M274" i="28"/>
  <c r="BL274" i="28"/>
  <c r="BP274" i="28"/>
  <c r="BI274" i="28"/>
  <c r="BU274" i="28"/>
  <c r="BH274" i="28"/>
  <c r="BO274" i="28"/>
  <c r="BT274" i="28"/>
  <c r="BG274" i="28"/>
  <c r="BS274" i="28"/>
  <c r="BN274" i="28"/>
  <c r="BF274" i="28"/>
  <c r="BR274" i="28"/>
  <c r="BK274" i="28"/>
  <c r="BM274" i="28"/>
  <c r="BQ274" i="28"/>
  <c r="BJ274" i="28"/>
  <c r="Y274" i="28"/>
  <c r="AP274" i="28"/>
  <c r="S274" i="28"/>
  <c r="AH274" i="28"/>
  <c r="AI274" i="28"/>
  <c r="AJ274" i="28"/>
  <c r="AK274" i="28"/>
  <c r="N274" i="28"/>
  <c r="BB274" i="28"/>
  <c r="AE274" i="28"/>
  <c r="AT274" i="28"/>
  <c r="AU274" i="28"/>
  <c r="AV274" i="28"/>
  <c r="AW274" i="28"/>
  <c r="Z274" i="28"/>
  <c r="AQ274" i="28"/>
  <c r="AL274" i="28"/>
  <c r="BC274" i="28"/>
  <c r="T274" i="28"/>
  <c r="AX274" i="28"/>
  <c r="O274" i="28"/>
  <c r="AF274" i="28"/>
  <c r="U274" i="28"/>
  <c r="AA274" i="28"/>
  <c r="AR274" i="28"/>
  <c r="AG274" i="28"/>
  <c r="AM274" i="28"/>
  <c r="P274" i="28"/>
  <c r="BD274" i="28"/>
  <c r="AS274" i="28"/>
  <c r="AY274" i="28"/>
  <c r="AB274" i="28"/>
  <c r="BE274" i="28"/>
  <c r="AN274" i="28"/>
  <c r="Q274" i="28"/>
  <c r="AZ274" i="28"/>
  <c r="AC274" i="28"/>
  <c r="AO274" i="28"/>
  <c r="R274" i="28"/>
  <c r="BA274" i="28"/>
  <c r="AD274" i="28"/>
  <c r="V274" i="28"/>
  <c r="V276" i="28" s="1"/>
  <c r="W274" i="28"/>
  <c r="X274" i="28"/>
  <c r="BV241" i="28"/>
  <c r="BV143" i="28" s="1"/>
  <c r="BV275" i="28"/>
  <c r="BV146" i="28" s="1"/>
  <c r="L234" i="28"/>
  <c r="M234" i="28"/>
  <c r="N234" i="28"/>
  <c r="N242" i="28" s="1"/>
  <c r="K234" i="28"/>
  <c r="BN234" i="28"/>
  <c r="BG234" i="28"/>
  <c r="BS234" i="28"/>
  <c r="BI234" i="28"/>
  <c r="BM234" i="28"/>
  <c r="BU234" i="28"/>
  <c r="BF234" i="28"/>
  <c r="BR234" i="28"/>
  <c r="BH234" i="28"/>
  <c r="BL234" i="28"/>
  <c r="BT234" i="28"/>
  <c r="BQ234" i="28"/>
  <c r="BK234" i="28"/>
  <c r="BP234" i="28"/>
  <c r="BO234" i="28"/>
  <c r="BJ234" i="28"/>
  <c r="AM234" i="28"/>
  <c r="P234" i="28"/>
  <c r="AY234" i="28"/>
  <c r="AB234" i="28"/>
  <c r="T234" i="28"/>
  <c r="U234" i="28"/>
  <c r="AN234" i="28"/>
  <c r="AF234" i="28"/>
  <c r="AG234" i="28"/>
  <c r="V234" i="28"/>
  <c r="W234" i="28"/>
  <c r="AZ234" i="28"/>
  <c r="Q234" i="28"/>
  <c r="AR234" i="28"/>
  <c r="AS234" i="28"/>
  <c r="AH234" i="28"/>
  <c r="AI234" i="28"/>
  <c r="AC234" i="28"/>
  <c r="BD234" i="28"/>
  <c r="BE234" i="28"/>
  <c r="AT234" i="28"/>
  <c r="AU234" i="28"/>
  <c r="X234" i="28"/>
  <c r="AO234" i="28"/>
  <c r="R234" i="28"/>
  <c r="AJ234" i="28"/>
  <c r="BA234" i="28"/>
  <c r="AD234" i="28"/>
  <c r="S234" i="28"/>
  <c r="AV234" i="28"/>
  <c r="Y234" i="28"/>
  <c r="AP234" i="28"/>
  <c r="AE234" i="28"/>
  <c r="AK234" i="28"/>
  <c r="BB234" i="28"/>
  <c r="AQ234" i="28"/>
  <c r="AW234" i="28"/>
  <c r="Z234" i="28"/>
  <c r="BC234" i="28"/>
  <c r="AL234" i="28"/>
  <c r="O234" i="28"/>
  <c r="AX234" i="28"/>
  <c r="AA234" i="28"/>
  <c r="Y269" i="28"/>
  <c r="Y268" i="28"/>
  <c r="Y229" i="28"/>
  <c r="Y259" i="28"/>
  <c r="Y205" i="28"/>
  <c r="Y208" i="28"/>
  <c r="Y209" i="28"/>
  <c r="Y210" i="28"/>
  <c r="Y206" i="28"/>
  <c r="Y207" i="28"/>
  <c r="Y230" i="28"/>
  <c r="Y267" i="28"/>
  <c r="Y260" i="28"/>
  <c r="Y237" i="28"/>
  <c r="Y216" i="28"/>
  <c r="Y220" i="28"/>
  <c r="Y218" i="28"/>
  <c r="Y217" i="28"/>
  <c r="Y219" i="28"/>
  <c r="Y238" i="28"/>
  <c r="Y257" i="28"/>
  <c r="Y239" i="28"/>
  <c r="Y240" i="28"/>
  <c r="Z9" i="28"/>
  <c r="Z10" i="28"/>
  <c r="Z35" i="28" s="1"/>
  <c r="Z17" i="28"/>
  <c r="Z20" i="28"/>
  <c r="Z23" i="28"/>
  <c r="Z29" i="28"/>
  <c r="Z32" i="28"/>
  <c r="AC124" i="29"/>
  <c r="AF124" i="29" s="1"/>
  <c r="AA125" i="29"/>
  <c r="AB125" i="29" s="1"/>
  <c r="P50" i="29"/>
  <c r="U54" i="28" s="1"/>
  <c r="P87" i="29"/>
  <c r="R117" i="29"/>
  <c r="Q47" i="29"/>
  <c r="Q119" i="29"/>
  <c r="R116" i="29"/>
  <c r="R12" i="23"/>
  <c r="E4" i="35"/>
  <c r="G31" i="35" s="1"/>
  <c r="P12" i="23"/>
  <c r="D16" i="25" s="1"/>
  <c r="C110" i="25"/>
  <c r="E20" i="25"/>
  <c r="BV274" i="28"/>
  <c r="C106" i="25"/>
  <c r="E67" i="25"/>
  <c r="R8" i="23"/>
  <c r="P7" i="23"/>
  <c r="P11" i="23"/>
  <c r="P13" i="23"/>
  <c r="P14" i="23"/>
  <c r="P8" i="23"/>
  <c r="P15" i="23"/>
  <c r="P9" i="23"/>
  <c r="P10" i="23"/>
  <c r="Y35" i="28"/>
  <c r="Z14" i="28"/>
  <c r="E42" i="9"/>
  <c r="C109" i="25"/>
  <c r="E37" i="9"/>
  <c r="C105" i="25"/>
  <c r="E40" i="9"/>
  <c r="C107" i="25"/>
  <c r="E41" i="9"/>
  <c r="C108" i="25"/>
  <c r="J68" i="25"/>
  <c r="E68" i="25" s="1"/>
  <c r="AA68" i="25" s="1"/>
  <c r="E36" i="9"/>
  <c r="E38" i="9"/>
  <c r="S30" i="25"/>
  <c r="V30" i="25" s="1"/>
  <c r="Q12" i="23"/>
  <c r="R10" i="23"/>
  <c r="R9" i="23"/>
  <c r="R13" i="23"/>
  <c r="R11" i="23"/>
  <c r="R7" i="23"/>
  <c r="R15" i="23"/>
  <c r="R14" i="23"/>
  <c r="G13" i="25"/>
  <c r="G12" i="25"/>
  <c r="F20" i="25"/>
  <c r="D16" i="32"/>
  <c r="E14" i="32" s="1"/>
  <c r="G19" i="25"/>
  <c r="H6" i="32"/>
  <c r="H7" i="32"/>
  <c r="V76" i="25"/>
  <c r="W76" i="25"/>
  <c r="U76" i="25"/>
  <c r="AD35" i="25"/>
  <c r="G14" i="25"/>
  <c r="S28" i="10"/>
  <c r="R28" i="10"/>
  <c r="P39" i="29"/>
  <c r="U189" i="28"/>
  <c r="F78" i="14"/>
  <c r="G77" i="14" s="1"/>
  <c r="N5" i="23"/>
  <c r="D25" i="32" s="1"/>
  <c r="Y200" i="28"/>
  <c r="Y119" i="28"/>
  <c r="Z160" i="28"/>
  <c r="Z11" i="28"/>
  <c r="AA8" i="28"/>
  <c r="Z186" i="28"/>
  <c r="Z184" i="28" s="1"/>
  <c r="T2" i="28"/>
  <c r="T3" i="28" s="1"/>
  <c r="S6" i="28"/>
  <c r="S5" i="28"/>
  <c r="S4" i="28"/>
  <c r="Y128" i="28"/>
  <c r="Y133" i="28"/>
  <c r="W163" i="28"/>
  <c r="X7" i="28"/>
  <c r="O39" i="29"/>
  <c r="O130" i="29"/>
  <c r="P128" i="29" s="1"/>
  <c r="Y185" i="28"/>
  <c r="R123" i="29"/>
  <c r="R127" i="29" s="1"/>
  <c r="R129" i="29" s="1"/>
  <c r="N232" i="28" l="1"/>
  <c r="M222" i="28"/>
  <c r="P276" i="28"/>
  <c r="O232" i="28"/>
  <c r="N272" i="28"/>
  <c r="O262" i="28"/>
  <c r="T276" i="28"/>
  <c r="X236" i="28"/>
  <c r="Y236" i="28" s="1"/>
  <c r="Z236" i="28" s="1"/>
  <c r="S276" i="28"/>
  <c r="Q232" i="28"/>
  <c r="L276" i="28"/>
  <c r="R232" i="28"/>
  <c r="O242" i="28"/>
  <c r="Q276" i="28"/>
  <c r="P262" i="28"/>
  <c r="L232" i="28"/>
  <c r="O272" i="28"/>
  <c r="N222" i="28"/>
  <c r="U276" i="28"/>
  <c r="O222" i="28"/>
  <c r="M232" i="28"/>
  <c r="P242" i="28"/>
  <c r="P232" i="28"/>
  <c r="R276" i="28"/>
  <c r="P272" i="28"/>
  <c r="M276" i="28"/>
  <c r="K272" i="28"/>
  <c r="L242" i="28"/>
  <c r="N276" i="28"/>
  <c r="L272" i="28"/>
  <c r="S232" i="28"/>
  <c r="O276" i="28"/>
  <c r="M272" i="28"/>
  <c r="K242" i="28"/>
  <c r="L222" i="28"/>
  <c r="K222" i="28"/>
  <c r="M242" i="28"/>
  <c r="M262" i="28"/>
  <c r="N262" i="28"/>
  <c r="L262" i="28"/>
  <c r="Q272" i="28"/>
  <c r="Q262" i="28"/>
  <c r="R222" i="28"/>
  <c r="W276" i="28"/>
  <c r="BX138" i="28"/>
  <c r="Z227" i="28"/>
  <c r="AA227" i="28" s="1"/>
  <c r="BW276" i="28"/>
  <c r="BW146" i="28"/>
  <c r="BW138" i="28" s="1"/>
  <c r="BX276" i="28"/>
  <c r="R272" i="28"/>
  <c r="BV138" i="28"/>
  <c r="U232" i="28"/>
  <c r="V226" i="28"/>
  <c r="W266" i="28"/>
  <c r="X266" i="28" s="1"/>
  <c r="Y266" i="28" s="1"/>
  <c r="Z266" i="28" s="1"/>
  <c r="Z258" i="28"/>
  <c r="Z240" i="28"/>
  <c r="R255" i="28"/>
  <c r="T232" i="28"/>
  <c r="W256" i="28"/>
  <c r="X256" i="28" s="1"/>
  <c r="Y256" i="28" s="1"/>
  <c r="K202" i="28"/>
  <c r="Q242" i="28"/>
  <c r="Q222" i="28"/>
  <c r="R235" i="28"/>
  <c r="K276" i="28"/>
  <c r="S215" i="28"/>
  <c r="S222" i="28" s="1"/>
  <c r="V225" i="28"/>
  <c r="X221" i="28"/>
  <c r="X201" i="28"/>
  <c r="X275" i="28"/>
  <c r="X276" i="28" s="1"/>
  <c r="X231" i="28"/>
  <c r="X271" i="28"/>
  <c r="X211" i="28"/>
  <c r="X212" i="28" s="1"/>
  <c r="X241" i="28"/>
  <c r="X251" i="28"/>
  <c r="X252" i="28" s="1"/>
  <c r="X261" i="28"/>
  <c r="K232" i="28"/>
  <c r="K262" i="28"/>
  <c r="S272" i="28"/>
  <c r="T265" i="28"/>
  <c r="U265" i="28" s="1"/>
  <c r="U272" i="28" s="1"/>
  <c r="Z237" i="28"/>
  <c r="Z259" i="28"/>
  <c r="Z239" i="28"/>
  <c r="Z230" i="28"/>
  <c r="Z228" i="28"/>
  <c r="Z229" i="28"/>
  <c r="Z260" i="28"/>
  <c r="Z238" i="28"/>
  <c r="Z209" i="28"/>
  <c r="Z206" i="28"/>
  <c r="Z208" i="28"/>
  <c r="Z205" i="28"/>
  <c r="Z207" i="28"/>
  <c r="Z210" i="28"/>
  <c r="Z269" i="28"/>
  <c r="Z267" i="28"/>
  <c r="Z220" i="28"/>
  <c r="Z218" i="28"/>
  <c r="Z217" i="28"/>
  <c r="Z216" i="28"/>
  <c r="Z219" i="28"/>
  <c r="Z270" i="28"/>
  <c r="Z257" i="28"/>
  <c r="Z268" i="28"/>
  <c r="AA9" i="28"/>
  <c r="AA10" i="28"/>
  <c r="AA17" i="28"/>
  <c r="AA20" i="28"/>
  <c r="AA29" i="28"/>
  <c r="AA23" i="28"/>
  <c r="AA32" i="28"/>
  <c r="AC125" i="29"/>
  <c r="AD125" i="29" s="1"/>
  <c r="AE124" i="29"/>
  <c r="AH124" i="29" s="1"/>
  <c r="Q87" i="29"/>
  <c r="V51" i="28"/>
  <c r="Q50" i="29"/>
  <c r="V54" i="28" s="1"/>
  <c r="S117" i="29"/>
  <c r="R47" i="29"/>
  <c r="R119" i="29"/>
  <c r="S116" i="29"/>
  <c r="P107" i="28"/>
  <c r="C4" i="33"/>
  <c r="J24" i="9"/>
  <c r="J75" i="25"/>
  <c r="E75" i="25" s="1"/>
  <c r="L8" i="9"/>
  <c r="L22" i="9"/>
  <c r="BZ244" i="28"/>
  <c r="CA244" i="28" s="1"/>
  <c r="F244" i="28" s="1"/>
  <c r="Q10" i="23"/>
  <c r="Q8" i="23"/>
  <c r="Q9" i="23"/>
  <c r="Q7" i="23"/>
  <c r="Q14" i="23"/>
  <c r="Q15" i="23"/>
  <c r="Q13" i="23"/>
  <c r="Q11" i="23"/>
  <c r="AA14" i="28"/>
  <c r="F68" i="25"/>
  <c r="G68" i="25" s="1"/>
  <c r="AC68" i="25" s="1"/>
  <c r="AD68" i="25" s="1"/>
  <c r="E83" i="28"/>
  <c r="E13" i="32"/>
  <c r="Z200" i="28"/>
  <c r="Y199" i="28"/>
  <c r="Q195" i="28"/>
  <c r="C104" i="25"/>
  <c r="W73" i="25"/>
  <c r="C103" i="25"/>
  <c r="V73" i="25"/>
  <c r="U73" i="25"/>
  <c r="W75" i="25"/>
  <c r="M7" i="10"/>
  <c r="U75" i="25"/>
  <c r="V75" i="25"/>
  <c r="AA67" i="25"/>
  <c r="G18" i="25"/>
  <c r="G17" i="25"/>
  <c r="G15" i="25"/>
  <c r="G11" i="25"/>
  <c r="E15" i="32"/>
  <c r="E19" i="32"/>
  <c r="G15" i="32"/>
  <c r="H4" i="32"/>
  <c r="H8" i="32"/>
  <c r="H3" i="32"/>
  <c r="R24" i="23"/>
  <c r="E65" i="25"/>
  <c r="AK30" i="25" s="1"/>
  <c r="AL30" i="25" s="1"/>
  <c r="R52" i="23"/>
  <c r="N23" i="9"/>
  <c r="R38" i="23"/>
  <c r="R32" i="23"/>
  <c r="R18" i="23"/>
  <c r="R40" i="23"/>
  <c r="R22" i="23"/>
  <c r="R30" i="23"/>
  <c r="R26" i="23"/>
  <c r="R20" i="23"/>
  <c r="R36" i="23"/>
  <c r="R56" i="23"/>
  <c r="R28" i="23"/>
  <c r="R16" i="23"/>
  <c r="R34" i="23"/>
  <c r="W74" i="25"/>
  <c r="U74" i="25"/>
  <c r="V74" i="25"/>
  <c r="S30" i="10"/>
  <c r="S31" i="10" s="1"/>
  <c r="G78" i="14"/>
  <c r="G76" i="14"/>
  <c r="G75" i="14"/>
  <c r="N21" i="9"/>
  <c r="N18" i="9"/>
  <c r="N20" i="9"/>
  <c r="N14" i="9"/>
  <c r="N12" i="9"/>
  <c r="N13" i="9"/>
  <c r="N22" i="9"/>
  <c r="N19" i="9"/>
  <c r="N8" i="9"/>
  <c r="N9" i="9"/>
  <c r="N7" i="9"/>
  <c r="N15" i="9"/>
  <c r="N17" i="9"/>
  <c r="N10" i="9"/>
  <c r="N11" i="9"/>
  <c r="N16" i="9"/>
  <c r="E103" i="25"/>
  <c r="P5" i="23"/>
  <c r="P130" i="29"/>
  <c r="Q128" i="29" s="1"/>
  <c r="V189" i="28" s="1"/>
  <c r="U2" i="28"/>
  <c r="U3" i="28" s="1"/>
  <c r="T6" i="28"/>
  <c r="T5" i="28"/>
  <c r="T4" i="28"/>
  <c r="Z133" i="28"/>
  <c r="Z128" i="28"/>
  <c r="X163" i="28"/>
  <c r="Y7" i="28"/>
  <c r="X161" i="28"/>
  <c r="X162" i="28" s="1"/>
  <c r="Z119" i="28"/>
  <c r="AA160" i="28"/>
  <c r="AA11" i="28"/>
  <c r="AB8" i="28"/>
  <c r="AA186" i="28"/>
  <c r="AA184" i="28" s="1"/>
  <c r="Z185" i="28"/>
  <c r="S123" i="29"/>
  <c r="S127" i="29" s="1"/>
  <c r="S129" i="29" s="1"/>
  <c r="Z199" i="28" l="1"/>
  <c r="V232" i="28"/>
  <c r="W226" i="28"/>
  <c r="X226" i="28" s="1"/>
  <c r="Y226" i="28" s="1"/>
  <c r="Q83" i="28"/>
  <c r="AC83" i="28"/>
  <c r="AO83" i="28"/>
  <c r="BA83" i="28"/>
  <c r="BM83" i="28"/>
  <c r="R83" i="28"/>
  <c r="AD83" i="28"/>
  <c r="AP83" i="28"/>
  <c r="BB83" i="28"/>
  <c r="BN83" i="28"/>
  <c r="S83" i="28"/>
  <c r="AE83" i="28"/>
  <c r="AQ83" i="28"/>
  <c r="BC83" i="28"/>
  <c r="BO83" i="28"/>
  <c r="T83" i="28"/>
  <c r="AF83" i="28"/>
  <c r="AR83" i="28"/>
  <c r="BD83" i="28"/>
  <c r="BP83" i="28"/>
  <c r="U83" i="28"/>
  <c r="AG83" i="28"/>
  <c r="AS83" i="28"/>
  <c r="BE83" i="28"/>
  <c r="BQ83" i="28"/>
  <c r="V83" i="28"/>
  <c r="AH83" i="28"/>
  <c r="AT83" i="28"/>
  <c r="BF83" i="28"/>
  <c r="BR83" i="28"/>
  <c r="K83" i="28"/>
  <c r="W83" i="28"/>
  <c r="AI83" i="28"/>
  <c r="AU83" i="28"/>
  <c r="BG83" i="28"/>
  <c r="BS83" i="28"/>
  <c r="L83" i="28"/>
  <c r="X83" i="28"/>
  <c r="AJ83" i="28"/>
  <c r="AV83" i="28"/>
  <c r="BH83" i="28"/>
  <c r="BT83" i="28"/>
  <c r="M83" i="28"/>
  <c r="Y83" i="28"/>
  <c r="AK83" i="28"/>
  <c r="AW83" i="28"/>
  <c r="BI83" i="28"/>
  <c r="BU83" i="28"/>
  <c r="N83" i="28"/>
  <c r="Z83" i="28"/>
  <c r="AL83" i="28"/>
  <c r="AX83" i="28"/>
  <c r="BJ83" i="28"/>
  <c r="BV83" i="28"/>
  <c r="O83" i="28"/>
  <c r="AA83" i="28"/>
  <c r="AM83" i="28"/>
  <c r="AY83" i="28"/>
  <c r="BK83" i="28"/>
  <c r="BW83" i="28"/>
  <c r="P83" i="28"/>
  <c r="AB83" i="28"/>
  <c r="AN83" i="28"/>
  <c r="AZ83" i="28"/>
  <c r="BL83" i="28"/>
  <c r="BX83" i="28"/>
  <c r="K277" i="28"/>
  <c r="Z256" i="28"/>
  <c r="AA256" i="28" s="1"/>
  <c r="R262" i="28"/>
  <c r="S255" i="28"/>
  <c r="W225" i="28"/>
  <c r="X225" i="28" s="1"/>
  <c r="R242" i="28"/>
  <c r="S235" i="28"/>
  <c r="T235" i="28" s="1"/>
  <c r="Y221" i="28"/>
  <c r="Y275" i="28"/>
  <c r="Y276" i="28" s="1"/>
  <c r="Y271" i="28"/>
  <c r="Y201" i="28"/>
  <c r="Y211" i="28"/>
  <c r="Y212" i="28" s="1"/>
  <c r="Y231" i="28"/>
  <c r="Y241" i="28"/>
  <c r="Y251" i="28"/>
  <c r="Y252" i="28" s="1"/>
  <c r="Y261" i="28"/>
  <c r="T215" i="28"/>
  <c r="U215" i="28" s="1"/>
  <c r="U222" i="28" s="1"/>
  <c r="AA267" i="28"/>
  <c r="V265" i="28"/>
  <c r="W265" i="28" s="1"/>
  <c r="W272" i="28" s="1"/>
  <c r="T272" i="28"/>
  <c r="AA266" i="28"/>
  <c r="AA270" i="28"/>
  <c r="AA239" i="28"/>
  <c r="AA237" i="28"/>
  <c r="AA258" i="28"/>
  <c r="AA260" i="28"/>
  <c r="AA238" i="28"/>
  <c r="AA236" i="28"/>
  <c r="AA230" i="28"/>
  <c r="AB227" i="28"/>
  <c r="AA229" i="28"/>
  <c r="AA228" i="28"/>
  <c r="AA257" i="28"/>
  <c r="AA240" i="28"/>
  <c r="AA269" i="28"/>
  <c r="AA220" i="28"/>
  <c r="AA217" i="28"/>
  <c r="AA216" i="28"/>
  <c r="AA219" i="28"/>
  <c r="AA218" i="28"/>
  <c r="AA268" i="28"/>
  <c r="AA259" i="28"/>
  <c r="AA205" i="28"/>
  <c r="AA210" i="28"/>
  <c r="AA207" i="28"/>
  <c r="AA208" i="28"/>
  <c r="AA209" i="28"/>
  <c r="AA206" i="28"/>
  <c r="AB9" i="28"/>
  <c r="AB10" i="28"/>
  <c r="AB17" i="28"/>
  <c r="AB20" i="28"/>
  <c r="AB29" i="28"/>
  <c r="AB259" i="28" s="1"/>
  <c r="AB23" i="28"/>
  <c r="AB32" i="28"/>
  <c r="AG124" i="29"/>
  <c r="AJ124" i="29" s="1"/>
  <c r="AE125" i="29"/>
  <c r="AF125" i="29" s="1"/>
  <c r="R87" i="29"/>
  <c r="W51" i="28"/>
  <c r="R50" i="29"/>
  <c r="W54" i="28" s="1"/>
  <c r="T117" i="29"/>
  <c r="S47" i="29"/>
  <c r="S119" i="29"/>
  <c r="T116" i="29"/>
  <c r="Q106" i="28"/>
  <c r="G15" i="35"/>
  <c r="H15" i="35" s="1"/>
  <c r="AA75" i="25"/>
  <c r="AC75" i="25" s="1"/>
  <c r="AD75" i="25" s="1"/>
  <c r="G75" i="25"/>
  <c r="E90" i="28"/>
  <c r="D7" i="33"/>
  <c r="D9" i="33" s="1"/>
  <c r="H19" i="25"/>
  <c r="H13" i="25"/>
  <c r="H11" i="25"/>
  <c r="H18" i="25"/>
  <c r="H12" i="25"/>
  <c r="H17" i="25"/>
  <c r="H16" i="25"/>
  <c r="H15" i="25"/>
  <c r="H20" i="25"/>
  <c r="H14" i="25"/>
  <c r="AA65" i="25"/>
  <c r="AB14" i="28"/>
  <c r="AA35" i="28"/>
  <c r="U197" i="28"/>
  <c r="W198" i="28"/>
  <c r="S196" i="28"/>
  <c r="D15" i="25"/>
  <c r="E106" i="25"/>
  <c r="D18" i="25"/>
  <c r="E108" i="25"/>
  <c r="D13" i="25"/>
  <c r="E110" i="25"/>
  <c r="D14" i="25"/>
  <c r="E105" i="25"/>
  <c r="D19" i="25"/>
  <c r="E109" i="25"/>
  <c r="D12" i="25"/>
  <c r="E104" i="25"/>
  <c r="D17" i="25"/>
  <c r="E107" i="25"/>
  <c r="J83" i="28"/>
  <c r="F27" i="25"/>
  <c r="F34" i="25"/>
  <c r="CK71" i="28"/>
  <c r="J69" i="25"/>
  <c r="E69" i="25" s="1"/>
  <c r="Q5" i="23"/>
  <c r="E276" i="28"/>
  <c r="W77" i="25"/>
  <c r="C111" i="25"/>
  <c r="U77" i="25"/>
  <c r="V77" i="25"/>
  <c r="L20" i="9"/>
  <c r="G20" i="25"/>
  <c r="F67" i="25"/>
  <c r="E82" i="28"/>
  <c r="M21" i="9"/>
  <c r="M20" i="9"/>
  <c r="M22" i="9"/>
  <c r="M14" i="9"/>
  <c r="M19" i="9"/>
  <c r="M11" i="9"/>
  <c r="M16" i="9"/>
  <c r="M10" i="9"/>
  <c r="M7" i="9"/>
  <c r="M17" i="9"/>
  <c r="M8" i="9"/>
  <c r="M23" i="9"/>
  <c r="M9" i="9"/>
  <c r="M15" i="9"/>
  <c r="M18" i="9"/>
  <c r="M13" i="9"/>
  <c r="M12" i="9"/>
  <c r="BV224" i="28"/>
  <c r="E232" i="28"/>
  <c r="BV204" i="28"/>
  <c r="E212" i="28"/>
  <c r="E272" i="28"/>
  <c r="BV264" i="28"/>
  <c r="E222" i="28"/>
  <c r="BV214" i="28"/>
  <c r="R195" i="28"/>
  <c r="E262" i="28"/>
  <c r="BV254" i="28"/>
  <c r="BV234" i="28"/>
  <c r="E242" i="28"/>
  <c r="BJ194" i="28"/>
  <c r="AG194" i="28"/>
  <c r="AW194" i="28"/>
  <c r="U194" i="28"/>
  <c r="BS194" i="28"/>
  <c r="X194" i="28"/>
  <c r="BG194" i="28"/>
  <c r="BD194" i="28"/>
  <c r="N194" i="28"/>
  <c r="AT194" i="28"/>
  <c r="AQ194" i="28"/>
  <c r="BA194" i="28"/>
  <c r="AB194" i="28"/>
  <c r="BH194" i="28"/>
  <c r="S194" i="28"/>
  <c r="AO194" i="28"/>
  <c r="BU194" i="28"/>
  <c r="AJ194" i="28"/>
  <c r="P194" i="28"/>
  <c r="BL194" i="28"/>
  <c r="AA194" i="28"/>
  <c r="AP194" i="28"/>
  <c r="AX194" i="28"/>
  <c r="O194" i="28"/>
  <c r="BF194" i="28"/>
  <c r="BR194" i="28"/>
  <c r="AV194" i="28"/>
  <c r="BM194" i="28"/>
  <c r="BT194" i="28"/>
  <c r="AK194" i="28"/>
  <c r="BO194" i="28"/>
  <c r="E202" i="28"/>
  <c r="AC194" i="28"/>
  <c r="AZ194" i="28"/>
  <c r="BV194" i="28"/>
  <c r="BI194" i="28"/>
  <c r="AR194" i="28"/>
  <c r="AI194" i="28"/>
  <c r="AE194" i="28"/>
  <c r="Y194" i="28"/>
  <c r="V194" i="28"/>
  <c r="W194" i="28"/>
  <c r="R194" i="28"/>
  <c r="AF194" i="28"/>
  <c r="AL194" i="28"/>
  <c r="Z194" i="28"/>
  <c r="BE194" i="28"/>
  <c r="AD194" i="28"/>
  <c r="BP194" i="28"/>
  <c r="BN194" i="28"/>
  <c r="BQ194" i="28"/>
  <c r="AN194" i="28"/>
  <c r="Q194" i="28"/>
  <c r="Q202" i="28" s="1"/>
  <c r="Q277" i="28" s="1"/>
  <c r="BK194" i="28"/>
  <c r="T194" i="28"/>
  <c r="AU194" i="28"/>
  <c r="BC194" i="28"/>
  <c r="AM194" i="28"/>
  <c r="AY194" i="28"/>
  <c r="AS194" i="28"/>
  <c r="BB194" i="28"/>
  <c r="AH194" i="28"/>
  <c r="E16" i="32"/>
  <c r="G16" i="32"/>
  <c r="F65" i="25"/>
  <c r="G10" i="32"/>
  <c r="H10" i="32" s="1"/>
  <c r="H9" i="32"/>
  <c r="E80" i="28"/>
  <c r="J23" i="9"/>
  <c r="K23" i="9"/>
  <c r="L23" i="9"/>
  <c r="R5" i="23"/>
  <c r="J74" i="25"/>
  <c r="J70" i="25"/>
  <c r="K15" i="9"/>
  <c r="J16" i="9"/>
  <c r="L17" i="9"/>
  <c r="J15" i="9"/>
  <c r="J7" i="9"/>
  <c r="E43" i="9"/>
  <c r="F39" i="9" s="1"/>
  <c r="J21" i="9"/>
  <c r="L13" i="9"/>
  <c r="K12" i="9"/>
  <c r="J17" i="9"/>
  <c r="K18" i="9"/>
  <c r="K22" i="9"/>
  <c r="L10" i="9"/>
  <c r="J22" i="9"/>
  <c r="J19" i="9"/>
  <c r="K17" i="9"/>
  <c r="K8" i="9"/>
  <c r="J9" i="9"/>
  <c r="K16" i="9"/>
  <c r="K14" i="9"/>
  <c r="K20" i="9"/>
  <c r="K7" i="9"/>
  <c r="L15" i="9"/>
  <c r="J20" i="9"/>
  <c r="J14" i="9"/>
  <c r="J13" i="9"/>
  <c r="J8" i="9"/>
  <c r="J11" i="9"/>
  <c r="K10" i="9"/>
  <c r="L18" i="9"/>
  <c r="K13" i="9"/>
  <c r="K9" i="9"/>
  <c r="K11" i="9"/>
  <c r="L11" i="9"/>
  <c r="L19" i="9"/>
  <c r="K19" i="9"/>
  <c r="L14" i="9"/>
  <c r="L7" i="9"/>
  <c r="J12" i="9"/>
  <c r="L16" i="9"/>
  <c r="L9" i="9"/>
  <c r="J18" i="9"/>
  <c r="L12" i="9"/>
  <c r="L21" i="9"/>
  <c r="J10" i="9"/>
  <c r="K21" i="9"/>
  <c r="R39" i="29"/>
  <c r="W189" i="28"/>
  <c r="D11" i="25"/>
  <c r="G5" i="23"/>
  <c r="AA128" i="28"/>
  <c r="AA133" i="28"/>
  <c r="AA119" i="28"/>
  <c r="AA200" i="28"/>
  <c r="AB160" i="28"/>
  <c r="AB11" i="28"/>
  <c r="AC8" i="28"/>
  <c r="AB186" i="28"/>
  <c r="AB184" i="28" s="1"/>
  <c r="V2" i="28"/>
  <c r="V3" i="28" s="1"/>
  <c r="U6" i="28"/>
  <c r="U5" i="28"/>
  <c r="U4" i="28"/>
  <c r="Y163" i="28"/>
  <c r="Z7" i="28"/>
  <c r="Y161" i="28"/>
  <c r="Y162" i="28" s="1"/>
  <c r="AA199" i="28"/>
  <c r="Q39" i="29"/>
  <c r="Q130" i="29"/>
  <c r="R128" i="29" s="1"/>
  <c r="T123" i="29"/>
  <c r="T127" i="29" s="1"/>
  <c r="T129" i="29" s="1"/>
  <c r="AA185" i="28"/>
  <c r="X232" i="28" l="1"/>
  <c r="AB236" i="28"/>
  <c r="T242" i="28"/>
  <c r="BV90" i="28"/>
  <c r="BW90" i="28"/>
  <c r="BX90" i="28"/>
  <c r="W232" i="28"/>
  <c r="K82" i="28"/>
  <c r="W82" i="28"/>
  <c r="AI82" i="28"/>
  <c r="AU82" i="28"/>
  <c r="BG82" i="28"/>
  <c r="BS82" i="28"/>
  <c r="AT82" i="28"/>
  <c r="L82" i="28"/>
  <c r="X82" i="28"/>
  <c r="AJ82" i="28"/>
  <c r="AV82" i="28"/>
  <c r="BH82" i="28"/>
  <c r="BT82" i="28"/>
  <c r="V82" i="28"/>
  <c r="BR82" i="28"/>
  <c r="M82" i="28"/>
  <c r="Y82" i="28"/>
  <c r="AK82" i="28"/>
  <c r="AW82" i="28"/>
  <c r="BI82" i="28"/>
  <c r="BU82" i="28"/>
  <c r="N82" i="28"/>
  <c r="Z82" i="28"/>
  <c r="AL82" i="28"/>
  <c r="AX82" i="28"/>
  <c r="BJ82" i="28"/>
  <c r="BV82" i="28"/>
  <c r="O82" i="28"/>
  <c r="AA82" i="28"/>
  <c r="AM82" i="28"/>
  <c r="AY82" i="28"/>
  <c r="BK82" i="28"/>
  <c r="BW82" i="28"/>
  <c r="P82" i="28"/>
  <c r="AB82" i="28"/>
  <c r="AN82" i="28"/>
  <c r="AZ82" i="28"/>
  <c r="BL82" i="28"/>
  <c r="BX82" i="28"/>
  <c r="Q82" i="28"/>
  <c r="AC82" i="28"/>
  <c r="AO82" i="28"/>
  <c r="BA82" i="28"/>
  <c r="BM82" i="28"/>
  <c r="AH82" i="28"/>
  <c r="R82" i="28"/>
  <c r="AD82" i="28"/>
  <c r="AP82" i="28"/>
  <c r="BB82" i="28"/>
  <c r="BN82" i="28"/>
  <c r="S82" i="28"/>
  <c r="AE82" i="28"/>
  <c r="AQ82" i="28"/>
  <c r="BC82" i="28"/>
  <c r="BO82" i="28"/>
  <c r="J82" i="28"/>
  <c r="BF82" i="28"/>
  <c r="T82" i="28"/>
  <c r="AF82" i="28"/>
  <c r="AR82" i="28"/>
  <c r="BD82" i="28"/>
  <c r="BP82" i="28"/>
  <c r="U82" i="28"/>
  <c r="AG82" i="28"/>
  <c r="AS82" i="28"/>
  <c r="BE82" i="28"/>
  <c r="BQ82" i="28"/>
  <c r="Z226" i="28"/>
  <c r="AA226" i="28" s="1"/>
  <c r="X198" i="28"/>
  <c r="K80" i="28"/>
  <c r="W80" i="28"/>
  <c r="AI80" i="28"/>
  <c r="AU80" i="28"/>
  <c r="BG80" i="28"/>
  <c r="BS80" i="28"/>
  <c r="L80" i="28"/>
  <c r="X80" i="28"/>
  <c r="AJ80" i="28"/>
  <c r="AV80" i="28"/>
  <c r="BH80" i="28"/>
  <c r="BT80" i="28"/>
  <c r="AT80" i="28"/>
  <c r="M80" i="28"/>
  <c r="Y80" i="28"/>
  <c r="AK80" i="28"/>
  <c r="AW80" i="28"/>
  <c r="BI80" i="28"/>
  <c r="BU80" i="28"/>
  <c r="BF80" i="28"/>
  <c r="N80" i="28"/>
  <c r="Z80" i="28"/>
  <c r="AL80" i="28"/>
  <c r="AX80" i="28"/>
  <c r="BJ80" i="28"/>
  <c r="BV80" i="28"/>
  <c r="O80" i="28"/>
  <c r="AA80" i="28"/>
  <c r="AM80" i="28"/>
  <c r="AY80" i="28"/>
  <c r="BK80" i="28"/>
  <c r="BW80" i="28"/>
  <c r="P80" i="28"/>
  <c r="AB80" i="28"/>
  <c r="AN80" i="28"/>
  <c r="AZ80" i="28"/>
  <c r="BL80" i="28"/>
  <c r="BX80" i="28"/>
  <c r="BR80" i="28"/>
  <c r="Q80" i="28"/>
  <c r="AC80" i="28"/>
  <c r="AO80" i="28"/>
  <c r="BA80" i="28"/>
  <c r="BM80" i="28"/>
  <c r="V80" i="28"/>
  <c r="R80" i="28"/>
  <c r="AD80" i="28"/>
  <c r="AP80" i="28"/>
  <c r="BB80" i="28"/>
  <c r="BN80" i="28"/>
  <c r="S80" i="28"/>
  <c r="AE80" i="28"/>
  <c r="AQ80" i="28"/>
  <c r="BC80" i="28"/>
  <c r="BO80" i="28"/>
  <c r="AH80" i="28"/>
  <c r="T80" i="28"/>
  <c r="AF80" i="28"/>
  <c r="AR80" i="28"/>
  <c r="BD80" i="28"/>
  <c r="BP80" i="28"/>
  <c r="U80" i="28"/>
  <c r="AG80" i="28"/>
  <c r="AS80" i="28"/>
  <c r="BE80" i="28"/>
  <c r="BQ80" i="28"/>
  <c r="S262" i="28"/>
  <c r="T255" i="28"/>
  <c r="U255" i="28" s="1"/>
  <c r="U262" i="28" s="1"/>
  <c r="T222" i="28"/>
  <c r="S242" i="28"/>
  <c r="Z261" i="28"/>
  <c r="Z221" i="28"/>
  <c r="Z201" i="28"/>
  <c r="Z211" i="28"/>
  <c r="Z212" i="28" s="1"/>
  <c r="Z271" i="28"/>
  <c r="Z231" i="28"/>
  <c r="Z241" i="28"/>
  <c r="Z275" i="28"/>
  <c r="Z276" i="28" s="1"/>
  <c r="Z251" i="28"/>
  <c r="Z252" i="28" s="1"/>
  <c r="U235" i="28"/>
  <c r="U242" i="28" s="1"/>
  <c r="V215" i="28"/>
  <c r="V222" i="28" s="1"/>
  <c r="Y225" i="28"/>
  <c r="Z225" i="28" s="1"/>
  <c r="V272" i="28"/>
  <c r="X265" i="28"/>
  <c r="AB266" i="28"/>
  <c r="AB268" i="28"/>
  <c r="AB269" i="28"/>
  <c r="AB210" i="28"/>
  <c r="AB206" i="28"/>
  <c r="AB209" i="28"/>
  <c r="AB207" i="28"/>
  <c r="AB208" i="28"/>
  <c r="AB205" i="28"/>
  <c r="AB240" i="28"/>
  <c r="AB238" i="28"/>
  <c r="AB239" i="28"/>
  <c r="AB237" i="28"/>
  <c r="AB256" i="28"/>
  <c r="AB260" i="28"/>
  <c r="AB258" i="28"/>
  <c r="AB257" i="28"/>
  <c r="AC227" i="28"/>
  <c r="AB228" i="28"/>
  <c r="AB229" i="28"/>
  <c r="AB230" i="28"/>
  <c r="AB217" i="28"/>
  <c r="AB220" i="28"/>
  <c r="AB218" i="28"/>
  <c r="AB219" i="28"/>
  <c r="AB216" i="28"/>
  <c r="AB270" i="28"/>
  <c r="AB267" i="28"/>
  <c r="M202" i="28"/>
  <c r="M277" i="28" s="1"/>
  <c r="AC9" i="28"/>
  <c r="AC10" i="28"/>
  <c r="AC17" i="28"/>
  <c r="AC20" i="28"/>
  <c r="AC23" i="28"/>
  <c r="AC29" i="28"/>
  <c r="AC32" i="28"/>
  <c r="O202" i="28"/>
  <c r="O277" i="28" s="1"/>
  <c r="N202" i="28"/>
  <c r="N277" i="28" s="1"/>
  <c r="P202" i="28"/>
  <c r="P277" i="28" s="1"/>
  <c r="AG125" i="29"/>
  <c r="AH125" i="29" s="1"/>
  <c r="S195" i="28"/>
  <c r="S106" i="28" s="1"/>
  <c r="AI124" i="29"/>
  <c r="AL124" i="29" s="1"/>
  <c r="S50" i="29"/>
  <c r="X54" i="28" s="1"/>
  <c r="X51" i="28"/>
  <c r="S87" i="29"/>
  <c r="U117" i="29"/>
  <c r="T47" i="29"/>
  <c r="T119" i="29"/>
  <c r="U116" i="29"/>
  <c r="Q107" i="28"/>
  <c r="R106" i="28"/>
  <c r="BF90" i="28"/>
  <c r="BJ90" i="28"/>
  <c r="BS90" i="28"/>
  <c r="AD90" i="28"/>
  <c r="BC90" i="28"/>
  <c r="O90" i="28"/>
  <c r="AO90" i="28"/>
  <c r="AQ90" i="28"/>
  <c r="V90" i="28"/>
  <c r="AE90" i="28"/>
  <c r="AK90" i="28"/>
  <c r="BG90" i="28"/>
  <c r="BK90" i="28"/>
  <c r="BT90" i="28"/>
  <c r="N90" i="28"/>
  <c r="AG90" i="28"/>
  <c r="S90" i="28"/>
  <c r="T90" i="28"/>
  <c r="BA90" i="28"/>
  <c r="K90" i="28"/>
  <c r="BD90" i="28"/>
  <c r="AV90" i="28"/>
  <c r="BH90" i="28"/>
  <c r="BL90" i="28"/>
  <c r="BQ90" i="28"/>
  <c r="AU90" i="28"/>
  <c r="L90" i="28"/>
  <c r="W90" i="28"/>
  <c r="AS90" i="28"/>
  <c r="AA90" i="28"/>
  <c r="AX90" i="28"/>
  <c r="AI90" i="28"/>
  <c r="AL90" i="28"/>
  <c r="BN90" i="28"/>
  <c r="BP90" i="28"/>
  <c r="Y90" i="28"/>
  <c r="P90" i="28"/>
  <c r="AP90" i="28"/>
  <c r="X90" i="28"/>
  <c r="BE90" i="28"/>
  <c r="AH90" i="28"/>
  <c r="M90" i="28"/>
  <c r="AJ90" i="28"/>
  <c r="BO90" i="28"/>
  <c r="BU90" i="28"/>
  <c r="AF90" i="28"/>
  <c r="Z90" i="28"/>
  <c r="AW90" i="28"/>
  <c r="AN90" i="28"/>
  <c r="R90" i="28"/>
  <c r="AR90" i="28"/>
  <c r="BI90" i="28"/>
  <c r="BR90" i="28"/>
  <c r="AT90" i="28"/>
  <c r="AC90" i="28"/>
  <c r="BB90" i="28"/>
  <c r="J90" i="28"/>
  <c r="AB90" i="28"/>
  <c r="U90" i="28"/>
  <c r="AZ90" i="28"/>
  <c r="Q90" i="28"/>
  <c r="AY90" i="28"/>
  <c r="AM90" i="28"/>
  <c r="BM90" i="28"/>
  <c r="E70" i="25"/>
  <c r="J72" i="25"/>
  <c r="E277" i="28"/>
  <c r="AB119" i="28"/>
  <c r="AB35" i="28"/>
  <c r="AC14" i="28"/>
  <c r="Y198" i="28"/>
  <c r="Z198" i="28" s="1"/>
  <c r="AA198" i="28" s="1"/>
  <c r="V197" i="28"/>
  <c r="W197" i="28" s="1"/>
  <c r="T196" i="28"/>
  <c r="D105" i="25"/>
  <c r="E84" i="28"/>
  <c r="AA69" i="25"/>
  <c r="H13" i="32"/>
  <c r="H14" i="32"/>
  <c r="H15" i="32"/>
  <c r="G69" i="25"/>
  <c r="F71" i="25"/>
  <c r="E86" i="28"/>
  <c r="D103" i="25"/>
  <c r="AB200" i="28"/>
  <c r="G67" i="25"/>
  <c r="AC67" i="25" s="1"/>
  <c r="AD67" i="25" s="1"/>
  <c r="G65" i="25"/>
  <c r="AC65" i="25" s="1"/>
  <c r="AD65" i="25" s="1"/>
  <c r="D104" i="25"/>
  <c r="D110" i="25"/>
  <c r="D108" i="25"/>
  <c r="D106" i="25"/>
  <c r="D109" i="25"/>
  <c r="D111" i="25"/>
  <c r="D107" i="25"/>
  <c r="U78" i="25"/>
  <c r="F33" i="25"/>
  <c r="G27" i="25"/>
  <c r="G34" i="25"/>
  <c r="F41" i="25"/>
  <c r="R202" i="28"/>
  <c r="R277" i="28" s="1"/>
  <c r="BZ224" i="28"/>
  <c r="CA224" i="28" s="1"/>
  <c r="F224" i="28" s="1"/>
  <c r="BZ264" i="28"/>
  <c r="CA264" i="28" s="1"/>
  <c r="F264" i="28" s="1"/>
  <c r="BZ204" i="28"/>
  <c r="CA204" i="28" s="1"/>
  <c r="F204" i="28" s="1"/>
  <c r="L202" i="28"/>
  <c r="L277" i="28" s="1"/>
  <c r="BZ194" i="28"/>
  <c r="CA194" i="28" s="1"/>
  <c r="F194" i="28" s="1"/>
  <c r="BZ234" i="28"/>
  <c r="CA234" i="28" s="1"/>
  <c r="F234" i="28" s="1"/>
  <c r="BZ254" i="28"/>
  <c r="CA254" i="28" s="1"/>
  <c r="F254" i="28" s="1"/>
  <c r="BZ214" i="28"/>
  <c r="CA214" i="28" s="1"/>
  <c r="F214" i="28" s="1"/>
  <c r="J80" i="28"/>
  <c r="P23" i="9"/>
  <c r="F37" i="9"/>
  <c r="AB23" i="9"/>
  <c r="F34" i="9"/>
  <c r="AB11" i="9"/>
  <c r="AB10" i="9"/>
  <c r="AB21" i="9"/>
  <c r="AB22" i="9"/>
  <c r="F42" i="9"/>
  <c r="AB8" i="9"/>
  <c r="F36" i="9"/>
  <c r="AB19" i="9"/>
  <c r="F38" i="9"/>
  <c r="F41" i="9"/>
  <c r="AB18" i="9"/>
  <c r="AB7" i="9"/>
  <c r="AB14" i="9"/>
  <c r="AB12" i="9"/>
  <c r="F43" i="9"/>
  <c r="AB13" i="9"/>
  <c r="AB9" i="9"/>
  <c r="F35" i="9"/>
  <c r="AB17" i="9"/>
  <c r="AB16" i="9"/>
  <c r="AB15" i="9"/>
  <c r="F40" i="9"/>
  <c r="AB20" i="9"/>
  <c r="P8" i="9"/>
  <c r="P12" i="9"/>
  <c r="P16" i="9"/>
  <c r="P17" i="9"/>
  <c r="P20" i="9"/>
  <c r="P19" i="9"/>
  <c r="P7" i="9"/>
  <c r="P9" i="9"/>
  <c r="P13" i="9"/>
  <c r="P18" i="9"/>
  <c r="P21" i="9"/>
  <c r="P15" i="9"/>
  <c r="P14" i="9"/>
  <c r="P22" i="9"/>
  <c r="P10" i="9"/>
  <c r="P11" i="9"/>
  <c r="R130" i="29"/>
  <c r="Z163" i="28"/>
  <c r="AA7" i="28"/>
  <c r="AB128" i="28"/>
  <c r="AB133" i="28"/>
  <c r="AC160" i="28"/>
  <c r="AD8" i="28"/>
  <c r="AC11" i="28"/>
  <c r="AC186" i="28"/>
  <c r="AC184" i="28" s="1"/>
  <c r="V6" i="28"/>
  <c r="V5" i="28"/>
  <c r="V4" i="28"/>
  <c r="W2" i="28"/>
  <c r="W3" i="28" s="1"/>
  <c r="AB199" i="28"/>
  <c r="AB185" i="28"/>
  <c r="U123" i="29"/>
  <c r="U127" i="29" s="1"/>
  <c r="U129" i="29" s="1"/>
  <c r="AB226" i="28" l="1"/>
  <c r="Q84" i="28"/>
  <c r="AC84" i="28"/>
  <c r="AO84" i="28"/>
  <c r="BA84" i="28"/>
  <c r="BM84" i="28"/>
  <c r="R84" i="28"/>
  <c r="AD84" i="28"/>
  <c r="AP84" i="28"/>
  <c r="BB84" i="28"/>
  <c r="BN84" i="28"/>
  <c r="AN84" i="28"/>
  <c r="S84" i="28"/>
  <c r="AE84" i="28"/>
  <c r="AQ84" i="28"/>
  <c r="BC84" i="28"/>
  <c r="BO84" i="28"/>
  <c r="AZ84" i="28"/>
  <c r="T84" i="28"/>
  <c r="AF84" i="28"/>
  <c r="AR84" i="28"/>
  <c r="BD84" i="28"/>
  <c r="BP84" i="28"/>
  <c r="U84" i="28"/>
  <c r="AG84" i="28"/>
  <c r="AS84" i="28"/>
  <c r="BE84" i="28"/>
  <c r="BQ84" i="28"/>
  <c r="V84" i="28"/>
  <c r="AH84" i="28"/>
  <c r="AT84" i="28"/>
  <c r="BF84" i="28"/>
  <c r="BR84" i="28"/>
  <c r="K84" i="28"/>
  <c r="W84" i="28"/>
  <c r="AI84" i="28"/>
  <c r="AU84" i="28"/>
  <c r="BG84" i="28"/>
  <c r="BS84" i="28"/>
  <c r="BX84" i="28"/>
  <c r="L84" i="28"/>
  <c r="X84" i="28"/>
  <c r="AJ84" i="28"/>
  <c r="AV84" i="28"/>
  <c r="BH84" i="28"/>
  <c r="BT84" i="28"/>
  <c r="M84" i="28"/>
  <c r="Y84" i="28"/>
  <c r="AK84" i="28"/>
  <c r="AW84" i="28"/>
  <c r="BI84" i="28"/>
  <c r="BU84" i="28"/>
  <c r="AB84" i="28"/>
  <c r="BL84" i="28"/>
  <c r="N84" i="28"/>
  <c r="Z84" i="28"/>
  <c r="AL84" i="28"/>
  <c r="AX84" i="28"/>
  <c r="BJ84" i="28"/>
  <c r="BV84" i="28"/>
  <c r="O84" i="28"/>
  <c r="AA84" i="28"/>
  <c r="AM84" i="28"/>
  <c r="AY84" i="28"/>
  <c r="BK84" i="28"/>
  <c r="BW84" i="28"/>
  <c r="P84" i="28"/>
  <c r="Z232" i="28"/>
  <c r="T262" i="28"/>
  <c r="V255" i="28"/>
  <c r="W215" i="28"/>
  <c r="V235" i="28"/>
  <c r="AA275" i="28"/>
  <c r="AA276" i="28" s="1"/>
  <c r="AA271" i="28"/>
  <c r="AA211" i="28"/>
  <c r="AA212" i="28" s="1"/>
  <c r="AA261" i="28"/>
  <c r="AA221" i="28"/>
  <c r="AA201" i="28"/>
  <c r="AA231" i="28"/>
  <c r="AA241" i="28"/>
  <c r="AA251" i="28"/>
  <c r="AA252" i="28" s="1"/>
  <c r="Y232" i="28"/>
  <c r="AA225" i="28"/>
  <c r="AB225" i="28" s="1"/>
  <c r="S202" i="28"/>
  <c r="S277" i="28" s="1"/>
  <c r="X272" i="28"/>
  <c r="Y265" i="28"/>
  <c r="Z265" i="28" s="1"/>
  <c r="Z272" i="28" s="1"/>
  <c r="AC206" i="28"/>
  <c r="AC205" i="28"/>
  <c r="AC209" i="28"/>
  <c r="AC208" i="28"/>
  <c r="AC210" i="28"/>
  <c r="AC207" i="28"/>
  <c r="AC267" i="28"/>
  <c r="AC269" i="28"/>
  <c r="AC268" i="28"/>
  <c r="AC270" i="28"/>
  <c r="AC259" i="28"/>
  <c r="AC258" i="28"/>
  <c r="AC256" i="28"/>
  <c r="AC260" i="28"/>
  <c r="AC257" i="28"/>
  <c r="AC239" i="28"/>
  <c r="AC238" i="28"/>
  <c r="AC236" i="28"/>
  <c r="AC237" i="28"/>
  <c r="AC240" i="28"/>
  <c r="AC229" i="28"/>
  <c r="AC226" i="28"/>
  <c r="AD227" i="28"/>
  <c r="AC228" i="28"/>
  <c r="AC230" i="28"/>
  <c r="AC218" i="28"/>
  <c r="AC216" i="28"/>
  <c r="AC220" i="28"/>
  <c r="AC217" i="28"/>
  <c r="AC219" i="28"/>
  <c r="AC266" i="28"/>
  <c r="AD9" i="28"/>
  <c r="AD10" i="28"/>
  <c r="AD17" i="28"/>
  <c r="AD20" i="28"/>
  <c r="AD29" i="28"/>
  <c r="AD23" i="28"/>
  <c r="AD32" i="28"/>
  <c r="T195" i="28"/>
  <c r="AK124" i="29"/>
  <c r="AN124" i="29" s="1"/>
  <c r="AI125" i="29"/>
  <c r="AJ125" i="29" s="1"/>
  <c r="Y51" i="28"/>
  <c r="T87" i="29"/>
  <c r="T50" i="29"/>
  <c r="Y54" i="28" s="1"/>
  <c r="V117" i="29"/>
  <c r="U47" i="29"/>
  <c r="U119" i="29"/>
  <c r="V116" i="29"/>
  <c r="R107" i="28"/>
  <c r="BZ90" i="28"/>
  <c r="CA90" i="28" s="1"/>
  <c r="F90" i="28" s="1"/>
  <c r="J85" i="25"/>
  <c r="J84" i="25"/>
  <c r="R63" i="25"/>
  <c r="B136" i="28"/>
  <c r="S42" i="25"/>
  <c r="S44" i="25"/>
  <c r="V102" i="25"/>
  <c r="D136" i="28"/>
  <c r="K125" i="28"/>
  <c r="X27" i="9"/>
  <c r="R64" i="25"/>
  <c r="J87" i="25"/>
  <c r="J86" i="25"/>
  <c r="S128" i="29"/>
  <c r="X189" i="28" s="1"/>
  <c r="F70" i="25"/>
  <c r="G70" i="25" s="1"/>
  <c r="E73" i="25"/>
  <c r="E85" i="28"/>
  <c r="AA70" i="25"/>
  <c r="AA72" i="25"/>
  <c r="F72" i="25"/>
  <c r="G72" i="25" s="1"/>
  <c r="E87" i="28"/>
  <c r="AD14" i="28"/>
  <c r="AC35" i="28"/>
  <c r="AB198" i="28"/>
  <c r="X197" i="28"/>
  <c r="Y197" i="28" s="1"/>
  <c r="U196" i="28"/>
  <c r="J84" i="28"/>
  <c r="AC69" i="25"/>
  <c r="AD69" i="25" s="1"/>
  <c r="L86" i="28"/>
  <c r="K86" i="28"/>
  <c r="J86" i="28"/>
  <c r="N86" i="28"/>
  <c r="M86" i="28"/>
  <c r="AE86" i="28"/>
  <c r="AV86" i="28"/>
  <c r="AP86" i="28"/>
  <c r="AU86" i="28"/>
  <c r="AW86" i="28"/>
  <c r="AN86" i="28"/>
  <c r="AX86" i="28"/>
  <c r="AG86" i="28"/>
  <c r="AZ86" i="28"/>
  <c r="S86" i="28"/>
  <c r="Q86" i="28"/>
  <c r="AM86" i="28"/>
  <c r="V86" i="28"/>
  <c r="BD86" i="28"/>
  <c r="AA86" i="28"/>
  <c r="AK86" i="28"/>
  <c r="AR86" i="28"/>
  <c r="AQ86" i="28"/>
  <c r="BB86" i="28"/>
  <c r="AF86" i="28"/>
  <c r="Z86" i="28"/>
  <c r="AB86" i="28"/>
  <c r="AS86" i="28"/>
  <c r="X86" i="28"/>
  <c r="AH86" i="28"/>
  <c r="AC86" i="28"/>
  <c r="AJ86" i="28"/>
  <c r="AT86" i="28"/>
  <c r="BE86" i="28"/>
  <c r="BA86" i="28"/>
  <c r="U86" i="28"/>
  <c r="AL86" i="28"/>
  <c r="P86" i="28"/>
  <c r="AO86" i="28"/>
  <c r="BC86" i="28"/>
  <c r="Y86" i="28"/>
  <c r="AY86" i="28"/>
  <c r="R86" i="28"/>
  <c r="W86" i="28"/>
  <c r="T86" i="28"/>
  <c r="AD86" i="28"/>
  <c r="O86" i="28"/>
  <c r="AI86" i="28"/>
  <c r="BQ86" i="28"/>
  <c r="BG86" i="28"/>
  <c r="BP86" i="28"/>
  <c r="BU86" i="28"/>
  <c r="BR86" i="28"/>
  <c r="BT86" i="28"/>
  <c r="BL86" i="28"/>
  <c r="BK86" i="28"/>
  <c r="BO86" i="28"/>
  <c r="BM86" i="28"/>
  <c r="BI86" i="28"/>
  <c r="BF86" i="28"/>
  <c r="BJ86" i="28"/>
  <c r="BN86" i="28"/>
  <c r="BH86" i="28"/>
  <c r="BS86" i="28"/>
  <c r="G71" i="25"/>
  <c r="AC71" i="25" s="1"/>
  <c r="AD71" i="25" s="1"/>
  <c r="G41" i="25"/>
  <c r="G33" i="25"/>
  <c r="H16" i="32"/>
  <c r="T39" i="29"/>
  <c r="Y189" i="28"/>
  <c r="AC119" i="28"/>
  <c r="AD160" i="28"/>
  <c r="AD11" i="28"/>
  <c r="AE8" i="28"/>
  <c r="AD186" i="28"/>
  <c r="AD184" i="28" s="1"/>
  <c r="AC199" i="28"/>
  <c r="X2" i="28"/>
  <c r="X3" i="28" s="1"/>
  <c r="W6" i="28"/>
  <c r="W5" i="28"/>
  <c r="W4" i="28"/>
  <c r="AC133" i="28"/>
  <c r="AC128" i="28"/>
  <c r="AA163" i="28"/>
  <c r="AB7" i="28"/>
  <c r="AA161" i="28"/>
  <c r="AA162" i="28" s="1"/>
  <c r="AC200" i="28"/>
  <c r="AC185" i="28"/>
  <c r="V123" i="29"/>
  <c r="V127" i="29" s="1"/>
  <c r="V129" i="29" s="1"/>
  <c r="AD206" i="28" l="1"/>
  <c r="BW87" i="28"/>
  <c r="BX87" i="28"/>
  <c r="BV87" i="28"/>
  <c r="BV86" i="28"/>
  <c r="T106" i="28"/>
  <c r="K85" i="28"/>
  <c r="W85" i="28"/>
  <c r="AI85" i="28"/>
  <c r="AU85" i="28"/>
  <c r="BG85" i="28"/>
  <c r="BS85" i="28"/>
  <c r="V85" i="28"/>
  <c r="L85" i="28"/>
  <c r="X85" i="28"/>
  <c r="AJ85" i="28"/>
  <c r="AV85" i="28"/>
  <c r="BH85" i="28"/>
  <c r="BT85" i="28"/>
  <c r="AH85" i="28"/>
  <c r="M85" i="28"/>
  <c r="Y85" i="28"/>
  <c r="AK85" i="28"/>
  <c r="AW85" i="28"/>
  <c r="BI85" i="28"/>
  <c r="BU85" i="28"/>
  <c r="N85" i="28"/>
  <c r="Z85" i="28"/>
  <c r="AL85" i="28"/>
  <c r="AX85" i="28"/>
  <c r="BJ85" i="28"/>
  <c r="BV85" i="28"/>
  <c r="BR85" i="28"/>
  <c r="O85" i="28"/>
  <c r="AA85" i="28"/>
  <c r="AM85" i="28"/>
  <c r="AY85" i="28"/>
  <c r="BK85" i="28"/>
  <c r="BW85" i="28"/>
  <c r="P85" i="28"/>
  <c r="AB85" i="28"/>
  <c r="AN85" i="28"/>
  <c r="AZ85" i="28"/>
  <c r="BL85" i="28"/>
  <c r="BX85" i="28"/>
  <c r="BF85" i="28"/>
  <c r="Q85" i="28"/>
  <c r="AC85" i="28"/>
  <c r="AO85" i="28"/>
  <c r="BA85" i="28"/>
  <c r="BM85" i="28"/>
  <c r="R85" i="28"/>
  <c r="AD85" i="28"/>
  <c r="AP85" i="28"/>
  <c r="BB85" i="28"/>
  <c r="BN85" i="28"/>
  <c r="S85" i="28"/>
  <c r="AE85" i="28"/>
  <c r="AQ85" i="28"/>
  <c r="BC85" i="28"/>
  <c r="BO85" i="28"/>
  <c r="T85" i="28"/>
  <c r="AF85" i="28"/>
  <c r="AR85" i="28"/>
  <c r="BD85" i="28"/>
  <c r="BP85" i="28"/>
  <c r="U85" i="28"/>
  <c r="AG85" i="28"/>
  <c r="AS85" i="28"/>
  <c r="BE85" i="28"/>
  <c r="BQ85" i="28"/>
  <c r="AT85" i="28"/>
  <c r="AC198" i="28"/>
  <c r="AD198" i="28" s="1"/>
  <c r="W255" i="28"/>
  <c r="V262" i="28"/>
  <c r="AC225" i="28"/>
  <c r="AD225" i="28" s="1"/>
  <c r="AE225" i="28" s="1"/>
  <c r="AA232" i="28"/>
  <c r="V242" i="28"/>
  <c r="W235" i="28"/>
  <c r="X235" i="28" s="1"/>
  <c r="X242" i="28" s="1"/>
  <c r="AB275" i="28"/>
  <c r="AB276" i="28" s="1"/>
  <c r="AB271" i="28"/>
  <c r="AB211" i="28"/>
  <c r="AB212" i="28" s="1"/>
  <c r="AB221" i="28"/>
  <c r="AB261" i="28"/>
  <c r="AB201" i="28"/>
  <c r="AB251" i="28"/>
  <c r="AB252" i="28" s="1"/>
  <c r="AB231" i="28"/>
  <c r="AB232" i="28" s="1"/>
  <c r="AB241" i="28"/>
  <c r="W222" i="28"/>
  <c r="X215" i="28"/>
  <c r="Y215" i="28" s="1"/>
  <c r="Y222" i="28" s="1"/>
  <c r="Y272" i="28"/>
  <c r="AA265" i="28"/>
  <c r="AK125" i="29"/>
  <c r="AL125" i="29" s="1"/>
  <c r="AD266" i="28"/>
  <c r="AD269" i="28"/>
  <c r="AD267" i="28"/>
  <c r="AD270" i="28"/>
  <c r="AD268" i="28"/>
  <c r="AD257" i="28"/>
  <c r="AD236" i="28"/>
  <c r="AD240" i="28"/>
  <c r="AD237" i="28"/>
  <c r="AD239" i="28"/>
  <c r="AD238" i="28"/>
  <c r="AD258" i="28"/>
  <c r="AD260" i="28"/>
  <c r="AD259" i="28"/>
  <c r="AD256" i="28"/>
  <c r="AD228" i="28"/>
  <c r="AD226" i="28"/>
  <c r="AD230" i="28"/>
  <c r="AD229" i="28"/>
  <c r="AE227" i="28"/>
  <c r="AD209" i="28"/>
  <c r="AD208" i="28"/>
  <c r="AD205" i="28"/>
  <c r="AD207" i="28"/>
  <c r="AD210" i="28"/>
  <c r="AD217" i="28"/>
  <c r="AD219" i="28"/>
  <c r="AD216" i="28"/>
  <c r="AD218" i="28"/>
  <c r="AD220" i="28"/>
  <c r="AE9" i="28"/>
  <c r="AE10" i="28"/>
  <c r="AE17" i="28"/>
  <c r="AE20" i="28"/>
  <c r="AE29" i="28"/>
  <c r="AE23" i="28"/>
  <c r="AE32" i="28"/>
  <c r="K127" i="28"/>
  <c r="T202" i="28"/>
  <c r="T277" i="28" s="1"/>
  <c r="U195" i="28"/>
  <c r="U106" i="28" s="1"/>
  <c r="S107" i="28"/>
  <c r="AM124" i="29"/>
  <c r="AP124" i="29" s="1"/>
  <c r="U87" i="29"/>
  <c r="Z51" i="28"/>
  <c r="U50" i="29"/>
  <c r="Z54" i="28" s="1"/>
  <c r="W117" i="29"/>
  <c r="V47" i="29"/>
  <c r="V119" i="29"/>
  <c r="W116" i="29"/>
  <c r="D125" i="28"/>
  <c r="K129" i="28"/>
  <c r="R110" i="25"/>
  <c r="V63" i="25"/>
  <c r="E84" i="25"/>
  <c r="R111" i="25"/>
  <c r="V64" i="25"/>
  <c r="E86" i="25"/>
  <c r="C117" i="25"/>
  <c r="S130" i="29"/>
  <c r="T128" i="29" s="1"/>
  <c r="S39" i="29"/>
  <c r="J85" i="28"/>
  <c r="F73" i="25"/>
  <c r="BL87" i="28"/>
  <c r="BR87" i="28"/>
  <c r="BI87" i="28"/>
  <c r="BS87" i="28"/>
  <c r="Z87" i="28"/>
  <c r="AH87" i="28"/>
  <c r="AE87" i="28"/>
  <c r="Y87" i="28"/>
  <c r="J87" i="28"/>
  <c r="M87" i="28"/>
  <c r="BM87" i="28"/>
  <c r="BN87" i="28"/>
  <c r="BU87" i="28"/>
  <c r="BP87" i="28"/>
  <c r="V87" i="28"/>
  <c r="P87" i="28"/>
  <c r="AC87" i="28"/>
  <c r="L87" i="28"/>
  <c r="BO87" i="28"/>
  <c r="BK87" i="28"/>
  <c r="BG87" i="28"/>
  <c r="BT87" i="28"/>
  <c r="N87" i="28"/>
  <c r="AL87" i="28"/>
  <c r="S87" i="28"/>
  <c r="AJ87" i="28"/>
  <c r="Q87" i="28"/>
  <c r="AG87" i="28"/>
  <c r="BH87" i="28"/>
  <c r="BJ87" i="28"/>
  <c r="BQ87" i="28"/>
  <c r="BF87" i="28"/>
  <c r="AD87" i="28"/>
  <c r="R87" i="28"/>
  <c r="W87" i="28"/>
  <c r="U87" i="28"/>
  <c r="AK87" i="28"/>
  <c r="K87" i="28"/>
  <c r="BA87" i="28"/>
  <c r="BC87" i="28"/>
  <c r="BD87" i="28"/>
  <c r="AA87" i="28"/>
  <c r="AX87" i="28"/>
  <c r="BE87" i="28"/>
  <c r="AB87" i="28"/>
  <c r="AR87" i="28"/>
  <c r="AM87" i="28"/>
  <c r="AU87" i="28"/>
  <c r="AS87" i="28"/>
  <c r="AP87" i="28"/>
  <c r="AO87" i="28"/>
  <c r="T87" i="28"/>
  <c r="AY87" i="28"/>
  <c r="AI87" i="28"/>
  <c r="AF87" i="28"/>
  <c r="AZ87" i="28"/>
  <c r="O87" i="28"/>
  <c r="AV87" i="28"/>
  <c r="BB87" i="28"/>
  <c r="AW87" i="28"/>
  <c r="X87" i="28"/>
  <c r="AQ87" i="28"/>
  <c r="AN87" i="28"/>
  <c r="AT87" i="28"/>
  <c r="AC72" i="25"/>
  <c r="AD72" i="25" s="1"/>
  <c r="AE14" i="28"/>
  <c r="AD35" i="28"/>
  <c r="BZ86" i="28"/>
  <c r="CA86" i="28" s="1"/>
  <c r="F86" i="28" s="1"/>
  <c r="BZ84" i="28"/>
  <c r="CA84" i="28" s="1"/>
  <c r="F84" i="28" s="1"/>
  <c r="Z197" i="28"/>
  <c r="V196" i="28"/>
  <c r="G73" i="25"/>
  <c r="AA73" i="25"/>
  <c r="S36" i="25" s="1"/>
  <c r="S28" i="25"/>
  <c r="AA33" i="25"/>
  <c r="AA41" i="25"/>
  <c r="AC34" i="25"/>
  <c r="S29" i="25"/>
  <c r="AB163" i="28"/>
  <c r="AC7" i="28"/>
  <c r="AB161" i="28"/>
  <c r="AB162" i="28" s="1"/>
  <c r="Y2" i="28"/>
  <c r="Y3" i="28" s="1"/>
  <c r="X6" i="28"/>
  <c r="X5" i="28"/>
  <c r="X4" i="28"/>
  <c r="AD119" i="28"/>
  <c r="AD199" i="28"/>
  <c r="AD200" i="28"/>
  <c r="AD128" i="28"/>
  <c r="AD133" i="28"/>
  <c r="AE160" i="28"/>
  <c r="AE11" i="28"/>
  <c r="AF8" i="28"/>
  <c r="AE186" i="28"/>
  <c r="AE184" i="28" s="1"/>
  <c r="W123" i="29"/>
  <c r="W127" i="29" s="1"/>
  <c r="W129" i="29" s="1"/>
  <c r="AD185" i="28"/>
  <c r="AA197" i="28" l="1"/>
  <c r="AB197" i="28" s="1"/>
  <c r="AC197" i="28" s="1"/>
  <c r="AD197" i="28" s="1"/>
  <c r="AE197" i="28" s="1"/>
  <c r="Y235" i="28"/>
  <c r="Y242" i="28" s="1"/>
  <c r="W262" i="28"/>
  <c r="X255" i="28"/>
  <c r="X222" i="28"/>
  <c r="Z215" i="28"/>
  <c r="AA215" i="28" s="1"/>
  <c r="AA222" i="28" s="1"/>
  <c r="W242" i="28"/>
  <c r="AC261" i="28"/>
  <c r="AC275" i="28"/>
  <c r="AC276" i="28" s="1"/>
  <c r="AC271" i="28"/>
  <c r="AC211" i="28"/>
  <c r="AC212" i="28" s="1"/>
  <c r="AC221" i="28"/>
  <c r="AC201" i="28"/>
  <c r="AC241" i="28"/>
  <c r="AC251" i="28"/>
  <c r="AC252" i="28" s="1"/>
  <c r="AC231" i="28"/>
  <c r="AC232" i="28" s="1"/>
  <c r="AA272" i="28"/>
  <c r="AB265" i="28"/>
  <c r="AE268" i="28"/>
  <c r="AE270" i="28"/>
  <c r="AE269" i="28"/>
  <c r="AE240" i="28"/>
  <c r="AE237" i="28"/>
  <c r="AE236" i="28"/>
  <c r="AE239" i="28"/>
  <c r="AE238" i="28"/>
  <c r="AE210" i="28"/>
  <c r="AE205" i="28"/>
  <c r="AE209" i="28"/>
  <c r="AE208" i="28"/>
  <c r="AE206" i="28"/>
  <c r="AE258" i="28"/>
  <c r="AE257" i="28"/>
  <c r="AE259" i="28"/>
  <c r="AE256" i="28"/>
  <c r="AE260" i="28"/>
  <c r="AE266" i="28"/>
  <c r="AF225" i="28"/>
  <c r="AF227" i="28"/>
  <c r="AE230" i="28"/>
  <c r="AE226" i="28"/>
  <c r="AE229" i="28"/>
  <c r="AE228" i="28"/>
  <c r="AE217" i="28"/>
  <c r="AE220" i="28"/>
  <c r="AE218" i="28"/>
  <c r="AE216" i="28"/>
  <c r="AE219" i="28"/>
  <c r="AE207" i="28"/>
  <c r="AE267" i="28"/>
  <c r="AF9" i="28"/>
  <c r="AF10" i="28"/>
  <c r="AF17" i="28"/>
  <c r="AF20" i="28"/>
  <c r="AF29" i="28"/>
  <c r="AF23" i="28"/>
  <c r="AF32" i="28"/>
  <c r="V195" i="28"/>
  <c r="V202" i="28" s="1"/>
  <c r="V277" i="28" s="1"/>
  <c r="T107" i="28"/>
  <c r="U202" i="28"/>
  <c r="U277" i="28" s="1"/>
  <c r="AO124" i="29"/>
  <c r="AR124" i="29" s="1"/>
  <c r="AM125" i="29"/>
  <c r="AN125" i="29" s="1"/>
  <c r="AA51" i="28"/>
  <c r="V87" i="29"/>
  <c r="V50" i="29"/>
  <c r="AA54" i="28" s="1"/>
  <c r="X117" i="29"/>
  <c r="W47" i="29"/>
  <c r="W119" i="29"/>
  <c r="X116" i="29"/>
  <c r="AA86" i="25"/>
  <c r="AC86" i="25" s="1"/>
  <c r="AD86" i="25" s="1"/>
  <c r="E101" i="28"/>
  <c r="W43" i="25"/>
  <c r="F86" i="25"/>
  <c r="G86" i="25" s="1"/>
  <c r="V47" i="25"/>
  <c r="AD3" i="24"/>
  <c r="W47" i="25"/>
  <c r="AD4" i="24"/>
  <c r="R114" i="25"/>
  <c r="U110" i="25"/>
  <c r="T110" i="25"/>
  <c r="E127" i="28"/>
  <c r="R115" i="25"/>
  <c r="U111" i="25"/>
  <c r="T111" i="25"/>
  <c r="L129" i="28"/>
  <c r="K171" i="28"/>
  <c r="AA84" i="25"/>
  <c r="V43" i="25"/>
  <c r="E99" i="28"/>
  <c r="F84" i="25"/>
  <c r="G84" i="25" s="1"/>
  <c r="T130" i="29"/>
  <c r="U128" i="29" s="1"/>
  <c r="Z189" i="28" s="1"/>
  <c r="BZ85" i="28"/>
  <c r="CA85" i="28" s="1"/>
  <c r="F85" i="28" s="1"/>
  <c r="BZ87" i="28"/>
  <c r="CA87" i="28" s="1"/>
  <c r="F87" i="28" s="1"/>
  <c r="AE35" i="28"/>
  <c r="AF14" i="28"/>
  <c r="W196" i="28"/>
  <c r="AC70" i="25"/>
  <c r="AD70" i="25" s="1"/>
  <c r="AD73" i="25" s="1"/>
  <c r="AD34" i="25"/>
  <c r="AD41" i="25" s="1"/>
  <c r="U29" i="25"/>
  <c r="V29" i="25" s="1"/>
  <c r="AC41" i="25"/>
  <c r="V39" i="29"/>
  <c r="AA189" i="28"/>
  <c r="Z2" i="28"/>
  <c r="Z3" i="28" s="1"/>
  <c r="Y6" i="28"/>
  <c r="Y5" i="28"/>
  <c r="Y4" i="28"/>
  <c r="AE119" i="28"/>
  <c r="AE198" i="28"/>
  <c r="AC163" i="28"/>
  <c r="AD7" i="28"/>
  <c r="AE200" i="28"/>
  <c r="AE199" i="28"/>
  <c r="AE128" i="28"/>
  <c r="AE133" i="28"/>
  <c r="AF11" i="28"/>
  <c r="AG8" i="28"/>
  <c r="AF160" i="28"/>
  <c r="AF186" i="28"/>
  <c r="AF184" i="28" s="1"/>
  <c r="AE185" i="28"/>
  <c r="X123" i="29"/>
  <c r="X127" i="29" s="1"/>
  <c r="X129" i="29" s="1"/>
  <c r="Z235" i="28" l="1"/>
  <c r="Z242" i="28" s="1"/>
  <c r="BW101" i="28"/>
  <c r="BX101" i="28"/>
  <c r="BV101" i="28"/>
  <c r="BV99" i="28"/>
  <c r="BW99" i="28"/>
  <c r="BX99" i="28"/>
  <c r="X262" i="28"/>
  <c r="Y255" i="28"/>
  <c r="Z255" i="28" s="1"/>
  <c r="Z262" i="28" s="1"/>
  <c r="AD261" i="28"/>
  <c r="AD241" i="28"/>
  <c r="AD251" i="28"/>
  <c r="AD252" i="28" s="1"/>
  <c r="AD275" i="28"/>
  <c r="AD276" i="28" s="1"/>
  <c r="AD271" i="28"/>
  <c r="AD211" i="28"/>
  <c r="AD212" i="28" s="1"/>
  <c r="AD231" i="28"/>
  <c r="AD232" i="28" s="1"/>
  <c r="AD221" i="28"/>
  <c r="AD201" i="28"/>
  <c r="Z222" i="28"/>
  <c r="AB215" i="28"/>
  <c r="AB272" i="28"/>
  <c r="AC265" i="28"/>
  <c r="AF206" i="28"/>
  <c r="AF270" i="28"/>
  <c r="AF269" i="28"/>
  <c r="AF268" i="28"/>
  <c r="AF267" i="28"/>
  <c r="AF239" i="28"/>
  <c r="AF238" i="28"/>
  <c r="AF240" i="28"/>
  <c r="AF237" i="28"/>
  <c r="AF236" i="28"/>
  <c r="AF257" i="28"/>
  <c r="AF258" i="28"/>
  <c r="AF259" i="28"/>
  <c r="AF260" i="28"/>
  <c r="AF256" i="28"/>
  <c r="AF266" i="28"/>
  <c r="AF228" i="28"/>
  <c r="AG227" i="28"/>
  <c r="AG225" i="28"/>
  <c r="AF229" i="28"/>
  <c r="AF226" i="28"/>
  <c r="AF230" i="28"/>
  <c r="AF217" i="28"/>
  <c r="AF218" i="28"/>
  <c r="AF220" i="28"/>
  <c r="AF219" i="28"/>
  <c r="AF216" i="28"/>
  <c r="AF209" i="28"/>
  <c r="AF207" i="28"/>
  <c r="AF210" i="28"/>
  <c r="AF208" i="28"/>
  <c r="AF205" i="28"/>
  <c r="AG9" i="28"/>
  <c r="AG10" i="28"/>
  <c r="AG17" i="28"/>
  <c r="AG20" i="28"/>
  <c r="AG23" i="28"/>
  <c r="AG29" i="28"/>
  <c r="AG32" i="28"/>
  <c r="V106" i="28"/>
  <c r="W195" i="28"/>
  <c r="AO125" i="29"/>
  <c r="AP125" i="29" s="1"/>
  <c r="AQ124" i="29"/>
  <c r="AT124" i="29" s="1"/>
  <c r="AB51" i="28"/>
  <c r="W50" i="29"/>
  <c r="AB54" i="28" s="1"/>
  <c r="W87" i="29"/>
  <c r="Y117" i="29"/>
  <c r="X47" i="29"/>
  <c r="Y116" i="29"/>
  <c r="X119" i="29"/>
  <c r="U107" i="28"/>
  <c r="AC84" i="25"/>
  <c r="AD84" i="25" s="1"/>
  <c r="V111" i="25"/>
  <c r="V110" i="25"/>
  <c r="Y110" i="25" s="1"/>
  <c r="BR101" i="28"/>
  <c r="BM101" i="28"/>
  <c r="BS101" i="28"/>
  <c r="AZ101" i="28"/>
  <c r="Z101" i="28"/>
  <c r="AF101" i="28"/>
  <c r="AL101" i="28"/>
  <c r="BC101" i="28"/>
  <c r="L101" i="28"/>
  <c r="AY101" i="28"/>
  <c r="U101" i="28"/>
  <c r="AP101" i="28"/>
  <c r="AT101" i="28"/>
  <c r="P101" i="28"/>
  <c r="J101" i="28"/>
  <c r="AG101" i="28"/>
  <c r="AI101" i="28"/>
  <c r="BL101" i="28"/>
  <c r="AC101" i="28"/>
  <c r="AU101" i="28"/>
  <c r="K101" i="28"/>
  <c r="BQ101" i="28"/>
  <c r="N101" i="28"/>
  <c r="AV101" i="28"/>
  <c r="S101" i="28"/>
  <c r="AE101" i="28"/>
  <c r="BN101" i="28"/>
  <c r="BI101" i="28"/>
  <c r="BO101" i="28"/>
  <c r="AJ101" i="28"/>
  <c r="AM101" i="28"/>
  <c r="BU101" i="28"/>
  <c r="AK101" i="28"/>
  <c r="AQ101" i="28"/>
  <c r="O101" i="28"/>
  <c r="AH101" i="28"/>
  <c r="BB101" i="28"/>
  <c r="BD101" i="28"/>
  <c r="BA101" i="28"/>
  <c r="BJ101" i="28"/>
  <c r="BT101" i="28"/>
  <c r="BK101" i="28"/>
  <c r="AN101" i="28"/>
  <c r="T101" i="28"/>
  <c r="Q101" i="28"/>
  <c r="AS101" i="28"/>
  <c r="AW101" i="28"/>
  <c r="Y101" i="28"/>
  <c r="R101" i="28"/>
  <c r="BE101" i="28"/>
  <c r="AR101" i="28"/>
  <c r="BH101" i="28"/>
  <c r="AB101" i="28"/>
  <c r="BF101" i="28"/>
  <c r="BP101" i="28"/>
  <c r="BG101" i="28"/>
  <c r="M101" i="28"/>
  <c r="AX101" i="28"/>
  <c r="V101" i="28"/>
  <c r="W101" i="28"/>
  <c r="AD101" i="28"/>
  <c r="AA101" i="28"/>
  <c r="AO101" i="28"/>
  <c r="X101" i="28"/>
  <c r="M129" i="28"/>
  <c r="L171" i="28"/>
  <c r="K172" i="28" s="1"/>
  <c r="BJ99" i="28"/>
  <c r="BT99" i="28"/>
  <c r="BP99" i="28"/>
  <c r="AN99" i="28"/>
  <c r="R99" i="28"/>
  <c r="T99" i="28"/>
  <c r="K99" i="28"/>
  <c r="M99" i="28"/>
  <c r="S99" i="28"/>
  <c r="V99" i="28"/>
  <c r="AC99" i="28"/>
  <c r="X99" i="28"/>
  <c r="AK99" i="28"/>
  <c r="AT99" i="28"/>
  <c r="AS99" i="28"/>
  <c r="AW99" i="28"/>
  <c r="AX99" i="28"/>
  <c r="BA99" i="28"/>
  <c r="AY99" i="28"/>
  <c r="W99" i="28"/>
  <c r="AV99" i="28"/>
  <c r="L99" i="28"/>
  <c r="BR99" i="28"/>
  <c r="AQ99" i="28"/>
  <c r="AA99" i="28"/>
  <c r="BB99" i="28"/>
  <c r="BD99" i="28"/>
  <c r="AU99" i="28"/>
  <c r="Q99" i="28"/>
  <c r="BF99" i="28"/>
  <c r="BL99" i="28"/>
  <c r="BH99" i="28"/>
  <c r="Z99" i="28"/>
  <c r="AM99" i="28"/>
  <c r="U99" i="28"/>
  <c r="J99" i="28"/>
  <c r="AB99" i="28"/>
  <c r="P99" i="28"/>
  <c r="BN99" i="28"/>
  <c r="AJ99" i="28"/>
  <c r="AI99" i="28"/>
  <c r="AP99" i="28"/>
  <c r="BU99" i="28"/>
  <c r="BS99" i="28"/>
  <c r="AE99" i="28"/>
  <c r="Y99" i="28"/>
  <c r="BM99" i="28"/>
  <c r="AZ99" i="28"/>
  <c r="BE99" i="28"/>
  <c r="BI99" i="28"/>
  <c r="BG99" i="28"/>
  <c r="AH99" i="28"/>
  <c r="AO99" i="28"/>
  <c r="BQ99" i="28"/>
  <c r="BO99" i="28"/>
  <c r="N99" i="28"/>
  <c r="AD99" i="28"/>
  <c r="AG99" i="28"/>
  <c r="BC99" i="28"/>
  <c r="O99" i="28"/>
  <c r="AF99" i="28"/>
  <c r="AL99" i="28"/>
  <c r="AR99" i="28"/>
  <c r="BK99" i="28"/>
  <c r="U130" i="29"/>
  <c r="V128" i="29" s="1"/>
  <c r="U39" i="29"/>
  <c r="AG14" i="28"/>
  <c r="AF35" i="28"/>
  <c r="X196" i="28"/>
  <c r="AC73" i="25"/>
  <c r="U36" i="25" s="1"/>
  <c r="V36" i="25" s="1"/>
  <c r="AF200" i="28"/>
  <c r="AF197" i="28"/>
  <c r="AF119" i="28"/>
  <c r="AF199" i="28"/>
  <c r="AF198" i="28"/>
  <c r="AF128" i="28"/>
  <c r="AF133" i="28"/>
  <c r="AD163" i="28"/>
  <c r="AE7" i="28"/>
  <c r="AD161" i="28"/>
  <c r="AD162" i="28" s="1"/>
  <c r="AG160" i="28"/>
  <c r="AH8" i="28"/>
  <c r="AG11" i="28"/>
  <c r="AG186" i="28"/>
  <c r="AG184" i="28" s="1"/>
  <c r="Z6" i="28"/>
  <c r="Z5" i="28"/>
  <c r="Z4" i="28"/>
  <c r="AA2" i="28"/>
  <c r="AA3" i="28" s="1"/>
  <c r="Y123" i="29"/>
  <c r="Y127" i="29" s="1"/>
  <c r="AF185" i="28"/>
  <c r="AA235" i="28" l="1"/>
  <c r="AA242" i="28" s="1"/>
  <c r="AG266" i="28"/>
  <c r="Y262" i="28"/>
  <c r="AA255" i="28"/>
  <c r="AE251" i="28"/>
  <c r="AE252" i="28" s="1"/>
  <c r="AE261" i="28"/>
  <c r="AE275" i="28"/>
  <c r="AE276" i="28" s="1"/>
  <c r="AE271" i="28"/>
  <c r="AE211" i="28"/>
  <c r="AE212" i="28" s="1"/>
  <c r="AE231" i="28"/>
  <c r="AE232" i="28" s="1"/>
  <c r="AE221" i="28"/>
  <c r="AE201" i="28"/>
  <c r="AE241" i="28"/>
  <c r="AB222" i="28"/>
  <c r="AC215" i="28"/>
  <c r="AC222" i="28" s="1"/>
  <c r="AC272" i="28"/>
  <c r="AD265" i="28"/>
  <c r="AE265" i="28" s="1"/>
  <c r="AG210" i="28"/>
  <c r="AG209" i="28"/>
  <c r="AG208" i="28"/>
  <c r="AG207" i="28"/>
  <c r="AG205" i="28"/>
  <c r="AG267" i="28"/>
  <c r="AG268" i="28"/>
  <c r="AG269" i="28"/>
  <c r="AG270" i="28"/>
  <c r="AG259" i="28"/>
  <c r="AG256" i="28"/>
  <c r="AG257" i="28"/>
  <c r="AG260" i="28"/>
  <c r="AG258" i="28"/>
  <c r="AG226" i="28"/>
  <c r="AG239" i="28"/>
  <c r="AG238" i="28"/>
  <c r="AG237" i="28"/>
  <c r="AG236" i="28"/>
  <c r="AG240" i="28"/>
  <c r="AH227" i="28"/>
  <c r="AG228" i="28"/>
  <c r="AG230" i="28"/>
  <c r="AG229" i="28"/>
  <c r="AH225" i="28"/>
  <c r="AG206" i="28"/>
  <c r="AG217" i="28"/>
  <c r="AG220" i="28"/>
  <c r="AG219" i="28"/>
  <c r="AG218" i="28"/>
  <c r="AG216" i="28"/>
  <c r="AH9" i="28"/>
  <c r="AH10" i="28"/>
  <c r="AH17" i="28"/>
  <c r="AH20" i="28"/>
  <c r="AH23" i="28"/>
  <c r="AH29" i="28"/>
  <c r="AH32" i="28"/>
  <c r="W202" i="28"/>
  <c r="W277" i="28" s="1"/>
  <c r="X195" i="28"/>
  <c r="X106" i="28" s="1"/>
  <c r="W106" i="28"/>
  <c r="AS124" i="29"/>
  <c r="AV124" i="29" s="1"/>
  <c r="AQ125" i="29"/>
  <c r="AR125" i="29" s="1"/>
  <c r="X87" i="29"/>
  <c r="X50" i="29"/>
  <c r="AC54" i="28" s="1"/>
  <c r="AC51" i="28"/>
  <c r="Z117" i="29"/>
  <c r="Y47" i="29"/>
  <c r="Z116" i="29"/>
  <c r="Y119" i="29"/>
  <c r="V107" i="28"/>
  <c r="BZ101" i="28"/>
  <c r="CA101" i="28" s="1"/>
  <c r="F101" i="28" s="1"/>
  <c r="BZ99" i="28"/>
  <c r="CA99" i="28" s="1"/>
  <c r="F99" i="28" s="1"/>
  <c r="N129" i="28"/>
  <c r="M171" i="28"/>
  <c r="K173" i="28" s="1"/>
  <c r="K156" i="28" s="1"/>
  <c r="K102" i="28" s="1"/>
  <c r="V130" i="29"/>
  <c r="W128" i="29" s="1"/>
  <c r="AB189" i="28" s="1"/>
  <c r="Y196" i="28"/>
  <c r="AG35" i="28"/>
  <c r="AH14" i="28"/>
  <c r="X39" i="29"/>
  <c r="AC189" i="28"/>
  <c r="AH160" i="28"/>
  <c r="AH11" i="28"/>
  <c r="AI8" i="28"/>
  <c r="AH186" i="28"/>
  <c r="AH184" i="28" s="1"/>
  <c r="AE163" i="28"/>
  <c r="AF7" i="28"/>
  <c r="AE161" i="28"/>
  <c r="AE162" i="28" s="1"/>
  <c r="AG133" i="28"/>
  <c r="AG128" i="28"/>
  <c r="AB2" i="28"/>
  <c r="AB3" i="28" s="1"/>
  <c r="AA6" i="28"/>
  <c r="AA5" i="28"/>
  <c r="AA4" i="28"/>
  <c r="AG119" i="28"/>
  <c r="AG200" i="28"/>
  <c r="AG197" i="28"/>
  <c r="AG199" i="28"/>
  <c r="AG198" i="28"/>
  <c r="AG185" i="28"/>
  <c r="Z123" i="29"/>
  <c r="Z127" i="29" s="1"/>
  <c r="Z129" i="29" s="1"/>
  <c r="AB235" i="28" l="1"/>
  <c r="AC235" i="28" s="1"/>
  <c r="AD235" i="28" s="1"/>
  <c r="AD242" i="28" s="1"/>
  <c r="AH208" i="28"/>
  <c r="AA262" i="28"/>
  <c r="AB255" i="28"/>
  <c r="AF241" i="28"/>
  <c r="AF251" i="28"/>
  <c r="AF252" i="28" s="1"/>
  <c r="AF261" i="28"/>
  <c r="AF275" i="28"/>
  <c r="AF276" i="28" s="1"/>
  <c r="AF271" i="28"/>
  <c r="AF211" i="28"/>
  <c r="AF212" i="28" s="1"/>
  <c r="AF231" i="28"/>
  <c r="AF232" i="28" s="1"/>
  <c r="AF221" i="28"/>
  <c r="AF201" i="28"/>
  <c r="AD215" i="28"/>
  <c r="AE272" i="28"/>
  <c r="AD272" i="28"/>
  <c r="AF265" i="28"/>
  <c r="AH226" i="28"/>
  <c r="AI227" i="28"/>
  <c r="AH267" i="28"/>
  <c r="AH270" i="28"/>
  <c r="AH269" i="28"/>
  <c r="AH268" i="28"/>
  <c r="AH256" i="28"/>
  <c r="AH257" i="28"/>
  <c r="AH259" i="28"/>
  <c r="AH260" i="28"/>
  <c r="AH258" i="28"/>
  <c r="AH239" i="28"/>
  <c r="AH238" i="28"/>
  <c r="AH236" i="28"/>
  <c r="AH237" i="28"/>
  <c r="AH240" i="28"/>
  <c r="AH210" i="28"/>
  <c r="AH205" i="28"/>
  <c r="AH209" i="28"/>
  <c r="AH207" i="28"/>
  <c r="AH228" i="28"/>
  <c r="AI225" i="28"/>
  <c r="AH230" i="28"/>
  <c r="AH229" i="28"/>
  <c r="AH206" i="28"/>
  <c r="AH217" i="28"/>
  <c r="AH216" i="28"/>
  <c r="AH220" i="28"/>
  <c r="AH218" i="28"/>
  <c r="AH219" i="28"/>
  <c r="AH266" i="28"/>
  <c r="X202" i="28"/>
  <c r="X277" i="28" s="1"/>
  <c r="AI9" i="28"/>
  <c r="AI10" i="28"/>
  <c r="AI17" i="28"/>
  <c r="AI20" i="28"/>
  <c r="AI23" i="28"/>
  <c r="AI29" i="28"/>
  <c r="AI32" i="28"/>
  <c r="Y195" i="28"/>
  <c r="Y106" i="28" s="1"/>
  <c r="AS125" i="29"/>
  <c r="AT125" i="29" s="1"/>
  <c r="W107" i="28"/>
  <c r="AU124" i="29"/>
  <c r="AX124" i="29" s="1"/>
  <c r="AZ124" i="29" s="1"/>
  <c r="Y87" i="29"/>
  <c r="AD51" i="28"/>
  <c r="Y50" i="29"/>
  <c r="AD54" i="28" s="1"/>
  <c r="AA117" i="29"/>
  <c r="Z47" i="29"/>
  <c r="AA116" i="29"/>
  <c r="Z119" i="29"/>
  <c r="M174" i="28"/>
  <c r="O129" i="28"/>
  <c r="N171" i="28"/>
  <c r="Z196" i="28"/>
  <c r="AH35" i="28"/>
  <c r="AI14" i="28"/>
  <c r="W130" i="29"/>
  <c r="X128" i="29" s="1"/>
  <c r="W39" i="29"/>
  <c r="AH197" i="28"/>
  <c r="AH198" i="28"/>
  <c r="AH200" i="28"/>
  <c r="AC2" i="28"/>
  <c r="AC3" i="28" s="1"/>
  <c r="AB6" i="28"/>
  <c r="AB5" i="28"/>
  <c r="AB4" i="28"/>
  <c r="AH133" i="28"/>
  <c r="AH128" i="28"/>
  <c r="AI160" i="28"/>
  <c r="AI11" i="28"/>
  <c r="AJ8" i="28"/>
  <c r="AI186" i="28"/>
  <c r="AI184" i="28" s="1"/>
  <c r="AF163" i="28"/>
  <c r="AG7" i="28"/>
  <c r="AH119" i="28"/>
  <c r="AH199" i="28"/>
  <c r="AA123" i="29"/>
  <c r="AA127" i="29" s="1"/>
  <c r="AH185" i="28"/>
  <c r="AC242" i="28" l="1"/>
  <c r="AB242" i="28"/>
  <c r="AE235" i="28"/>
  <c r="AE242" i="28" s="1"/>
  <c r="AF272" i="28"/>
  <c r="AB262" i="28"/>
  <c r="AC255" i="28"/>
  <c r="AC262" i="28" s="1"/>
  <c r="AG231" i="28"/>
  <c r="AG232" i="28" s="1"/>
  <c r="AG241" i="28"/>
  <c r="AG251" i="28"/>
  <c r="AG252" i="28" s="1"/>
  <c r="AG261" i="28"/>
  <c r="AG201" i="28"/>
  <c r="AG275" i="28"/>
  <c r="AG276" i="28" s="1"/>
  <c r="AG271" i="28"/>
  <c r="AG211" i="28"/>
  <c r="AG212" i="28" s="1"/>
  <c r="AG221" i="28"/>
  <c r="AD222" i="28"/>
  <c r="AE215" i="28"/>
  <c r="AI226" i="28"/>
  <c r="AW124" i="29"/>
  <c r="AY124" i="29" s="1"/>
  <c r="AG265" i="28"/>
  <c r="AI206" i="28"/>
  <c r="AI256" i="28"/>
  <c r="AI266" i="28"/>
  <c r="AI268" i="28"/>
  <c r="AI270" i="28"/>
  <c r="AI269" i="28"/>
  <c r="AI260" i="28"/>
  <c r="AI259" i="28"/>
  <c r="AI257" i="28"/>
  <c r="AI258" i="28"/>
  <c r="AI237" i="28"/>
  <c r="AI238" i="28"/>
  <c r="AI240" i="28"/>
  <c r="AI239" i="28"/>
  <c r="AI236" i="28"/>
  <c r="AI207" i="28"/>
  <c r="AI267" i="28"/>
  <c r="AJ227" i="28"/>
  <c r="AI205" i="28"/>
  <c r="AI210" i="28"/>
  <c r="AI209" i="28"/>
  <c r="AJ225" i="28"/>
  <c r="AI228" i="28"/>
  <c r="AI230" i="28"/>
  <c r="AI229" i="28"/>
  <c r="AI219" i="28"/>
  <c r="AI217" i="28"/>
  <c r="AI216" i="28"/>
  <c r="AI220" i="28"/>
  <c r="AI218" i="28"/>
  <c r="AI208" i="28"/>
  <c r="Z195" i="28"/>
  <c r="Z106" i="28" s="1"/>
  <c r="Y202" i="28"/>
  <c r="Y277" i="28" s="1"/>
  <c r="AJ9" i="28"/>
  <c r="AJ10" i="28"/>
  <c r="AJ17" i="28"/>
  <c r="AJ20" i="28"/>
  <c r="AJ29" i="28"/>
  <c r="AJ23" i="28"/>
  <c r="AJ32" i="28"/>
  <c r="X107" i="28"/>
  <c r="BB124" i="29"/>
  <c r="AU125" i="29"/>
  <c r="AV125" i="29" s="1"/>
  <c r="AE51" i="28"/>
  <c r="Z87" i="29"/>
  <c r="Z50" i="29"/>
  <c r="AE54" i="28" s="1"/>
  <c r="AB117" i="29"/>
  <c r="AB47" i="29" s="1"/>
  <c r="AB50" i="29" s="1"/>
  <c r="AG54" i="28" s="1"/>
  <c r="AA47" i="29"/>
  <c r="AB116" i="29"/>
  <c r="AA119" i="29"/>
  <c r="AA196" i="28"/>
  <c r="M172" i="28"/>
  <c r="M156" i="28" s="1"/>
  <c r="M102" i="28" s="1"/>
  <c r="P129" i="28"/>
  <c r="O171" i="28"/>
  <c r="AI35" i="28"/>
  <c r="AJ14" i="28"/>
  <c r="Z39" i="29"/>
  <c r="AE189" i="28"/>
  <c r="X130" i="29"/>
  <c r="AI198" i="28"/>
  <c r="AI133" i="28"/>
  <c r="AI128" i="28"/>
  <c r="AD2" i="28"/>
  <c r="AD3" i="28" s="1"/>
  <c r="AC6" i="28"/>
  <c r="AC5" i="28"/>
  <c r="AC4" i="28"/>
  <c r="AG163" i="28"/>
  <c r="AH7" i="28"/>
  <c r="AG161" i="28"/>
  <c r="AG162" i="28" s="1"/>
  <c r="AI119" i="28"/>
  <c r="AI200" i="28"/>
  <c r="AI197" i="28"/>
  <c r="AI199" i="28"/>
  <c r="AJ11" i="28"/>
  <c r="AJ160" i="28"/>
  <c r="AK8" i="28"/>
  <c r="AJ186" i="28"/>
  <c r="AJ184" i="28" s="1"/>
  <c r="AI185" i="28"/>
  <c r="AB123" i="29"/>
  <c r="AB127" i="29" s="1"/>
  <c r="AF235" i="28" l="1"/>
  <c r="AF242" i="28" s="1"/>
  <c r="BA124" i="29"/>
  <c r="BC124" i="29" s="1"/>
  <c r="AD255" i="28"/>
  <c r="AW125" i="29"/>
  <c r="AX125" i="29" s="1"/>
  <c r="AY125" i="29" s="1"/>
  <c r="AZ125" i="29" s="1"/>
  <c r="AH231" i="28"/>
  <c r="AH232" i="28" s="1"/>
  <c r="AH241" i="28"/>
  <c r="AH221" i="28"/>
  <c r="AH251" i="28"/>
  <c r="AH252" i="28" s="1"/>
  <c r="AH261" i="28"/>
  <c r="AH201" i="28"/>
  <c r="AH275" i="28"/>
  <c r="AH276" i="28" s="1"/>
  <c r="AH271" i="28"/>
  <c r="AH211" i="28"/>
  <c r="AH212" i="28" s="1"/>
  <c r="AE222" i="28"/>
  <c r="AF215" i="28"/>
  <c r="AG272" i="28"/>
  <c r="AH265" i="28"/>
  <c r="AJ208" i="28"/>
  <c r="AJ268" i="28"/>
  <c r="AJ269" i="28"/>
  <c r="AJ270" i="28"/>
  <c r="AJ236" i="28"/>
  <c r="AJ237" i="28"/>
  <c r="AJ240" i="28"/>
  <c r="AJ238" i="28"/>
  <c r="AJ239" i="28"/>
  <c r="AJ258" i="28"/>
  <c r="AJ259" i="28"/>
  <c r="AJ260" i="28"/>
  <c r="AJ266" i="28"/>
  <c r="AJ229" i="28"/>
  <c r="AK225" i="28"/>
  <c r="AJ230" i="28"/>
  <c r="AJ228" i="28"/>
  <c r="AJ218" i="28"/>
  <c r="AJ217" i="28"/>
  <c r="AJ219" i="28"/>
  <c r="AJ220" i="28"/>
  <c r="AJ216" i="28"/>
  <c r="AK227" i="28"/>
  <c r="AJ267" i="28"/>
  <c r="AJ257" i="28"/>
  <c r="AJ256" i="28"/>
  <c r="Z202" i="28"/>
  <c r="Z277" i="28" s="1"/>
  <c r="AJ207" i="28"/>
  <c r="AJ206" i="28"/>
  <c r="AJ210" i="28"/>
  <c r="AJ209" i="28"/>
  <c r="AJ205" i="28"/>
  <c r="AA195" i="28"/>
  <c r="AB195" i="28" s="1"/>
  <c r="AJ226" i="28"/>
  <c r="AK9" i="28"/>
  <c r="AK10" i="28"/>
  <c r="AK17" i="28"/>
  <c r="AK20" i="28"/>
  <c r="AK23" i="28"/>
  <c r="AK29" i="28"/>
  <c r="AK32" i="28"/>
  <c r="AB87" i="29"/>
  <c r="Y107" i="28"/>
  <c r="BD124" i="29"/>
  <c r="BF124" i="29" s="1"/>
  <c r="BE124" i="29"/>
  <c r="AG51" i="28"/>
  <c r="AA50" i="29"/>
  <c r="AF54" i="28" s="1"/>
  <c r="AF51" i="28"/>
  <c r="AA87" i="29"/>
  <c r="AC117" i="29"/>
  <c r="AC116" i="29"/>
  <c r="AB119" i="29"/>
  <c r="AB196" i="28"/>
  <c r="Q129" i="28"/>
  <c r="P171" i="28"/>
  <c r="O172" i="28" s="1"/>
  <c r="O156" i="28" s="1"/>
  <c r="O102" i="28" s="1"/>
  <c r="Y128" i="29"/>
  <c r="Y129" i="29" s="1"/>
  <c r="AK14" i="28"/>
  <c r="AJ35" i="28"/>
  <c r="AJ198" i="28"/>
  <c r="AD6" i="28"/>
  <c r="AD5" i="28"/>
  <c r="AD4" i="28"/>
  <c r="AE2" i="28"/>
  <c r="AE3" i="28" s="1"/>
  <c r="AJ197" i="28"/>
  <c r="AJ133" i="28"/>
  <c r="AJ128" i="28"/>
  <c r="AK160" i="28"/>
  <c r="AL8" i="28"/>
  <c r="AK11" i="28"/>
  <c r="AK186" i="28"/>
  <c r="AK184" i="28" s="1"/>
  <c r="AJ119" i="28"/>
  <c r="AJ199" i="28"/>
  <c r="AJ200" i="28"/>
  <c r="AH163" i="28"/>
  <c r="AI7" i="28"/>
  <c r="AH161" i="28"/>
  <c r="AH162" i="28" s="1"/>
  <c r="AC123" i="29"/>
  <c r="AC127" i="29" s="1"/>
  <c r="AJ185" i="28"/>
  <c r="AG235" i="28" l="1"/>
  <c r="AG242" i="28" s="1"/>
  <c r="BA125" i="29"/>
  <c r="BB125" i="29" s="1"/>
  <c r="BC125" i="29" s="1"/>
  <c r="BD125" i="29" s="1"/>
  <c r="BE125" i="29" s="1"/>
  <c r="BF125" i="29" s="1"/>
  <c r="AA202" i="28"/>
  <c r="AA277" i="28" s="1"/>
  <c r="AE255" i="28"/>
  <c r="AD262" i="28"/>
  <c r="AI201" i="28"/>
  <c r="AI231" i="28"/>
  <c r="AI232" i="28" s="1"/>
  <c r="AI241" i="28"/>
  <c r="AI251" i="28"/>
  <c r="AI252" i="28" s="1"/>
  <c r="AI261" i="28"/>
  <c r="AI275" i="28"/>
  <c r="AI276" i="28" s="1"/>
  <c r="AI271" i="28"/>
  <c r="AI211" i="28"/>
  <c r="AI212" i="28" s="1"/>
  <c r="AI221" i="28"/>
  <c r="AF222" i="28"/>
  <c r="AG215" i="28"/>
  <c r="AK226" i="28"/>
  <c r="AI265" i="28"/>
  <c r="AH272" i="28"/>
  <c r="AK257" i="28"/>
  <c r="AK206" i="28"/>
  <c r="AL227" i="28"/>
  <c r="AK266" i="28"/>
  <c r="AK268" i="28"/>
  <c r="AK270" i="28"/>
  <c r="AK269" i="28"/>
  <c r="AK219" i="28"/>
  <c r="AK220" i="28"/>
  <c r="AK217" i="28"/>
  <c r="AK216" i="28"/>
  <c r="AK218" i="28"/>
  <c r="AK237" i="28"/>
  <c r="AK239" i="28"/>
  <c r="AK240" i="28"/>
  <c r="AK236" i="28"/>
  <c r="AK238" i="28"/>
  <c r="AK259" i="28"/>
  <c r="AK258" i="28"/>
  <c r="AK260" i="28"/>
  <c r="AA106" i="28"/>
  <c r="AK229" i="28"/>
  <c r="AK228" i="28"/>
  <c r="AK230" i="28"/>
  <c r="AL225" i="28"/>
  <c r="AC195" i="28"/>
  <c r="AD195" i="28" s="1"/>
  <c r="AK207" i="28"/>
  <c r="AK267" i="28"/>
  <c r="AK208" i="28"/>
  <c r="AB202" i="28"/>
  <c r="AB277" i="28" s="1"/>
  <c r="AK210" i="28"/>
  <c r="AK205" i="28"/>
  <c r="AK209" i="28"/>
  <c r="AK256" i="28"/>
  <c r="AL9" i="28"/>
  <c r="AL10" i="28"/>
  <c r="AL17" i="28"/>
  <c r="AL20" i="28"/>
  <c r="AL23" i="28"/>
  <c r="AL29" i="28"/>
  <c r="AL32" i="28"/>
  <c r="Z107" i="28"/>
  <c r="BG124" i="29"/>
  <c r="BI124" i="29" s="1"/>
  <c r="BH124" i="29"/>
  <c r="BJ124" i="29" s="1"/>
  <c r="BL124" i="29" s="1"/>
  <c r="AD117" i="29"/>
  <c r="AC47" i="29"/>
  <c r="AD116" i="29"/>
  <c r="AC119" i="29"/>
  <c r="AB106" i="28"/>
  <c r="AC196" i="28"/>
  <c r="N173" i="28"/>
  <c r="N156" i="28" s="1"/>
  <c r="N102" i="28" s="1"/>
  <c r="R129" i="28"/>
  <c r="Q171" i="28"/>
  <c r="P174" i="28"/>
  <c r="AD189" i="28"/>
  <c r="Y130" i="29"/>
  <c r="Z128" i="29" s="1"/>
  <c r="Y39" i="29"/>
  <c r="AK35" i="28"/>
  <c r="AL14" i="28"/>
  <c r="AK200" i="28"/>
  <c r="AK119" i="28"/>
  <c r="AK199" i="28"/>
  <c r="AK197" i="28"/>
  <c r="AK128" i="28"/>
  <c r="AK133" i="28"/>
  <c r="AI163" i="28"/>
  <c r="AJ7" i="28"/>
  <c r="AK198" i="28"/>
  <c r="AL160" i="28"/>
  <c r="AL11" i="28"/>
  <c r="AM8" i="28"/>
  <c r="AL186" i="28"/>
  <c r="AL184" i="28" s="1"/>
  <c r="AF2" i="28"/>
  <c r="AF3" i="28" s="1"/>
  <c r="AE6" i="28"/>
  <c r="AE5" i="28"/>
  <c r="AE4" i="28"/>
  <c r="AD123" i="29"/>
  <c r="AD127" i="29" s="1"/>
  <c r="AK185" i="28"/>
  <c r="AH235" i="28" l="1"/>
  <c r="AH242" i="28" s="1"/>
  <c r="AE262" i="28"/>
  <c r="AF255" i="28"/>
  <c r="AG255" i="28" s="1"/>
  <c r="AG262" i="28" s="1"/>
  <c r="AL206" i="28"/>
  <c r="AG222" i="28"/>
  <c r="AJ221" i="28"/>
  <c r="AJ201" i="28"/>
  <c r="AJ275" i="28"/>
  <c r="AJ276" i="28" s="1"/>
  <c r="AJ231" i="28"/>
  <c r="AJ232" i="28" s="1"/>
  <c r="AJ241" i="28"/>
  <c r="AJ271" i="28"/>
  <c r="AJ251" i="28"/>
  <c r="AJ252" i="28" s="1"/>
  <c r="AJ211" i="28"/>
  <c r="AJ212" i="28" s="1"/>
  <c r="AJ261" i="28"/>
  <c r="AL257" i="28"/>
  <c r="AI235" i="28"/>
  <c r="AH215" i="28"/>
  <c r="AH222" i="28" s="1"/>
  <c r="AL209" i="28"/>
  <c r="AI272" i="28"/>
  <c r="AJ265" i="28"/>
  <c r="AL268" i="28"/>
  <c r="AL266" i="28"/>
  <c r="AC202" i="28"/>
  <c r="AC277" i="28" s="1"/>
  <c r="AL229" i="28"/>
  <c r="AM225" i="28"/>
  <c r="AL230" i="28"/>
  <c r="AL228" i="28"/>
  <c r="AL208" i="28"/>
  <c r="AM227" i="28"/>
  <c r="AL207" i="28"/>
  <c r="AL217" i="28"/>
  <c r="AL220" i="28"/>
  <c r="AL219" i="28"/>
  <c r="AL218" i="28"/>
  <c r="AL216" i="28"/>
  <c r="AL210" i="28"/>
  <c r="AL205" i="28"/>
  <c r="AL239" i="28"/>
  <c r="AL237" i="28"/>
  <c r="AL240" i="28"/>
  <c r="AL238" i="28"/>
  <c r="AL236" i="28"/>
  <c r="AL269" i="28"/>
  <c r="AL267" i="28"/>
  <c r="AL270" i="28"/>
  <c r="AL259" i="28"/>
  <c r="AL256" i="28"/>
  <c r="AL258" i="28"/>
  <c r="AL260" i="28"/>
  <c r="AL226" i="28"/>
  <c r="AM9" i="28"/>
  <c r="AM10" i="28"/>
  <c r="AM17" i="28"/>
  <c r="AM20" i="28"/>
  <c r="AM29" i="28"/>
  <c r="AM23" i="28"/>
  <c r="AM32" i="28"/>
  <c r="BK124" i="29"/>
  <c r="BG125" i="29"/>
  <c r="BH125" i="29" s="1"/>
  <c r="BI125" i="29" s="1"/>
  <c r="BJ125" i="29" s="1"/>
  <c r="AC87" i="29"/>
  <c r="AC50" i="29"/>
  <c r="AH54" i="28" s="1"/>
  <c r="AH51" i="28"/>
  <c r="AE117" i="29"/>
  <c r="AD47" i="29"/>
  <c r="AD119" i="29"/>
  <c r="AE116" i="29"/>
  <c r="AA107" i="28"/>
  <c r="AC106" i="28"/>
  <c r="AD196" i="28"/>
  <c r="S129" i="28"/>
  <c r="R171" i="28"/>
  <c r="Q172" i="28" s="1"/>
  <c r="Z130" i="29"/>
  <c r="AA128" i="29" s="1"/>
  <c r="AA129" i="29" s="1"/>
  <c r="AL35" i="28"/>
  <c r="AM14" i="28"/>
  <c r="AE195" i="28"/>
  <c r="AL198" i="28"/>
  <c r="AL197" i="28"/>
  <c r="AG2" i="28"/>
  <c r="AG3" i="28" s="1"/>
  <c r="AF6" i="28"/>
  <c r="AF5" i="28"/>
  <c r="AF4" i="28"/>
  <c r="AJ163" i="28"/>
  <c r="AK7" i="28"/>
  <c r="AJ161" i="28"/>
  <c r="AJ162" i="28" s="1"/>
  <c r="AL128" i="28"/>
  <c r="AL133" i="28"/>
  <c r="AM160" i="28"/>
  <c r="AM11" i="28"/>
  <c r="AN8" i="28"/>
  <c r="AM186" i="28"/>
  <c r="AM184" i="28" s="1"/>
  <c r="AL119" i="28"/>
  <c r="AL200" i="28"/>
  <c r="AL199" i="28"/>
  <c r="AE123" i="29"/>
  <c r="AE127" i="29" s="1"/>
  <c r="AL185" i="28"/>
  <c r="AF262" i="28" l="1"/>
  <c r="AH255" i="28"/>
  <c r="AM209" i="28"/>
  <c r="AI242" i="28"/>
  <c r="AJ235" i="28"/>
  <c r="AK221" i="28"/>
  <c r="AK211" i="28"/>
  <c r="AK212" i="28" s="1"/>
  <c r="AK201" i="28"/>
  <c r="AK275" i="28"/>
  <c r="AK276" i="28" s="1"/>
  <c r="AK271" i="28"/>
  <c r="AK231" i="28"/>
  <c r="AK232" i="28" s="1"/>
  <c r="AK241" i="28"/>
  <c r="AK251" i="28"/>
  <c r="AK252" i="28" s="1"/>
  <c r="AK261" i="28"/>
  <c r="AI215" i="28"/>
  <c r="AI222" i="28" s="1"/>
  <c r="AJ272" i="28"/>
  <c r="AK265" i="28"/>
  <c r="BK125" i="29"/>
  <c r="BL125" i="29" s="1"/>
  <c r="AM270" i="28"/>
  <c r="AM228" i="28"/>
  <c r="AM267" i="28"/>
  <c r="AM226" i="28"/>
  <c r="AM269" i="28"/>
  <c r="AM268" i="28"/>
  <c r="AM229" i="28"/>
  <c r="AM207" i="28"/>
  <c r="AM238" i="28"/>
  <c r="AM239" i="28"/>
  <c r="AM236" i="28"/>
  <c r="AM240" i="28"/>
  <c r="AM237" i="28"/>
  <c r="AM256" i="28"/>
  <c r="AN227" i="28"/>
  <c r="AN225" i="28"/>
  <c r="AM230" i="28"/>
  <c r="AM259" i="28"/>
  <c r="AM260" i="28"/>
  <c r="AM258" i="28"/>
  <c r="AM205" i="28"/>
  <c r="AM210" i="28"/>
  <c r="AM266" i="28"/>
  <c r="AM257" i="28"/>
  <c r="AM217" i="28"/>
  <c r="AM216" i="28"/>
  <c r="AM220" i="28"/>
  <c r="AM218" i="28"/>
  <c r="AM219" i="28"/>
  <c r="AM208" i="28"/>
  <c r="AM206" i="28"/>
  <c r="AN10" i="28"/>
  <c r="AN9" i="28"/>
  <c r="BM124" i="29"/>
  <c r="BO124" i="29" s="1"/>
  <c r="BQ124" i="29" s="1"/>
  <c r="BN124" i="29"/>
  <c r="BP124" i="29" s="1"/>
  <c r="AD50" i="29"/>
  <c r="AI54" i="28" s="1"/>
  <c r="AD87" i="29"/>
  <c r="AI51" i="28"/>
  <c r="AF117" i="29"/>
  <c r="AE47" i="29"/>
  <c r="AF116" i="29"/>
  <c r="AE119" i="29"/>
  <c r="AB107" i="28"/>
  <c r="AD106" i="28"/>
  <c r="AE196" i="28"/>
  <c r="AE202" i="28" s="1"/>
  <c r="AE277" i="28" s="1"/>
  <c r="AD202" i="28"/>
  <c r="AD277" i="28" s="1"/>
  <c r="T129" i="28"/>
  <c r="S171" i="28"/>
  <c r="S174" i="28" s="1"/>
  <c r="AN17" i="28"/>
  <c r="AN20" i="28"/>
  <c r="AN23" i="28"/>
  <c r="AN29" i="28"/>
  <c r="AN32" i="28"/>
  <c r="AF189" i="28"/>
  <c r="AA130" i="29"/>
  <c r="AB128" i="29" s="1"/>
  <c r="AB129" i="29" s="1"/>
  <c r="AA39" i="29"/>
  <c r="AM35" i="28"/>
  <c r="AN14" i="28"/>
  <c r="AF195" i="28"/>
  <c r="AM119" i="28"/>
  <c r="AM200" i="28"/>
  <c r="AM199" i="28"/>
  <c r="AH2" i="28"/>
  <c r="AH3" i="28" s="1"/>
  <c r="AG6" i="28"/>
  <c r="AG5" i="28"/>
  <c r="AG4" i="28"/>
  <c r="AM197" i="28"/>
  <c r="AM128" i="28"/>
  <c r="AM133" i="28"/>
  <c r="AN11" i="28"/>
  <c r="AN160" i="28"/>
  <c r="AO8" i="28"/>
  <c r="AN186" i="28"/>
  <c r="AN184" i="28" s="1"/>
  <c r="AM198" i="28"/>
  <c r="AK163" i="28"/>
  <c r="AL7" i="28"/>
  <c r="AK161" i="28"/>
  <c r="AK162" i="28" s="1"/>
  <c r="AM185" i="28"/>
  <c r="AF123" i="29"/>
  <c r="AF127" i="29" s="1"/>
  <c r="AH262" i="28" l="1"/>
  <c r="AI255" i="28"/>
  <c r="AN257" i="28"/>
  <c r="AJ215" i="28"/>
  <c r="AK215" i="28" s="1"/>
  <c r="AK222" i="28" s="1"/>
  <c r="AJ242" i="28"/>
  <c r="AO227" i="28"/>
  <c r="AK235" i="28"/>
  <c r="AL271" i="28"/>
  <c r="AL221" i="28"/>
  <c r="AL275" i="28"/>
  <c r="AL276" i="28" s="1"/>
  <c r="AL201" i="28"/>
  <c r="AL231" i="28"/>
  <c r="AL232" i="28" s="1"/>
  <c r="AL241" i="28"/>
  <c r="AL261" i="28"/>
  <c r="AL251" i="28"/>
  <c r="AL252" i="28" s="1"/>
  <c r="AL211" i="28"/>
  <c r="AL212" i="28" s="1"/>
  <c r="AK272" i="28"/>
  <c r="AL265" i="28"/>
  <c r="AN229" i="28"/>
  <c r="AN266" i="28"/>
  <c r="AN268" i="28"/>
  <c r="AN208" i="28"/>
  <c r="AN267" i="28"/>
  <c r="AN210" i="28"/>
  <c r="AN205" i="28"/>
  <c r="AN206" i="28"/>
  <c r="AN240" i="28"/>
  <c r="AN238" i="28"/>
  <c r="AN236" i="28"/>
  <c r="AN239" i="28"/>
  <c r="AN237" i="28"/>
  <c r="AN219" i="28"/>
  <c r="AN220" i="28"/>
  <c r="AN218" i="28"/>
  <c r="AN216" i="28"/>
  <c r="AN217" i="28"/>
  <c r="AN207" i="28"/>
  <c r="AN260" i="28"/>
  <c r="AN258" i="28"/>
  <c r="AN259" i="28"/>
  <c r="AN256" i="28"/>
  <c r="AN228" i="28"/>
  <c r="AN226" i="28"/>
  <c r="AO225" i="28"/>
  <c r="AN269" i="28"/>
  <c r="AN270" i="28"/>
  <c r="AN230" i="28"/>
  <c r="AN209" i="28"/>
  <c r="AO10" i="28"/>
  <c r="AO9" i="28"/>
  <c r="AC107" i="28"/>
  <c r="AG189" i="28"/>
  <c r="AB39" i="29"/>
  <c r="D124" i="29"/>
  <c r="BM125" i="29"/>
  <c r="BN125" i="29" s="1"/>
  <c r="BO125" i="29" s="1"/>
  <c r="BP125" i="29" s="1"/>
  <c r="BQ125" i="29" s="1"/>
  <c r="BR125" i="29" s="1"/>
  <c r="AE50" i="29"/>
  <c r="AJ54" i="28" s="1"/>
  <c r="AE87" i="29"/>
  <c r="AJ51" i="28"/>
  <c r="AG117" i="29"/>
  <c r="AF47" i="29"/>
  <c r="AG116" i="29"/>
  <c r="AF119" i="29"/>
  <c r="AE106" i="28"/>
  <c r="AF196" i="28"/>
  <c r="AF202" i="28" s="1"/>
  <c r="AF277" i="28" s="1"/>
  <c r="Q173" i="28"/>
  <c r="Q156" i="28" s="1"/>
  <c r="Q102" i="28" s="1"/>
  <c r="U129" i="28"/>
  <c r="T171" i="28"/>
  <c r="AO17" i="28"/>
  <c r="AO20" i="28"/>
  <c r="AO23" i="28"/>
  <c r="AO29" i="28"/>
  <c r="AO32" i="28"/>
  <c r="AB130" i="29"/>
  <c r="AC128" i="29" s="1"/>
  <c r="AC129" i="29" s="1"/>
  <c r="AN35" i="28"/>
  <c r="AO14" i="28"/>
  <c r="AG195" i="28"/>
  <c r="AN198" i="28"/>
  <c r="AN200" i="28"/>
  <c r="AO160" i="28"/>
  <c r="AP8" i="28"/>
  <c r="AO11" i="28"/>
  <c r="AO186" i="28"/>
  <c r="AO184" i="28" s="1"/>
  <c r="AN119" i="28"/>
  <c r="AN199" i="28"/>
  <c r="AN197" i="28"/>
  <c r="AM7" i="28"/>
  <c r="AL163" i="28"/>
  <c r="AH6" i="28"/>
  <c r="AH5" i="28"/>
  <c r="AH4" i="28"/>
  <c r="AI2" i="28"/>
  <c r="AI3" i="28" s="1"/>
  <c r="AN128" i="28"/>
  <c r="AN133" i="28"/>
  <c r="AG123" i="29"/>
  <c r="AG127" i="29" s="1"/>
  <c r="AN185" i="28"/>
  <c r="AI262" i="28" l="1"/>
  <c r="AJ255" i="28"/>
  <c r="AO228" i="28"/>
  <c r="AM275" i="28"/>
  <c r="AM276" i="28" s="1"/>
  <c r="AM271" i="28"/>
  <c r="AM211" i="28"/>
  <c r="AM212" i="28" s="1"/>
  <c r="AM221" i="28"/>
  <c r="AM201" i="28"/>
  <c r="AM231" i="28"/>
  <c r="AM232" i="28" s="1"/>
  <c r="AM261" i="28"/>
  <c r="AM241" i="28"/>
  <c r="AM251" i="28"/>
  <c r="AM252" i="28" s="1"/>
  <c r="AK242" i="28"/>
  <c r="AL235" i="28"/>
  <c r="AM235" i="28" s="1"/>
  <c r="AJ222" i="28"/>
  <c r="AL215" i="28"/>
  <c r="AM215" i="28" s="1"/>
  <c r="AM265" i="28"/>
  <c r="AL272" i="28"/>
  <c r="AP225" i="28"/>
  <c r="AO209" i="28"/>
  <c r="AO256" i="28"/>
  <c r="AO238" i="28"/>
  <c r="AO237" i="28"/>
  <c r="AO236" i="28"/>
  <c r="AO240" i="28"/>
  <c r="AO239" i="28"/>
  <c r="AO229" i="28"/>
  <c r="AO259" i="28"/>
  <c r="AO260" i="28"/>
  <c r="AO258" i="28"/>
  <c r="AO267" i="28"/>
  <c r="AO217" i="28"/>
  <c r="AO218" i="28"/>
  <c r="AO216" i="28"/>
  <c r="AO220" i="28"/>
  <c r="AO219" i="28"/>
  <c r="AO230" i="28"/>
  <c r="AO268" i="28"/>
  <c r="AO270" i="28"/>
  <c r="AO269" i="28"/>
  <c r="AO207" i="28"/>
  <c r="AO266" i="28"/>
  <c r="AO210" i="28"/>
  <c r="AO208" i="28"/>
  <c r="AO205" i="28"/>
  <c r="AO206" i="28"/>
  <c r="AP227" i="28"/>
  <c r="AO257" i="28"/>
  <c r="AO226" i="28"/>
  <c r="AP10" i="28"/>
  <c r="AP9" i="28"/>
  <c r="AD107" i="28"/>
  <c r="AF50" i="29"/>
  <c r="AK54" i="28" s="1"/>
  <c r="AF87" i="29"/>
  <c r="AK51" i="28"/>
  <c r="AH117" i="29"/>
  <c r="AG47" i="29"/>
  <c r="AH116" i="29"/>
  <c r="AG119" i="29"/>
  <c r="AF106" i="28"/>
  <c r="AG196" i="28"/>
  <c r="AG202" i="28" s="1"/>
  <c r="AG277" i="28" s="1"/>
  <c r="S172" i="28"/>
  <c r="S156" i="28" s="1"/>
  <c r="S102" i="28" s="1"/>
  <c r="V129" i="28"/>
  <c r="U171" i="28"/>
  <c r="AP17" i="28"/>
  <c r="AP20" i="28"/>
  <c r="AP29" i="28"/>
  <c r="AP23" i="28"/>
  <c r="AP32" i="28"/>
  <c r="AH189" i="28"/>
  <c r="AC39" i="29"/>
  <c r="AC130" i="29"/>
  <c r="AO35" i="28"/>
  <c r="AP14" i="28"/>
  <c r="AH195" i="28"/>
  <c r="AO199" i="28"/>
  <c r="AO200" i="28"/>
  <c r="AO197" i="28"/>
  <c r="AP160" i="28"/>
  <c r="AP11" i="28"/>
  <c r="AQ8" i="28"/>
  <c r="AP186" i="28"/>
  <c r="AP184" i="28" s="1"/>
  <c r="AJ2" i="28"/>
  <c r="AJ3" i="28" s="1"/>
  <c r="AI6" i="28"/>
  <c r="AI5" i="28"/>
  <c r="AI4" i="28"/>
  <c r="AM163" i="28"/>
  <c r="AN7" i="28"/>
  <c r="AM161" i="28"/>
  <c r="AM162" i="28" s="1"/>
  <c r="AO119" i="28"/>
  <c r="AO198" i="28"/>
  <c r="AO133" i="28"/>
  <c r="AO128" i="28"/>
  <c r="AO185" i="28"/>
  <c r="AH123" i="29"/>
  <c r="AH127" i="29" s="1"/>
  <c r="AM242" i="28" l="1"/>
  <c r="AJ262" i="28"/>
  <c r="AK255" i="28"/>
  <c r="AQ225" i="28"/>
  <c r="AP209" i="28"/>
  <c r="AM222" i="28"/>
  <c r="AL242" i="28"/>
  <c r="AN235" i="28"/>
  <c r="AO235" i="28" s="1"/>
  <c r="AN251" i="28"/>
  <c r="AN252" i="28" s="1"/>
  <c r="AN275" i="28"/>
  <c r="AN276" i="28" s="1"/>
  <c r="AN271" i="28"/>
  <c r="AN211" i="28"/>
  <c r="AN212" i="28" s="1"/>
  <c r="AN221" i="28"/>
  <c r="AN201" i="28"/>
  <c r="AN231" i="28"/>
  <c r="AN232" i="28" s="1"/>
  <c r="AN241" i="28"/>
  <c r="AN261" i="28"/>
  <c r="AL222" i="28"/>
  <c r="AN215" i="28"/>
  <c r="AN265" i="28"/>
  <c r="AM272" i="28"/>
  <c r="AP208" i="28"/>
  <c r="AP259" i="28"/>
  <c r="AP228" i="28"/>
  <c r="AP230" i="28"/>
  <c r="AP229" i="28"/>
  <c r="AP266" i="28"/>
  <c r="AP226" i="28"/>
  <c r="AP257" i="28"/>
  <c r="AP258" i="28"/>
  <c r="AP260" i="28"/>
  <c r="AP270" i="28"/>
  <c r="AP269" i="28"/>
  <c r="AQ227" i="28"/>
  <c r="AP268" i="28"/>
  <c r="AP206" i="28"/>
  <c r="AP267" i="28"/>
  <c r="AP236" i="28"/>
  <c r="AP238" i="28"/>
  <c r="AP239" i="28"/>
  <c r="AP237" i="28"/>
  <c r="AP240" i="28"/>
  <c r="AP217" i="28"/>
  <c r="AP219" i="28"/>
  <c r="AP218" i="28"/>
  <c r="AP220" i="28"/>
  <c r="AP216" i="28"/>
  <c r="AP207" i="28"/>
  <c r="AP205" i="28"/>
  <c r="AP210" i="28"/>
  <c r="AP256" i="28"/>
  <c r="AQ10" i="28"/>
  <c r="AQ9" i="28"/>
  <c r="AG50" i="29"/>
  <c r="AL54" i="28" s="1"/>
  <c r="AG87" i="29"/>
  <c r="AL51" i="28"/>
  <c r="AI117" i="29"/>
  <c r="AH47" i="29"/>
  <c r="AI116" i="29"/>
  <c r="AH119" i="29"/>
  <c r="AE107" i="28"/>
  <c r="AG106" i="28"/>
  <c r="AH196" i="28"/>
  <c r="W129" i="28"/>
  <c r="V171" i="28"/>
  <c r="T173" i="28" s="1"/>
  <c r="T156" i="28" s="1"/>
  <c r="T102" i="28" s="1"/>
  <c r="AQ17" i="28"/>
  <c r="AQ20" i="28"/>
  <c r="AQ23" i="28"/>
  <c r="AQ29" i="28"/>
  <c r="AQ32" i="28"/>
  <c r="AD128" i="29"/>
  <c r="AD129" i="29" s="1"/>
  <c r="AP35" i="28"/>
  <c r="AQ14" i="28"/>
  <c r="AI195" i="28"/>
  <c r="AP200" i="28"/>
  <c r="AP198" i="28"/>
  <c r="AP199" i="28"/>
  <c r="AP197" i="28"/>
  <c r="AP119" i="28"/>
  <c r="AK2" i="28"/>
  <c r="AK3" i="28" s="1"/>
  <c r="AJ6" i="28"/>
  <c r="AJ5" i="28"/>
  <c r="AJ4" i="28"/>
  <c r="AP133" i="28"/>
  <c r="AP128" i="28"/>
  <c r="AQ160" i="28"/>
  <c r="AQ11" i="28"/>
  <c r="AR8" i="28"/>
  <c r="AQ186" i="28"/>
  <c r="AQ184" i="28" s="1"/>
  <c r="AN163" i="28"/>
  <c r="AO7" i="28"/>
  <c r="AN161" i="28"/>
  <c r="AN162" i="28" s="1"/>
  <c r="AI123" i="29"/>
  <c r="AI127" i="29" s="1"/>
  <c r="AP185" i="28"/>
  <c r="AR225" i="28" l="1"/>
  <c r="AK262" i="28"/>
  <c r="AL255" i="28"/>
  <c r="AP235" i="28"/>
  <c r="AQ235" i="28" s="1"/>
  <c r="AO261" i="28"/>
  <c r="AO241" i="28"/>
  <c r="AO242" i="28" s="1"/>
  <c r="AO275" i="28"/>
  <c r="AO276" i="28" s="1"/>
  <c r="AO271" i="28"/>
  <c r="AO211" i="28"/>
  <c r="AO212" i="28" s="1"/>
  <c r="AO251" i="28"/>
  <c r="AO252" i="28" s="1"/>
  <c r="AO221" i="28"/>
  <c r="AO201" i="28"/>
  <c r="AO231" i="28"/>
  <c r="AO232" i="28" s="1"/>
  <c r="AN222" i="28"/>
  <c r="AO215" i="28"/>
  <c r="AN242" i="28"/>
  <c r="AQ206" i="28"/>
  <c r="AN272" i="28"/>
  <c r="AO265" i="28"/>
  <c r="AQ268" i="28"/>
  <c r="AQ257" i="28"/>
  <c r="AQ260" i="28"/>
  <c r="AR227" i="28"/>
  <c r="AQ226" i="28"/>
  <c r="AQ267" i="28"/>
  <c r="AQ266" i="28"/>
  <c r="AQ258" i="28"/>
  <c r="AQ229" i="28"/>
  <c r="AQ218" i="28"/>
  <c r="AQ217" i="28"/>
  <c r="AQ220" i="28"/>
  <c r="AQ219" i="28"/>
  <c r="AQ216" i="28"/>
  <c r="AQ256" i="28"/>
  <c r="AQ230" i="28"/>
  <c r="AQ228" i="28"/>
  <c r="AQ210" i="28"/>
  <c r="AQ205" i="28"/>
  <c r="AQ209" i="28"/>
  <c r="AQ259" i="28"/>
  <c r="AQ269" i="28"/>
  <c r="AQ270" i="28"/>
  <c r="AQ239" i="28"/>
  <c r="AQ237" i="28"/>
  <c r="AQ240" i="28"/>
  <c r="AQ236" i="28"/>
  <c r="AQ238" i="28"/>
  <c r="AQ207" i="28"/>
  <c r="AQ208" i="28"/>
  <c r="AR10" i="28"/>
  <c r="AR9" i="28"/>
  <c r="AF107" i="28"/>
  <c r="AI189" i="28"/>
  <c r="AD39" i="29"/>
  <c r="AD130" i="29"/>
  <c r="AE128" i="29" s="1"/>
  <c r="AE129" i="29" s="1"/>
  <c r="AJ189" i="28" s="1"/>
  <c r="AH50" i="29"/>
  <c r="AM54" i="28" s="1"/>
  <c r="AH87" i="29"/>
  <c r="AM51" i="28"/>
  <c r="AJ117" i="29"/>
  <c r="AJ119" i="29" s="1"/>
  <c r="AI47" i="29"/>
  <c r="AI119" i="29"/>
  <c r="AJ116" i="29"/>
  <c r="AH106" i="28"/>
  <c r="AI196" i="28"/>
  <c r="AI202" i="28" s="1"/>
  <c r="AI277" i="28" s="1"/>
  <c r="AH202" i="28"/>
  <c r="AH277" i="28" s="1"/>
  <c r="V174" i="28"/>
  <c r="U172" i="28"/>
  <c r="U156" i="28" s="1"/>
  <c r="U102" i="28" s="1"/>
  <c r="X129" i="28"/>
  <c r="W171" i="28"/>
  <c r="AR17" i="28"/>
  <c r="AR20" i="28"/>
  <c r="AR29" i="28"/>
  <c r="AR23" i="28"/>
  <c r="AR32" i="28"/>
  <c r="AQ35" i="28"/>
  <c r="AR14" i="28"/>
  <c r="AJ195" i="28"/>
  <c r="AQ200" i="28"/>
  <c r="AQ198" i="28"/>
  <c r="AQ197" i="28"/>
  <c r="AL2" i="28"/>
  <c r="AL3" i="28" s="1"/>
  <c r="AK6" i="28"/>
  <c r="AK5" i="28"/>
  <c r="AK4" i="28"/>
  <c r="AO163" i="28"/>
  <c r="AP7" i="28"/>
  <c r="AQ128" i="28"/>
  <c r="AQ133" i="28"/>
  <c r="AR160" i="28"/>
  <c r="AR11" i="28"/>
  <c r="AS8" i="28"/>
  <c r="AR186" i="28"/>
  <c r="AR184" i="28" s="1"/>
  <c r="AQ119" i="28"/>
  <c r="AQ199" i="28"/>
  <c r="AQ185" i="28"/>
  <c r="AJ123" i="29"/>
  <c r="AJ127" i="29" s="1"/>
  <c r="AS225" i="28" l="1"/>
  <c r="AL107" i="28"/>
  <c r="AP215" i="28"/>
  <c r="AQ215" i="28" s="1"/>
  <c r="AL262" i="28"/>
  <c r="AM255" i="28"/>
  <c r="AE130" i="29"/>
  <c r="AR205" i="28"/>
  <c r="AP261" i="28"/>
  <c r="AP231" i="28"/>
  <c r="AP232" i="28" s="1"/>
  <c r="AP275" i="28"/>
  <c r="AP276" i="28" s="1"/>
  <c r="AP271" i="28"/>
  <c r="AP211" i="28"/>
  <c r="AP212" i="28" s="1"/>
  <c r="AP221" i="28"/>
  <c r="AP241" i="28"/>
  <c r="AP242" i="28" s="1"/>
  <c r="AP201" i="28"/>
  <c r="AP251" i="28"/>
  <c r="AP252" i="28" s="1"/>
  <c r="AO222" i="28"/>
  <c r="AR228" i="28"/>
  <c r="AO272" i="28"/>
  <c r="AP265" i="28"/>
  <c r="AR230" i="28"/>
  <c r="AE39" i="29"/>
  <c r="AR266" i="28"/>
  <c r="AR256" i="28"/>
  <c r="AR226" i="28"/>
  <c r="AR235" i="28"/>
  <c r="AR238" i="28"/>
  <c r="AR240" i="28"/>
  <c r="AR239" i="28"/>
  <c r="AR237" i="28"/>
  <c r="AR269" i="28"/>
  <c r="AS227" i="28"/>
  <c r="AR270" i="28"/>
  <c r="AR260" i="28"/>
  <c r="AR208" i="28"/>
  <c r="AR259" i="28"/>
  <c r="AR236" i="28"/>
  <c r="AR257" i="28"/>
  <c r="AR267" i="28"/>
  <c r="AR216" i="28"/>
  <c r="AR218" i="28"/>
  <c r="AR219" i="28"/>
  <c r="AR217" i="28"/>
  <c r="AR215" i="28"/>
  <c r="AR220" i="28"/>
  <c r="AR207" i="28"/>
  <c r="AR268" i="28"/>
  <c r="AR209" i="28"/>
  <c r="AR206" i="28"/>
  <c r="AR229" i="28"/>
  <c r="AR210" i="28"/>
  <c r="AR258" i="28"/>
  <c r="AS10" i="28"/>
  <c r="AS9" i="28"/>
  <c r="AG107" i="28"/>
  <c r="AH107" i="28"/>
  <c r="AI50" i="29"/>
  <c r="AN54" i="28" s="1"/>
  <c r="AN51" i="28"/>
  <c r="AI87" i="29"/>
  <c r="AK117" i="29"/>
  <c r="AK119" i="29" s="1"/>
  <c r="AJ47" i="29"/>
  <c r="AK116" i="29"/>
  <c r="AJ196" i="28"/>
  <c r="AK196" i="28" s="1"/>
  <c r="AI106" i="28"/>
  <c r="Y129" i="28"/>
  <c r="X171" i="28"/>
  <c r="W172" i="28" s="1"/>
  <c r="AS17" i="28"/>
  <c r="AS20" i="28"/>
  <c r="AS23" i="28"/>
  <c r="AS29" i="28"/>
  <c r="AS32" i="28"/>
  <c r="AF128" i="29"/>
  <c r="AF129" i="29" s="1"/>
  <c r="AF130" i="29" s="1"/>
  <c r="AR35" i="28"/>
  <c r="AK195" i="28"/>
  <c r="AR199" i="28"/>
  <c r="AR198" i="28"/>
  <c r="AP163" i="28"/>
  <c r="AQ7" i="28"/>
  <c r="AP161" i="28"/>
  <c r="AP162" i="28" s="1"/>
  <c r="AR133" i="28"/>
  <c r="AR128" i="28"/>
  <c r="AR119" i="28"/>
  <c r="AR197" i="28"/>
  <c r="AS160" i="28"/>
  <c r="AT8" i="28"/>
  <c r="AS11" i="28"/>
  <c r="AS186" i="28"/>
  <c r="AS184" i="28" s="1"/>
  <c r="AS14" i="28"/>
  <c r="AL6" i="28"/>
  <c r="AL5" i="28"/>
  <c r="AL4" i="28"/>
  <c r="AM2" i="28"/>
  <c r="AM3" i="28" s="1"/>
  <c r="AR200" i="28"/>
  <c r="AK123" i="29"/>
  <c r="AK127" i="29" s="1"/>
  <c r="AR185" i="28"/>
  <c r="AT225" i="28" l="1"/>
  <c r="AP222" i="28"/>
  <c r="AM107" i="28"/>
  <c r="AS205" i="28"/>
  <c r="AN255" i="28"/>
  <c r="AO255" i="28" s="1"/>
  <c r="AO262" i="28" s="1"/>
  <c r="AM262" i="28"/>
  <c r="AQ251" i="28"/>
  <c r="AQ252" i="28" s="1"/>
  <c r="AQ241" i="28"/>
  <c r="AQ242" i="28" s="1"/>
  <c r="AQ261" i="28"/>
  <c r="AQ275" i="28"/>
  <c r="AQ276" i="28" s="1"/>
  <c r="AQ271" i="28"/>
  <c r="AQ211" i="28"/>
  <c r="AQ212" i="28" s="1"/>
  <c r="AQ221" i="28"/>
  <c r="AQ222" i="28" s="1"/>
  <c r="AQ231" i="28"/>
  <c r="AQ232" i="28" s="1"/>
  <c r="AQ201" i="28"/>
  <c r="AS206" i="28"/>
  <c r="AP272" i="28"/>
  <c r="AQ265" i="28"/>
  <c r="AS209" i="28"/>
  <c r="AS257" i="28"/>
  <c r="AS269" i="28"/>
  <c r="AS268" i="28"/>
  <c r="AS259" i="28"/>
  <c r="AS258" i="28"/>
  <c r="AS230" i="28"/>
  <c r="AT227" i="28"/>
  <c r="AS207" i="28"/>
  <c r="AS208" i="28"/>
  <c r="AS210" i="28"/>
  <c r="AS215" i="28"/>
  <c r="AS216" i="28"/>
  <c r="AS220" i="28"/>
  <c r="AS218" i="28"/>
  <c r="AS219" i="28"/>
  <c r="AS217" i="28"/>
  <c r="AS228" i="28"/>
  <c r="AS266" i="28"/>
  <c r="AS226" i="28"/>
  <c r="AS229" i="28"/>
  <c r="AS256" i="28"/>
  <c r="AS260" i="28"/>
  <c r="AS270" i="28"/>
  <c r="AS237" i="28"/>
  <c r="AS239" i="28"/>
  <c r="AS236" i="28"/>
  <c r="AS235" i="28"/>
  <c r="AS240" i="28"/>
  <c r="AS238" i="28"/>
  <c r="AS267" i="28"/>
  <c r="AT10" i="28"/>
  <c r="AT9" i="28"/>
  <c r="AI107" i="28"/>
  <c r="AJ202" i="28"/>
  <c r="AJ277" i="28" s="1"/>
  <c r="AF39" i="29"/>
  <c r="AK189" i="28"/>
  <c r="AJ50" i="29"/>
  <c r="AO54" i="28" s="1"/>
  <c r="AJ87" i="29"/>
  <c r="AO51" i="28"/>
  <c r="AL117" i="29"/>
  <c r="AL119" i="29" s="1"/>
  <c r="AK47" i="29"/>
  <c r="AL196" i="28"/>
  <c r="AK106" i="28"/>
  <c r="AJ106" i="28"/>
  <c r="Z129" i="28"/>
  <c r="Y171" i="28"/>
  <c r="W173" i="28" s="1"/>
  <c r="W156" i="28" s="1"/>
  <c r="W102" i="28" s="1"/>
  <c r="AT17" i="28"/>
  <c r="AT20" i="28"/>
  <c r="AU225" i="28" s="1"/>
  <c r="AT23" i="28"/>
  <c r="AT29" i="28"/>
  <c r="AT32" i="28"/>
  <c r="AG128" i="29"/>
  <c r="AG129" i="29" s="1"/>
  <c r="AS35" i="28"/>
  <c r="AK202" i="28"/>
  <c r="AK277" i="28" s="1"/>
  <c r="AL195" i="28"/>
  <c r="AS199" i="28"/>
  <c r="AN2" i="28"/>
  <c r="AN3" i="28" s="1"/>
  <c r="AM6" i="28"/>
  <c r="AM5" i="28"/>
  <c r="AM4" i="28"/>
  <c r="AS197" i="28"/>
  <c r="AS198" i="28"/>
  <c r="AS128" i="28"/>
  <c r="AS133" i="28"/>
  <c r="AS119" i="28"/>
  <c r="AS200" i="28"/>
  <c r="AT160" i="28"/>
  <c r="AT11" i="28"/>
  <c r="AU8" i="28"/>
  <c r="AT186" i="28"/>
  <c r="AT184" i="28" s="1"/>
  <c r="AT14" i="28"/>
  <c r="AQ163" i="28"/>
  <c r="AR7" i="28"/>
  <c r="AQ161" i="28"/>
  <c r="AQ162" i="28" s="1"/>
  <c r="AL123" i="29"/>
  <c r="AL127" i="29" s="1"/>
  <c r="AS185" i="28"/>
  <c r="AT205" i="28" l="1"/>
  <c r="AL106" i="28"/>
  <c r="AN107" i="28"/>
  <c r="AP255" i="28"/>
  <c r="AN262" i="28"/>
  <c r="AR241" i="28"/>
  <c r="AR242" i="28" s="1"/>
  <c r="AR251" i="28"/>
  <c r="AR252" i="28" s="1"/>
  <c r="AR201" i="28"/>
  <c r="AR261" i="28"/>
  <c r="AR231" i="28"/>
  <c r="AR232" i="28" s="1"/>
  <c r="AR275" i="28"/>
  <c r="AR276" i="28" s="1"/>
  <c r="AR271" i="28"/>
  <c r="AR211" i="28"/>
  <c r="AR212" i="28" s="1"/>
  <c r="AR221" i="28"/>
  <c r="AR222" i="28" s="1"/>
  <c r="AR265" i="28"/>
  <c r="AQ272" i="28"/>
  <c r="AT266" i="28"/>
  <c r="AT210" i="28"/>
  <c r="AT226" i="28"/>
  <c r="AT257" i="28"/>
  <c r="AT270" i="28"/>
  <c r="AT258" i="28"/>
  <c r="AT228" i="28"/>
  <c r="AT208" i="28"/>
  <c r="AT235" i="28"/>
  <c r="AT239" i="28"/>
  <c r="AT237" i="28"/>
  <c r="AT240" i="28"/>
  <c r="AT238" i="28"/>
  <c r="AT260" i="28"/>
  <c r="AT207" i="28"/>
  <c r="AT267" i="28"/>
  <c r="AU227" i="28"/>
  <c r="AT256" i="28"/>
  <c r="AT259" i="28"/>
  <c r="AT216" i="28"/>
  <c r="AT217" i="28"/>
  <c r="AT219" i="28"/>
  <c r="AT215" i="28"/>
  <c r="AT218" i="28"/>
  <c r="AT220" i="28"/>
  <c r="AT229" i="28"/>
  <c r="AT268" i="28"/>
  <c r="AT230" i="28"/>
  <c r="AT209" i="28"/>
  <c r="AT206" i="28"/>
  <c r="AT236" i="28"/>
  <c r="AT269" i="28"/>
  <c r="AU10" i="28"/>
  <c r="AU9" i="28"/>
  <c r="AJ107" i="28"/>
  <c r="AP51" i="28"/>
  <c r="AK87" i="29"/>
  <c r="AK50" i="29"/>
  <c r="AP54" i="28" s="1"/>
  <c r="AM117" i="29"/>
  <c r="AM119" i="29" s="1"/>
  <c r="AL47" i="29"/>
  <c r="AM196" i="28"/>
  <c r="Y174" i="28"/>
  <c r="AA129" i="28"/>
  <c r="Z171" i="28"/>
  <c r="AU17" i="28"/>
  <c r="AU20" i="28"/>
  <c r="AV225" i="28" s="1"/>
  <c r="AU29" i="28"/>
  <c r="AU23" i="28"/>
  <c r="AU32" i="28"/>
  <c r="AL189" i="28"/>
  <c r="AG39" i="29"/>
  <c r="AG130" i="29"/>
  <c r="AT35" i="28"/>
  <c r="AL202" i="28"/>
  <c r="AL277" i="28" s="1"/>
  <c r="AM195" i="28"/>
  <c r="AT198" i="28"/>
  <c r="AT200" i="28"/>
  <c r="AR163" i="28"/>
  <c r="AS7" i="28"/>
  <c r="AT133" i="28"/>
  <c r="AT128" i="28"/>
  <c r="AU160" i="28"/>
  <c r="AU11" i="28"/>
  <c r="AV8" i="28"/>
  <c r="AU186" i="28"/>
  <c r="AU184" i="28" s="1"/>
  <c r="AU14" i="28"/>
  <c r="AT119" i="28"/>
  <c r="AT197" i="28"/>
  <c r="AO2" i="28"/>
  <c r="AO3" i="28" s="1"/>
  <c r="AN6" i="28"/>
  <c r="AO107" i="28" s="1"/>
  <c r="AN5" i="28"/>
  <c r="AN4" i="28"/>
  <c r="AT199" i="28"/>
  <c r="AM123" i="29"/>
  <c r="AM127" i="29" s="1"/>
  <c r="AT185" i="28"/>
  <c r="AU205" i="28" l="1"/>
  <c r="AM106" i="28"/>
  <c r="AR272" i="28"/>
  <c r="AQ255" i="28"/>
  <c r="AP262" i="28"/>
  <c r="AS231" i="28"/>
  <c r="AS232" i="28" s="1"/>
  <c r="AS241" i="28"/>
  <c r="AS242" i="28" s="1"/>
  <c r="AS251" i="28"/>
  <c r="AS252" i="28" s="1"/>
  <c r="AS201" i="28"/>
  <c r="AS261" i="28"/>
  <c r="AS275" i="28"/>
  <c r="AS276" i="28" s="1"/>
  <c r="AS271" i="28"/>
  <c r="AS211" i="28"/>
  <c r="AS212" i="28" s="1"/>
  <c r="AS221" i="28"/>
  <c r="AS222" i="28" s="1"/>
  <c r="AS265" i="28"/>
  <c r="AU208" i="28"/>
  <c r="AU209" i="28"/>
  <c r="AU259" i="28"/>
  <c r="AU228" i="28"/>
  <c r="AV227" i="28"/>
  <c r="AU256" i="28"/>
  <c r="AU268" i="28"/>
  <c r="AU267" i="28"/>
  <c r="AU258" i="28"/>
  <c r="AU229" i="28"/>
  <c r="AU270" i="28"/>
  <c r="AU207" i="28"/>
  <c r="AU269" i="28"/>
  <c r="AU260" i="28"/>
  <c r="AU257" i="28"/>
  <c r="AU216" i="28"/>
  <c r="AU218" i="28"/>
  <c r="AU219" i="28"/>
  <c r="AU217" i="28"/>
  <c r="AU215" i="28"/>
  <c r="AU220" i="28"/>
  <c r="AU236" i="28"/>
  <c r="AU226" i="28"/>
  <c r="AU230" i="28"/>
  <c r="AU206" i="28"/>
  <c r="AU210" i="28"/>
  <c r="AU239" i="28"/>
  <c r="AU237" i="28"/>
  <c r="AU238" i="28"/>
  <c r="AU240" i="28"/>
  <c r="AU235" i="28"/>
  <c r="AU266" i="28"/>
  <c r="AV10" i="28"/>
  <c r="AV9" i="28"/>
  <c r="AK107" i="28"/>
  <c r="AL50" i="29"/>
  <c r="AQ54" i="28" s="1"/>
  <c r="AQ51" i="28"/>
  <c r="AL87" i="29"/>
  <c r="AN117" i="29"/>
  <c r="AN119" i="29" s="1"/>
  <c r="AM47" i="29"/>
  <c r="AN196" i="28"/>
  <c r="Y172" i="28"/>
  <c r="Y156" i="28" s="1"/>
  <c r="Y102" i="28" s="1"/>
  <c r="AB129" i="28"/>
  <c r="AA171" i="28"/>
  <c r="AV17" i="28"/>
  <c r="AV20" i="28"/>
  <c r="AW225" i="28" s="1"/>
  <c r="AV23" i="28"/>
  <c r="AV29" i="28"/>
  <c r="AV32" i="28"/>
  <c r="AH128" i="29"/>
  <c r="AH129" i="29" s="1"/>
  <c r="AH130" i="29" s="1"/>
  <c r="AU35" i="28"/>
  <c r="AM202" i="28"/>
  <c r="AM277" i="28" s="1"/>
  <c r="AN195" i="28"/>
  <c r="AU198" i="28"/>
  <c r="AU197" i="28"/>
  <c r="AU199" i="28"/>
  <c r="AU119" i="28"/>
  <c r="AS163" i="28"/>
  <c r="AT7" i="28"/>
  <c r="AS161" i="28"/>
  <c r="AS162" i="28" s="1"/>
  <c r="AU200" i="28"/>
  <c r="AP2" i="28"/>
  <c r="AP3" i="28" s="1"/>
  <c r="AO6" i="28"/>
  <c r="AP107" i="28" s="1"/>
  <c r="AO5" i="28"/>
  <c r="AO4" i="28"/>
  <c r="AU128" i="28"/>
  <c r="AU133" i="28"/>
  <c r="AV11" i="28"/>
  <c r="AW8" i="28"/>
  <c r="AV160" i="28"/>
  <c r="AV186" i="28"/>
  <c r="AV184" i="28" s="1"/>
  <c r="AV14" i="28"/>
  <c r="AU185" i="28"/>
  <c r="AN123" i="29"/>
  <c r="AN127" i="29" s="1"/>
  <c r="AV205" i="28" l="1"/>
  <c r="AN106" i="28"/>
  <c r="AR107" i="28"/>
  <c r="AQ262" i="28"/>
  <c r="AR255" i="28"/>
  <c r="AS272" i="28"/>
  <c r="AT201" i="28"/>
  <c r="AT231" i="28"/>
  <c r="AT232" i="28" s="1"/>
  <c r="AT221" i="28"/>
  <c r="AT222" i="28" s="1"/>
  <c r="AT241" i="28"/>
  <c r="AT242" i="28" s="1"/>
  <c r="AT251" i="28"/>
  <c r="AT252" i="28" s="1"/>
  <c r="AT261" i="28"/>
  <c r="AT275" i="28"/>
  <c r="AT276" i="28" s="1"/>
  <c r="AT271" i="28"/>
  <c r="AT211" i="28"/>
  <c r="AT212" i="28" s="1"/>
  <c r="AT265" i="28"/>
  <c r="AV229" i="28"/>
  <c r="AV206" i="28"/>
  <c r="AV209" i="28"/>
  <c r="AV270" i="28"/>
  <c r="AV230" i="28"/>
  <c r="AV258" i="28"/>
  <c r="AV259" i="28"/>
  <c r="AV267" i="28"/>
  <c r="AV257" i="28"/>
  <c r="AV268" i="28"/>
  <c r="AV210" i="28"/>
  <c r="AV226" i="28"/>
  <c r="AV260" i="28"/>
  <c r="AV256" i="28"/>
  <c r="AV236" i="28"/>
  <c r="AV269" i="28"/>
  <c r="AW227" i="28"/>
  <c r="AV228" i="28"/>
  <c r="AV217" i="28"/>
  <c r="AV219" i="28"/>
  <c r="AV215" i="28"/>
  <c r="AV218" i="28"/>
  <c r="AV216" i="28"/>
  <c r="AV220" i="28"/>
  <c r="AV266" i="28"/>
  <c r="AV208" i="28"/>
  <c r="AV237" i="28"/>
  <c r="AV235" i="28"/>
  <c r="AV238" i="28"/>
  <c r="AV240" i="28"/>
  <c r="AV239" i="28"/>
  <c r="AV207" i="28"/>
  <c r="AW10" i="28"/>
  <c r="AW9" i="28"/>
  <c r="AM189" i="28"/>
  <c r="AH39" i="29"/>
  <c r="AM50" i="29"/>
  <c r="AR54" i="28" s="1"/>
  <c r="AR51" i="28"/>
  <c r="AM87" i="29"/>
  <c r="AO117" i="29"/>
  <c r="AO119" i="29" s="1"/>
  <c r="AN47" i="29"/>
  <c r="AO196" i="28"/>
  <c r="AC129" i="28"/>
  <c r="AB171" i="28"/>
  <c r="AA172" i="28" s="1"/>
  <c r="AA156" i="28" s="1"/>
  <c r="AA102" i="28" s="1"/>
  <c r="AW17" i="28"/>
  <c r="AW20" i="28"/>
  <c r="AX225" i="28" s="1"/>
  <c r="AW29" i="28"/>
  <c r="AW23" i="28"/>
  <c r="AW32" i="28"/>
  <c r="AI128" i="29"/>
  <c r="AI129" i="29" s="1"/>
  <c r="AV35" i="28"/>
  <c r="AN202" i="28"/>
  <c r="AN277" i="28" s="1"/>
  <c r="AO195" i="28"/>
  <c r="AV128" i="28"/>
  <c r="AV133" i="28"/>
  <c r="AV199" i="28"/>
  <c r="AW160" i="28"/>
  <c r="AX8" i="28"/>
  <c r="AW11" i="28"/>
  <c r="AW186" i="28"/>
  <c r="AW184" i="28" s="1"/>
  <c r="AW14" i="28"/>
  <c r="AV197" i="28"/>
  <c r="AV119" i="28"/>
  <c r="AV198" i="28"/>
  <c r="AP6" i="28"/>
  <c r="AQ107" i="28" s="1"/>
  <c r="AP5" i="28"/>
  <c r="AP4" i="28"/>
  <c r="AQ2" i="28"/>
  <c r="AQ3" i="28" s="1"/>
  <c r="AV200" i="28"/>
  <c r="AT163" i="28"/>
  <c r="AU7" i="28"/>
  <c r="AT161" i="28"/>
  <c r="AT162" i="28" s="1"/>
  <c r="AO123" i="29"/>
  <c r="AO127" i="29" s="1"/>
  <c r="AV185" i="28"/>
  <c r="AW205" i="28" l="1"/>
  <c r="AO106" i="28"/>
  <c r="AR262" i="28"/>
  <c r="AS255" i="28"/>
  <c r="AS107" i="28" s="1"/>
  <c r="AT272" i="28"/>
  <c r="AU265" i="28"/>
  <c r="AV265" i="28" s="1"/>
  <c r="AW265" i="28" s="1"/>
  <c r="AU201" i="28"/>
  <c r="AU221" i="28"/>
  <c r="AU222" i="28" s="1"/>
  <c r="AU231" i="28"/>
  <c r="AU232" i="28" s="1"/>
  <c r="AU241" i="28"/>
  <c r="AU242" i="28" s="1"/>
  <c r="AU251" i="28"/>
  <c r="AU252" i="28" s="1"/>
  <c r="AU261" i="28"/>
  <c r="AU275" i="28"/>
  <c r="AU276" i="28" s="1"/>
  <c r="AU271" i="28"/>
  <c r="AU211" i="28"/>
  <c r="AU212" i="28" s="1"/>
  <c r="AW208" i="28"/>
  <c r="AW267" i="28"/>
  <c r="AW269" i="28"/>
  <c r="AW236" i="28"/>
  <c r="AW266" i="28"/>
  <c r="AX227" i="28"/>
  <c r="AW260" i="28"/>
  <c r="AW259" i="28"/>
  <c r="AW258" i="28"/>
  <c r="AW230" i="28"/>
  <c r="AW207" i="28"/>
  <c r="AW256" i="28"/>
  <c r="AW270" i="28"/>
  <c r="AW216" i="28"/>
  <c r="AW217" i="28"/>
  <c r="AW218" i="28"/>
  <c r="AW219" i="28"/>
  <c r="AW215" i="28"/>
  <c r="AW220" i="28"/>
  <c r="AW209" i="28"/>
  <c r="AW257" i="28"/>
  <c r="AW206" i="28"/>
  <c r="AW228" i="28"/>
  <c r="AW226" i="28"/>
  <c r="AW210" i="28"/>
  <c r="AW229" i="28"/>
  <c r="AW240" i="28"/>
  <c r="AW235" i="28"/>
  <c r="AW238" i="28"/>
  <c r="AW239" i="28"/>
  <c r="AW237" i="28"/>
  <c r="AW268" i="28"/>
  <c r="AX10" i="28"/>
  <c r="AX9" i="28"/>
  <c r="AI130" i="29"/>
  <c r="AN87" i="29"/>
  <c r="AS51" i="28"/>
  <c r="AN50" i="29"/>
  <c r="AS54" i="28" s="1"/>
  <c r="AP117" i="29"/>
  <c r="AP119" i="29" s="1"/>
  <c r="AO47" i="29"/>
  <c r="AP196" i="28"/>
  <c r="AB174" i="28"/>
  <c r="Z173" i="28"/>
  <c r="Z156" i="28" s="1"/>
  <c r="Z102" i="28" s="1"/>
  <c r="AD129" i="28"/>
  <c r="AC171" i="28"/>
  <c r="AX17" i="28"/>
  <c r="AX20" i="28"/>
  <c r="AY225" i="28" s="1"/>
  <c r="AX23" i="28"/>
  <c r="AX29" i="28"/>
  <c r="AX32" i="28"/>
  <c r="AN189" i="28"/>
  <c r="AW35" i="28"/>
  <c r="AO202" i="28"/>
  <c r="AO277" i="28" s="1"/>
  <c r="AP195" i="28"/>
  <c r="AW198" i="28"/>
  <c r="AU163" i="28"/>
  <c r="AV7" i="28"/>
  <c r="AW128" i="28"/>
  <c r="AW133" i="28"/>
  <c r="AW199" i="28"/>
  <c r="AW200" i="28"/>
  <c r="AX160" i="28"/>
  <c r="AX11" i="28"/>
  <c r="AY8" i="28"/>
  <c r="AX186" i="28"/>
  <c r="AX184" i="28" s="1"/>
  <c r="AX14" i="28"/>
  <c r="AX205" i="28" s="1"/>
  <c r="AW119" i="28"/>
  <c r="AR2" i="28"/>
  <c r="AR3" i="28" s="1"/>
  <c r="AQ6" i="28"/>
  <c r="AQ5" i="28"/>
  <c r="AQ4" i="28"/>
  <c r="AW197" i="28"/>
  <c r="AW185" i="28"/>
  <c r="AP123" i="29"/>
  <c r="AP127" i="29" s="1"/>
  <c r="AQ196" i="28" l="1"/>
  <c r="AP106" i="28"/>
  <c r="AT107" i="28"/>
  <c r="AS262" i="28"/>
  <c r="AT255" i="28"/>
  <c r="AU107" i="28" s="1"/>
  <c r="AX265" i="28"/>
  <c r="AV221" i="28"/>
  <c r="AV222" i="28" s="1"/>
  <c r="AV201" i="28"/>
  <c r="AV275" i="28"/>
  <c r="AV276" i="28" s="1"/>
  <c r="AV271" i="28"/>
  <c r="AV272" i="28" s="1"/>
  <c r="AV231" i="28"/>
  <c r="AV232" i="28" s="1"/>
  <c r="AV241" i="28"/>
  <c r="AV242" i="28" s="1"/>
  <c r="AV251" i="28"/>
  <c r="AV252" i="28" s="1"/>
  <c r="AV211" i="28"/>
  <c r="AV212" i="28" s="1"/>
  <c r="AV261" i="28"/>
  <c r="AU272" i="28"/>
  <c r="AX206" i="28"/>
  <c r="AX257" i="28"/>
  <c r="AX258" i="28"/>
  <c r="AX207" i="28"/>
  <c r="AX230" i="28"/>
  <c r="AX229" i="28"/>
  <c r="AX209" i="28"/>
  <c r="AX210" i="28"/>
  <c r="AX259" i="28"/>
  <c r="AX238" i="28"/>
  <c r="AX240" i="28"/>
  <c r="AX235" i="28"/>
  <c r="AX237" i="28"/>
  <c r="AX239" i="28"/>
  <c r="AX236" i="28"/>
  <c r="AX266" i="28"/>
  <c r="AX267" i="28"/>
  <c r="AX208" i="28"/>
  <c r="AX268" i="28"/>
  <c r="AX269" i="28"/>
  <c r="AX216" i="28"/>
  <c r="AX219" i="28"/>
  <c r="AX215" i="28"/>
  <c r="AX217" i="28"/>
  <c r="AX220" i="28"/>
  <c r="AX218" i="28"/>
  <c r="AX226" i="28"/>
  <c r="AX260" i="28"/>
  <c r="AX228" i="28"/>
  <c r="AX270" i="28"/>
  <c r="AX256" i="28"/>
  <c r="AY227" i="28"/>
  <c r="AY10" i="28"/>
  <c r="AY9" i="28"/>
  <c r="AJ128" i="29"/>
  <c r="AJ129" i="29" s="1"/>
  <c r="AJ130" i="29" s="1"/>
  <c r="AK128" i="29" s="1"/>
  <c r="AK129" i="29" s="1"/>
  <c r="AI39" i="29"/>
  <c r="AO50" i="29"/>
  <c r="AT54" i="28" s="1"/>
  <c r="AT51" i="28"/>
  <c r="AO87" i="29"/>
  <c r="AQ117" i="29"/>
  <c r="AQ119" i="29" s="1"/>
  <c r="AP47" i="29"/>
  <c r="AE129" i="28"/>
  <c r="AD171" i="28"/>
  <c r="AC172" i="28" s="1"/>
  <c r="AY17" i="28"/>
  <c r="AY20" i="28"/>
  <c r="AZ225" i="28" s="1"/>
  <c r="AY23" i="28"/>
  <c r="AY29" i="28"/>
  <c r="AY32" i="28"/>
  <c r="AX35" i="28"/>
  <c r="AP202" i="28"/>
  <c r="AP277" i="28" s="1"/>
  <c r="AQ195" i="28"/>
  <c r="AS2" i="28"/>
  <c r="AS3" i="28" s="1"/>
  <c r="AR6" i="28"/>
  <c r="AR5" i="28"/>
  <c r="AR4" i="28"/>
  <c r="AX197" i="28"/>
  <c r="AX119" i="28"/>
  <c r="AX133" i="28"/>
  <c r="AX128" i="28"/>
  <c r="AY160" i="28"/>
  <c r="AY11" i="28"/>
  <c r="AZ8" i="28"/>
  <c r="AY186" i="28"/>
  <c r="AY184" i="28" s="1"/>
  <c r="AY14" i="28"/>
  <c r="AY205" i="28" s="1"/>
  <c r="AX200" i="28"/>
  <c r="AX198" i="28"/>
  <c r="AX199" i="28"/>
  <c r="AV163" i="28"/>
  <c r="AW7" i="28"/>
  <c r="AV161" i="28"/>
  <c r="AV162" i="28" s="1"/>
  <c r="AX185" i="28"/>
  <c r="AQ123" i="29"/>
  <c r="AQ127" i="29" s="1"/>
  <c r="AU255" i="28" l="1"/>
  <c r="AU262" i="28" s="1"/>
  <c r="AR196" i="28"/>
  <c r="AQ106" i="28"/>
  <c r="AY265" i="28"/>
  <c r="AT262" i="28"/>
  <c r="AW211" i="28"/>
  <c r="AW212" i="28" s="1"/>
  <c r="AW221" i="28"/>
  <c r="AW222" i="28" s="1"/>
  <c r="AW201" i="28"/>
  <c r="AW275" i="28"/>
  <c r="AW276" i="28" s="1"/>
  <c r="AW231" i="28"/>
  <c r="AW232" i="28" s="1"/>
  <c r="AW241" i="28"/>
  <c r="AW242" i="28" s="1"/>
  <c r="AW251" i="28"/>
  <c r="AW252" i="28" s="1"/>
  <c r="AW271" i="28"/>
  <c r="AW272" i="28" s="1"/>
  <c r="AW261" i="28"/>
  <c r="AY269" i="28"/>
  <c r="AY270" i="28"/>
  <c r="AY268" i="28"/>
  <c r="AY267" i="28"/>
  <c r="AY266" i="28"/>
  <c r="AY228" i="28"/>
  <c r="AY237" i="28"/>
  <c r="AY239" i="28"/>
  <c r="AY235" i="28"/>
  <c r="AY238" i="28"/>
  <c r="AY240" i="28"/>
  <c r="AY259" i="28"/>
  <c r="AY220" i="28"/>
  <c r="AY215" i="28"/>
  <c r="AY216" i="28"/>
  <c r="AY219" i="28"/>
  <c r="AY218" i="28"/>
  <c r="AY217" i="28"/>
  <c r="AY260" i="28"/>
  <c r="AY208" i="28"/>
  <c r="AY206" i="28"/>
  <c r="AY258" i="28"/>
  <c r="AY226" i="28"/>
  <c r="AY210" i="28"/>
  <c r="AZ227" i="28"/>
  <c r="AY209" i="28"/>
  <c r="AY256" i="28"/>
  <c r="AY229" i="28"/>
  <c r="AY236" i="28"/>
  <c r="AY230" i="28"/>
  <c r="AY257" i="28"/>
  <c r="AY207" i="28"/>
  <c r="AZ10" i="28"/>
  <c r="AZ9" i="28"/>
  <c r="AO189" i="28"/>
  <c r="AJ39" i="29"/>
  <c r="AP87" i="29"/>
  <c r="AP50" i="29"/>
  <c r="AU54" i="28" s="1"/>
  <c r="AU51" i="28"/>
  <c r="AR117" i="29"/>
  <c r="AR119" i="29" s="1"/>
  <c r="AQ47" i="29"/>
  <c r="AF129" i="28"/>
  <c r="AE171" i="28"/>
  <c r="AE174" i="28" s="1"/>
  <c r="AZ17" i="28"/>
  <c r="AZ20" i="28"/>
  <c r="BA225" i="28" s="1"/>
  <c r="AZ23" i="28"/>
  <c r="AZ29" i="28"/>
  <c r="AZ32" i="28"/>
  <c r="AP189" i="28"/>
  <c r="AK39" i="29"/>
  <c r="AK130" i="29"/>
  <c r="AY35" i="28"/>
  <c r="AR195" i="28"/>
  <c r="AQ202" i="28"/>
  <c r="AQ277" i="28" s="1"/>
  <c r="AY199" i="28"/>
  <c r="AY197" i="28"/>
  <c r="AW163" i="28"/>
  <c r="AX7" i="28"/>
  <c r="AW161" i="28"/>
  <c r="AW162" i="28" s="1"/>
  <c r="AY128" i="28"/>
  <c r="AY133" i="28"/>
  <c r="AZ11" i="28"/>
  <c r="AZ160" i="28"/>
  <c r="BA8" i="28"/>
  <c r="AZ186" i="28"/>
  <c r="AZ184" i="28" s="1"/>
  <c r="AZ14" i="28"/>
  <c r="AY119" i="28"/>
  <c r="AY200" i="28"/>
  <c r="AT2" i="28"/>
  <c r="AT3" i="28" s="1"/>
  <c r="AS6" i="28"/>
  <c r="AS5" i="28"/>
  <c r="AS4" i="28"/>
  <c r="AY198" i="28"/>
  <c r="AR123" i="29"/>
  <c r="AR127" i="29" s="1"/>
  <c r="AY185" i="28"/>
  <c r="AV255" i="28" l="1"/>
  <c r="AV107" i="28" s="1"/>
  <c r="AZ265" i="28"/>
  <c r="AS196" i="28"/>
  <c r="AR106" i="28"/>
  <c r="AZ230" i="28"/>
  <c r="AX211" i="28"/>
  <c r="AX212" i="28" s="1"/>
  <c r="AX221" i="28"/>
  <c r="AX222" i="28" s="1"/>
  <c r="AX201" i="28"/>
  <c r="AX261" i="28"/>
  <c r="AX231" i="28"/>
  <c r="AX232" i="28" s="1"/>
  <c r="AX271" i="28"/>
  <c r="AX272" i="28" s="1"/>
  <c r="AX241" i="28"/>
  <c r="AX242" i="28" s="1"/>
  <c r="AX251" i="28"/>
  <c r="AX252" i="28" s="1"/>
  <c r="AX275" i="28"/>
  <c r="AX276" i="28" s="1"/>
  <c r="AZ236" i="28"/>
  <c r="AZ226" i="28"/>
  <c r="AZ239" i="28"/>
  <c r="AZ237" i="28"/>
  <c r="AZ240" i="28"/>
  <c r="AZ235" i="28"/>
  <c r="AZ238" i="28"/>
  <c r="AZ270" i="28"/>
  <c r="AZ229" i="28"/>
  <c r="AZ269" i="28"/>
  <c r="AZ258" i="28"/>
  <c r="AZ259" i="28"/>
  <c r="AZ256" i="28"/>
  <c r="AZ206" i="28"/>
  <c r="AZ268" i="28"/>
  <c r="AZ207" i="28"/>
  <c r="AZ209" i="28"/>
  <c r="AZ217" i="28"/>
  <c r="AZ218" i="28"/>
  <c r="AZ219" i="28"/>
  <c r="AZ216" i="28"/>
  <c r="AZ215" i="28"/>
  <c r="AZ220" i="28"/>
  <c r="AZ266" i="28"/>
  <c r="AZ208" i="28"/>
  <c r="AZ205" i="28"/>
  <c r="AZ210" i="28"/>
  <c r="AZ257" i="28"/>
  <c r="BA227" i="28"/>
  <c r="AZ260" i="28"/>
  <c r="AZ267" i="28"/>
  <c r="AZ228" i="28"/>
  <c r="BA10" i="28"/>
  <c r="BA9" i="28"/>
  <c r="AQ50" i="29"/>
  <c r="AV54" i="28" s="1"/>
  <c r="AV51" i="28"/>
  <c r="AQ87" i="29"/>
  <c r="AS117" i="29"/>
  <c r="AS119" i="29" s="1"/>
  <c r="AR47" i="29"/>
  <c r="AC173" i="28"/>
  <c r="AC156" i="28" s="1"/>
  <c r="AC102" i="28" s="1"/>
  <c r="AG129" i="28"/>
  <c r="AF171" i="28"/>
  <c r="BA17" i="28"/>
  <c r="BA20" i="28"/>
  <c r="BB225" i="28" s="1"/>
  <c r="BA29" i="28"/>
  <c r="BA23" i="28"/>
  <c r="BA32" i="28"/>
  <c r="AL128" i="29"/>
  <c r="AL129" i="29" s="1"/>
  <c r="AL130" i="29" s="1"/>
  <c r="AZ35" i="28"/>
  <c r="AS195" i="28"/>
  <c r="AR202" i="28"/>
  <c r="AR277" i="28" s="1"/>
  <c r="AZ198" i="28"/>
  <c r="AZ197" i="28"/>
  <c r="AT6" i="28"/>
  <c r="AT5" i="28"/>
  <c r="AT4" i="28"/>
  <c r="AU2" i="28"/>
  <c r="AU3" i="28" s="1"/>
  <c r="AZ128" i="28"/>
  <c r="AZ133" i="28"/>
  <c r="AZ119" i="28"/>
  <c r="AZ200" i="28"/>
  <c r="AZ199" i="28"/>
  <c r="BA160" i="28"/>
  <c r="BB8" i="28"/>
  <c r="BA11" i="28"/>
  <c r="BA186" i="28"/>
  <c r="BA184" i="28" s="1"/>
  <c r="BA14" i="28"/>
  <c r="AX163" i="28"/>
  <c r="AY7" i="28"/>
  <c r="AZ185" i="28"/>
  <c r="AS123" i="29"/>
  <c r="AS127" i="29" s="1"/>
  <c r="BA265" i="28" l="1"/>
  <c r="AV262" i="28"/>
  <c r="AW255" i="28"/>
  <c r="AW262" i="28" s="1"/>
  <c r="AT196" i="28"/>
  <c r="AX107" i="28"/>
  <c r="AW107" i="28"/>
  <c r="AS106" i="28"/>
  <c r="AY107" i="28"/>
  <c r="AZ107" i="28"/>
  <c r="BA205" i="28"/>
  <c r="BA257" i="28"/>
  <c r="BA229" i="28"/>
  <c r="BB227" i="28"/>
  <c r="AY275" i="28"/>
  <c r="AY276" i="28" s="1"/>
  <c r="AY271" i="28"/>
  <c r="AY272" i="28" s="1"/>
  <c r="AY211" i="28"/>
  <c r="AY212" i="28" s="1"/>
  <c r="AY221" i="28"/>
  <c r="AY222" i="28" s="1"/>
  <c r="AY201" i="28"/>
  <c r="AY261" i="28"/>
  <c r="AY231" i="28"/>
  <c r="AY232" i="28" s="1"/>
  <c r="AY241" i="28"/>
  <c r="AY242" i="28" s="1"/>
  <c r="AY251" i="28"/>
  <c r="AY252" i="28" s="1"/>
  <c r="BA270" i="28"/>
  <c r="BA209" i="28"/>
  <c r="BA207" i="28"/>
  <c r="BA210" i="28"/>
  <c r="BA269" i="28"/>
  <c r="BA268" i="28"/>
  <c r="BA208" i="28"/>
  <c r="BA206" i="28"/>
  <c r="BA237" i="28"/>
  <c r="BA239" i="28"/>
  <c r="BA235" i="28"/>
  <c r="BA238" i="28"/>
  <c r="BA240" i="28"/>
  <c r="BA228" i="28"/>
  <c r="BA266" i="28"/>
  <c r="BA256" i="28"/>
  <c r="BA260" i="28"/>
  <c r="BA267" i="28"/>
  <c r="BA259" i="28"/>
  <c r="BA219" i="28"/>
  <c r="BA215" i="28"/>
  <c r="BA216" i="28"/>
  <c r="BA217" i="28"/>
  <c r="BA218" i="28"/>
  <c r="BA220" i="28"/>
  <c r="BA230" i="28"/>
  <c r="BA258" i="28"/>
  <c r="BA226" i="28"/>
  <c r="BA236" i="28"/>
  <c r="BB10" i="28"/>
  <c r="BB9" i="28"/>
  <c r="AQ189" i="28"/>
  <c r="AL39" i="29"/>
  <c r="AR87" i="29"/>
  <c r="AR50" i="29"/>
  <c r="AW54" i="28" s="1"/>
  <c r="AW51" i="28"/>
  <c r="AT117" i="29"/>
  <c r="AT119" i="29" s="1"/>
  <c r="AS47" i="29"/>
  <c r="AE172" i="28"/>
  <c r="AE156" i="28" s="1"/>
  <c r="AE102" i="28" s="1"/>
  <c r="AH129" i="28"/>
  <c r="AG171" i="28"/>
  <c r="BB17" i="28"/>
  <c r="BB20" i="28"/>
  <c r="BC225" i="28" s="1"/>
  <c r="BB29" i="28"/>
  <c r="BB23" i="28"/>
  <c r="BB32" i="28"/>
  <c r="BB265" i="28" s="1"/>
  <c r="AM128" i="29"/>
  <c r="AM129" i="29" s="1"/>
  <c r="BA35" i="28"/>
  <c r="AS202" i="28"/>
  <c r="AS277" i="28" s="1"/>
  <c r="AT195" i="28"/>
  <c r="BA198" i="28"/>
  <c r="BA197" i="28"/>
  <c r="AY163" i="28"/>
  <c r="AZ7" i="28"/>
  <c r="AY161" i="28"/>
  <c r="AY162" i="28" s="1"/>
  <c r="BB160" i="28"/>
  <c r="BB11" i="28"/>
  <c r="BC8" i="28"/>
  <c r="BB186" i="28"/>
  <c r="BB184" i="28" s="1"/>
  <c r="BB14" i="28"/>
  <c r="BA199" i="28"/>
  <c r="BA200" i="28"/>
  <c r="AV2" i="28"/>
  <c r="AV3" i="28" s="1"/>
  <c r="AU6" i="28"/>
  <c r="AU5" i="28"/>
  <c r="AU4" i="28"/>
  <c r="BA128" i="28"/>
  <c r="BA133" i="28"/>
  <c r="BA119" i="28"/>
  <c r="BA185" i="28"/>
  <c r="AT123" i="29"/>
  <c r="AT127" i="29" s="1"/>
  <c r="AX255" i="28" l="1"/>
  <c r="AY255" i="28" s="1"/>
  <c r="AY262" i="28" s="1"/>
  <c r="BB205" i="28"/>
  <c r="AU196" i="28"/>
  <c r="BA107" i="28"/>
  <c r="AT106" i="28"/>
  <c r="AZ275" i="28"/>
  <c r="AZ276" i="28" s="1"/>
  <c r="AZ271" i="28"/>
  <c r="AZ272" i="28" s="1"/>
  <c r="AZ211" i="28"/>
  <c r="AZ212" i="28" s="1"/>
  <c r="AZ251" i="28"/>
  <c r="AZ252" i="28" s="1"/>
  <c r="AZ221" i="28"/>
  <c r="AZ222" i="28" s="1"/>
  <c r="AZ201" i="28"/>
  <c r="AZ261" i="28"/>
  <c r="AZ231" i="28"/>
  <c r="AZ232" i="28" s="1"/>
  <c r="AZ241" i="28"/>
  <c r="AZ242" i="28" s="1"/>
  <c r="BB267" i="28"/>
  <c r="BB230" i="28"/>
  <c r="BB260" i="28"/>
  <c r="BB209" i="28"/>
  <c r="BB236" i="28"/>
  <c r="BB269" i="28"/>
  <c r="BB258" i="28"/>
  <c r="BC227" i="28"/>
  <c r="BB206" i="28"/>
  <c r="BB107" i="28" s="1"/>
  <c r="BB256" i="28"/>
  <c r="BB208" i="28"/>
  <c r="BB220" i="28"/>
  <c r="BB215" i="28"/>
  <c r="BB218" i="28"/>
  <c r="BB216" i="28"/>
  <c r="BB217" i="28"/>
  <c r="BB219" i="28"/>
  <c r="BB266" i="28"/>
  <c r="BB259" i="28"/>
  <c r="BB207" i="28"/>
  <c r="BB210" i="28"/>
  <c r="BB228" i="28"/>
  <c r="BB257" i="28"/>
  <c r="BB238" i="28"/>
  <c r="BB240" i="28"/>
  <c r="BB237" i="28"/>
  <c r="BB235" i="28"/>
  <c r="BB239" i="28"/>
  <c r="BB270" i="28"/>
  <c r="BB268" i="28"/>
  <c r="BB226" i="28"/>
  <c r="BB229" i="28"/>
  <c r="BC9" i="28"/>
  <c r="AS50" i="29"/>
  <c r="AX54" i="28" s="1"/>
  <c r="AS87" i="29"/>
  <c r="AX51" i="28"/>
  <c r="AU117" i="29"/>
  <c r="AU119" i="29" s="1"/>
  <c r="AT47" i="29"/>
  <c r="BC10" i="28"/>
  <c r="AI129" i="28"/>
  <c r="AH171" i="28"/>
  <c r="AG172" i="28" s="1"/>
  <c r="AG156" i="28" s="1"/>
  <c r="AG102" i="28" s="1"/>
  <c r="BC17" i="28"/>
  <c r="BC20" i="28"/>
  <c r="BC29" i="28"/>
  <c r="BC23" i="28"/>
  <c r="BC32" i="28"/>
  <c r="BC265" i="28" s="1"/>
  <c r="AR189" i="28"/>
  <c r="AM39" i="29"/>
  <c r="AM130" i="29"/>
  <c r="BB35" i="28"/>
  <c r="AU195" i="28"/>
  <c r="AT202" i="28"/>
  <c r="AT277" i="28" s="1"/>
  <c r="AW2" i="28"/>
  <c r="AW3" i="28" s="1"/>
  <c r="AV6" i="28"/>
  <c r="AV5" i="28"/>
  <c r="AV4" i="28"/>
  <c r="BB119" i="28"/>
  <c r="BB200" i="28"/>
  <c r="BB197" i="28"/>
  <c r="BB199" i="28"/>
  <c r="BB133" i="28"/>
  <c r="BB128" i="28"/>
  <c r="BC160" i="28"/>
  <c r="BC11" i="28"/>
  <c r="BD8" i="28"/>
  <c r="BC186" i="28"/>
  <c r="BC184" i="28" s="1"/>
  <c r="BC14" i="28"/>
  <c r="AZ163" i="28"/>
  <c r="BA7" i="28"/>
  <c r="AZ161" i="28"/>
  <c r="AZ162" i="28" s="1"/>
  <c r="BB198" i="28"/>
  <c r="AU123" i="29"/>
  <c r="AU127" i="29" s="1"/>
  <c r="BB185" i="28"/>
  <c r="AX262" i="28" l="1"/>
  <c r="AZ255" i="28"/>
  <c r="BA255" i="28" s="1"/>
  <c r="BC205" i="28"/>
  <c r="AV196" i="28"/>
  <c r="AU106" i="28"/>
  <c r="BC258" i="28"/>
  <c r="BA261" i="28"/>
  <c r="BA241" i="28"/>
  <c r="BA242" i="28" s="1"/>
  <c r="BA251" i="28"/>
  <c r="BA252" i="28" s="1"/>
  <c r="BA275" i="28"/>
  <c r="BA276" i="28" s="1"/>
  <c r="BA271" i="28"/>
  <c r="BA272" i="28" s="1"/>
  <c r="BA211" i="28"/>
  <c r="BA212" i="28" s="1"/>
  <c r="BA221" i="28"/>
  <c r="BA222" i="28" s="1"/>
  <c r="BA201" i="28"/>
  <c r="BA231" i="28"/>
  <c r="BA232" i="28" s="1"/>
  <c r="BC269" i="28"/>
  <c r="BC237" i="28"/>
  <c r="BC236" i="28"/>
  <c r="BC209" i="28"/>
  <c r="BC257" i="28"/>
  <c r="BC260" i="28"/>
  <c r="BD225" i="28"/>
  <c r="BC229" i="28"/>
  <c r="BC228" i="28"/>
  <c r="BC219" i="28"/>
  <c r="BC216" i="28"/>
  <c r="BC218" i="28"/>
  <c r="BC217" i="28"/>
  <c r="BC220" i="28"/>
  <c r="BC215" i="28"/>
  <c r="BC226" i="28"/>
  <c r="BC210" i="28"/>
  <c r="BC208" i="28"/>
  <c r="BC207" i="28"/>
  <c r="BC256" i="28"/>
  <c r="BC267" i="28"/>
  <c r="BC268" i="28"/>
  <c r="BC206" i="28"/>
  <c r="BC107" i="28" s="1"/>
  <c r="BC270" i="28"/>
  <c r="BC259" i="28"/>
  <c r="BD227" i="28"/>
  <c r="BC235" i="28"/>
  <c r="BC240" i="28"/>
  <c r="BC238" i="28"/>
  <c r="BC239" i="28"/>
  <c r="BC266" i="28"/>
  <c r="BC230" i="28"/>
  <c r="BD9" i="28"/>
  <c r="AT50" i="29"/>
  <c r="AY54" i="28" s="1"/>
  <c r="AY51" i="28"/>
  <c r="AT87" i="29"/>
  <c r="AV117" i="29"/>
  <c r="AV119" i="29" s="1"/>
  <c r="AU47" i="29"/>
  <c r="BD10" i="28"/>
  <c r="AH174" i="28"/>
  <c r="AJ129" i="28"/>
  <c r="AI171" i="28"/>
  <c r="AF173" i="28"/>
  <c r="AF156" i="28" s="1"/>
  <c r="AF102" i="28" s="1"/>
  <c r="BD17" i="28"/>
  <c r="BD20" i="28"/>
  <c r="BD29" i="28"/>
  <c r="BD23" i="28"/>
  <c r="BD32" i="28"/>
  <c r="BD265" i="28" s="1"/>
  <c r="AN128" i="29"/>
  <c r="AN129" i="29" s="1"/>
  <c r="AV195" i="28"/>
  <c r="AU202" i="28"/>
  <c r="AU277" i="28" s="1"/>
  <c r="BC198" i="28"/>
  <c r="BC199" i="28"/>
  <c r="BD11" i="28"/>
  <c r="BD160" i="28"/>
  <c r="BE8" i="28"/>
  <c r="BD186" i="28"/>
  <c r="BD184" i="28" s="1"/>
  <c r="BD14" i="28"/>
  <c r="BC119" i="28"/>
  <c r="BC200" i="28"/>
  <c r="BC197" i="28"/>
  <c r="BA163" i="28"/>
  <c r="BB7" i="28"/>
  <c r="AX2" i="28"/>
  <c r="AX3" i="28" s="1"/>
  <c r="AW6" i="28"/>
  <c r="AW5" i="28"/>
  <c r="AW4" i="28"/>
  <c r="BC133" i="28"/>
  <c r="BC128" i="28"/>
  <c r="BC185" i="28"/>
  <c r="AV123" i="29"/>
  <c r="AV127" i="29" s="1"/>
  <c r="BA262" i="28" l="1"/>
  <c r="BD205" i="28"/>
  <c r="BB255" i="28"/>
  <c r="BC255" i="28" s="1"/>
  <c r="BD255" i="28" s="1"/>
  <c r="AZ262" i="28"/>
  <c r="AW196" i="28"/>
  <c r="AV106" i="28"/>
  <c r="BE227" i="28"/>
  <c r="BD229" i="28"/>
  <c r="BB231" i="28"/>
  <c r="BB232" i="28" s="1"/>
  <c r="BB261" i="28"/>
  <c r="BB275" i="28"/>
  <c r="BB276" i="28" s="1"/>
  <c r="BB271" i="28"/>
  <c r="BB272" i="28" s="1"/>
  <c r="BB211" i="28"/>
  <c r="BB212" i="28" s="1"/>
  <c r="BB251" i="28"/>
  <c r="BB252" i="28" s="1"/>
  <c r="BB241" i="28"/>
  <c r="BB242" i="28" s="1"/>
  <c r="BB221" i="28"/>
  <c r="BB222" i="28" s="1"/>
  <c r="BB201" i="28"/>
  <c r="BD208" i="28"/>
  <c r="BE225" i="28"/>
  <c r="BD259" i="28"/>
  <c r="BD210" i="28"/>
  <c r="BD270" i="28"/>
  <c r="BD260" i="28"/>
  <c r="BD226" i="28"/>
  <c r="BD206" i="28"/>
  <c r="BD107" i="28" s="1"/>
  <c r="BD257" i="28"/>
  <c r="BD230" i="28"/>
  <c r="BD268" i="28"/>
  <c r="BD209" i="28"/>
  <c r="BD266" i="28"/>
  <c r="BD236" i="28"/>
  <c r="BD216" i="28"/>
  <c r="BD219" i="28"/>
  <c r="BD215" i="28"/>
  <c r="BD217" i="28"/>
  <c r="BD220" i="28"/>
  <c r="BD218" i="28"/>
  <c r="BD267" i="28"/>
  <c r="BD258" i="28"/>
  <c r="BD256" i="28"/>
  <c r="BD239" i="28"/>
  <c r="BD235" i="28"/>
  <c r="BD240" i="28"/>
  <c r="BD238" i="28"/>
  <c r="BD237" i="28"/>
  <c r="BD207" i="28"/>
  <c r="BD228" i="28"/>
  <c r="BD269" i="28"/>
  <c r="BE9" i="28"/>
  <c r="AS189" i="28"/>
  <c r="AN39" i="29"/>
  <c r="AN130" i="29"/>
  <c r="AO128" i="29" s="1"/>
  <c r="AO129" i="29" s="1"/>
  <c r="AU87" i="29"/>
  <c r="AU50" i="29"/>
  <c r="AZ54" i="28" s="1"/>
  <c r="AZ51" i="28"/>
  <c r="AW117" i="29"/>
  <c r="AW119" i="29" s="1"/>
  <c r="AV47" i="29"/>
  <c r="BE10" i="28"/>
  <c r="AK129" i="28"/>
  <c r="AJ171" i="28"/>
  <c r="AI172" i="28" s="1"/>
  <c r="AW195" i="28"/>
  <c r="BE17" i="28"/>
  <c r="BE20" i="28"/>
  <c r="BE29" i="28"/>
  <c r="BE23" i="28"/>
  <c r="BE32" i="28"/>
  <c r="BE265" i="28" s="1"/>
  <c r="AV202" i="28"/>
  <c r="AV277" i="28" s="1"/>
  <c r="BF8" i="28"/>
  <c r="BD128" i="28"/>
  <c r="BD133" i="28"/>
  <c r="BD119" i="28"/>
  <c r="BD200" i="28"/>
  <c r="BE160" i="28"/>
  <c r="BE11" i="28"/>
  <c r="BE186" i="28"/>
  <c r="BE184" i="28" s="1"/>
  <c r="BE14" i="28"/>
  <c r="BD197" i="28"/>
  <c r="BB163" i="28"/>
  <c r="BC7" i="28"/>
  <c r="BB161" i="28"/>
  <c r="BB162" i="28" s="1"/>
  <c r="BD198" i="28"/>
  <c r="AX6" i="28"/>
  <c r="AX5" i="28"/>
  <c r="AX4" i="28"/>
  <c r="AY2" i="28"/>
  <c r="AY3" i="28" s="1"/>
  <c r="BD199" i="28"/>
  <c r="BD185" i="28"/>
  <c r="AW123" i="29"/>
  <c r="AW127" i="29" s="1"/>
  <c r="BE205" i="28" l="1"/>
  <c r="BB262" i="28"/>
  <c r="BE255" i="28"/>
  <c r="AX196" i="28"/>
  <c r="AW106" i="28"/>
  <c r="BC251" i="28"/>
  <c r="BC252" i="28" s="1"/>
  <c r="BC261" i="28"/>
  <c r="BC262" i="28" s="1"/>
  <c r="BC275" i="28"/>
  <c r="BC276" i="28" s="1"/>
  <c r="BC271" i="28"/>
  <c r="BC272" i="28" s="1"/>
  <c r="BC211" i="28"/>
  <c r="BC212" i="28" s="1"/>
  <c r="BC231" i="28"/>
  <c r="BC232" i="28" s="1"/>
  <c r="BC241" i="28"/>
  <c r="BC242" i="28" s="1"/>
  <c r="BC221" i="28"/>
  <c r="BC222" i="28" s="1"/>
  <c r="BC201" i="28"/>
  <c r="BF225" i="28"/>
  <c r="BE269" i="28"/>
  <c r="BE206" i="28"/>
  <c r="BE107" i="28" s="1"/>
  <c r="BE236" i="28"/>
  <c r="BE208" i="28"/>
  <c r="BE266" i="28"/>
  <c r="BE267" i="28"/>
  <c r="BE256" i="28"/>
  <c r="BE226" i="28"/>
  <c r="BE229" i="28"/>
  <c r="BE258" i="28"/>
  <c r="BE209" i="28"/>
  <c r="BE260" i="28"/>
  <c r="BE268" i="28"/>
  <c r="BE228" i="28"/>
  <c r="BE230" i="28"/>
  <c r="BE270" i="28"/>
  <c r="BE207" i="28"/>
  <c r="BF227" i="28"/>
  <c r="BE216" i="28"/>
  <c r="BE219" i="28"/>
  <c r="BE215" i="28"/>
  <c r="BE218" i="28"/>
  <c r="BE217" i="28"/>
  <c r="BE220" i="28"/>
  <c r="BE237" i="28"/>
  <c r="BE210" i="28"/>
  <c r="BE238" i="28"/>
  <c r="BE239" i="28"/>
  <c r="BE240" i="28"/>
  <c r="BE235" i="28"/>
  <c r="BE257" i="28"/>
  <c r="BE259" i="28"/>
  <c r="BF9" i="28"/>
  <c r="AW202" i="28"/>
  <c r="AW277" i="28" s="1"/>
  <c r="AO130" i="29"/>
  <c r="AV87" i="29"/>
  <c r="AV50" i="29"/>
  <c r="BA54" i="28" s="1"/>
  <c r="BA51" i="28"/>
  <c r="AX117" i="29"/>
  <c r="AX119" i="29" s="1"/>
  <c r="AW47" i="29"/>
  <c r="BF10" i="28"/>
  <c r="AX195" i="28"/>
  <c r="AL129" i="28"/>
  <c r="AK171" i="28"/>
  <c r="AK174" i="28" s="1"/>
  <c r="BF17" i="28"/>
  <c r="BF20" i="28"/>
  <c r="BF29" i="28"/>
  <c r="BF23" i="28"/>
  <c r="BF32" i="28"/>
  <c r="BF265" i="28" s="1"/>
  <c r="AO39" i="29"/>
  <c r="AT189" i="28"/>
  <c r="BG8" i="28"/>
  <c r="BF160" i="28"/>
  <c r="BF186" i="28"/>
  <c r="BF184" i="28" s="1"/>
  <c r="BF14" i="28"/>
  <c r="BE199" i="28"/>
  <c r="BE198" i="28"/>
  <c r="BE197" i="28"/>
  <c r="BC163" i="28"/>
  <c r="BD7" i="28"/>
  <c r="BC161" i="28"/>
  <c r="BC162" i="28" s="1"/>
  <c r="BE133" i="28"/>
  <c r="BE128" i="28"/>
  <c r="AZ2" i="28"/>
  <c r="AZ3" i="28" s="1"/>
  <c r="AY6" i="28"/>
  <c r="AY5" i="28"/>
  <c r="AY4" i="28"/>
  <c r="BE119" i="28"/>
  <c r="BE200" i="28"/>
  <c r="AX123" i="29"/>
  <c r="AX127" i="29" s="1"/>
  <c r="BE185" i="28"/>
  <c r="BF205" i="28" l="1"/>
  <c r="BF255" i="28"/>
  <c r="AY196" i="28"/>
  <c r="AX106" i="28"/>
  <c r="BG225" i="28"/>
  <c r="BD241" i="28"/>
  <c r="BD242" i="28" s="1"/>
  <c r="BD251" i="28"/>
  <c r="BD252" i="28" s="1"/>
  <c r="BD231" i="28"/>
  <c r="BD232" i="28" s="1"/>
  <c r="BD261" i="28"/>
  <c r="BD262" i="28" s="1"/>
  <c r="BD201" i="28"/>
  <c r="BD275" i="28"/>
  <c r="BD276" i="28" s="1"/>
  <c r="BD271" i="28"/>
  <c r="BD272" i="28" s="1"/>
  <c r="BD211" i="28"/>
  <c r="BD212" i="28" s="1"/>
  <c r="BD221" i="28"/>
  <c r="BD222" i="28" s="1"/>
  <c r="BF210" i="28"/>
  <c r="BG227" i="28"/>
  <c r="BF260" i="28"/>
  <c r="BF209" i="28"/>
  <c r="BF240" i="28"/>
  <c r="BF237" i="28"/>
  <c r="BF238" i="28"/>
  <c r="BF239" i="28"/>
  <c r="BF235" i="28"/>
  <c r="BF207" i="28"/>
  <c r="BF217" i="28"/>
  <c r="BF219" i="28"/>
  <c r="BF218" i="28"/>
  <c r="BF220" i="28"/>
  <c r="BF215" i="28"/>
  <c r="BF216" i="28"/>
  <c r="BF258" i="28"/>
  <c r="BF267" i="28"/>
  <c r="BF259" i="28"/>
  <c r="BF270" i="28"/>
  <c r="BF208" i="28"/>
  <c r="BF257" i="28"/>
  <c r="BF230" i="28"/>
  <c r="BF266" i="28"/>
  <c r="BF236" i="28"/>
  <c r="BF228" i="28"/>
  <c r="BF229" i="28"/>
  <c r="BF206" i="28"/>
  <c r="BF107" i="28" s="1"/>
  <c r="BF268" i="28"/>
  <c r="BF226" i="28"/>
  <c r="BF269" i="28"/>
  <c r="BF256" i="28"/>
  <c r="BG9" i="28"/>
  <c r="AP128" i="29"/>
  <c r="AP129" i="29" s="1"/>
  <c r="AP130" i="29" s="1"/>
  <c r="AQ128" i="29" s="1"/>
  <c r="AQ129" i="29" s="1"/>
  <c r="AW50" i="29"/>
  <c r="BB54" i="28" s="1"/>
  <c r="AW87" i="29"/>
  <c r="BB51" i="28"/>
  <c r="AY117" i="29"/>
  <c r="AY119" i="29" s="1"/>
  <c r="AX47" i="29"/>
  <c r="BG10" i="28"/>
  <c r="BF119" i="28"/>
  <c r="BF197" i="28"/>
  <c r="BF199" i="28"/>
  <c r="BF200" i="28"/>
  <c r="AY195" i="28"/>
  <c r="AX202" i="28"/>
  <c r="AX277" i="28" s="1"/>
  <c r="AI173" i="28"/>
  <c r="AI156" i="28" s="1"/>
  <c r="AI102" i="28" s="1"/>
  <c r="AM129" i="28"/>
  <c r="AL171" i="28"/>
  <c r="BG17" i="28"/>
  <c r="BG20" i="28"/>
  <c r="BH225" i="28" s="1"/>
  <c r="BG29" i="28"/>
  <c r="BG255" i="28" s="1"/>
  <c r="BG23" i="28"/>
  <c r="BG32" i="28"/>
  <c r="BG265" i="28" s="1"/>
  <c r="BF185" i="28"/>
  <c r="BF187" i="28" s="1"/>
  <c r="BF133" i="28"/>
  <c r="BF128" i="28"/>
  <c r="BH8" i="28"/>
  <c r="BG160" i="28"/>
  <c r="BG186" i="28"/>
  <c r="BG184" i="28" s="1"/>
  <c r="BG14" i="28"/>
  <c r="BF198" i="28"/>
  <c r="BD163" i="28"/>
  <c r="BE7" i="28"/>
  <c r="BA2" i="28"/>
  <c r="BA3" i="28" s="1"/>
  <c r="AZ6" i="28"/>
  <c r="AZ5" i="28"/>
  <c r="AZ4" i="28"/>
  <c r="AY123" i="29"/>
  <c r="AY127" i="29" s="1"/>
  <c r="BG205" i="28" l="1"/>
  <c r="AZ196" i="28"/>
  <c r="AY106" i="28"/>
  <c r="BF7" i="28"/>
  <c r="BE231" i="28"/>
  <c r="BE232" i="28" s="1"/>
  <c r="BE221" i="28"/>
  <c r="BE222" i="28" s="1"/>
  <c r="BE201" i="28"/>
  <c r="BE241" i="28"/>
  <c r="BE242" i="28" s="1"/>
  <c r="BE251" i="28"/>
  <c r="BE252" i="28" s="1"/>
  <c r="BE261" i="28"/>
  <c r="BE262" i="28" s="1"/>
  <c r="BE275" i="28"/>
  <c r="BE276" i="28" s="1"/>
  <c r="BE271" i="28"/>
  <c r="BE272" i="28" s="1"/>
  <c r="BE211" i="28"/>
  <c r="BE212" i="28" s="1"/>
  <c r="BG268" i="28"/>
  <c r="BG257" i="28"/>
  <c r="BG215" i="28"/>
  <c r="BG219" i="28"/>
  <c r="BG217" i="28"/>
  <c r="BG220" i="28"/>
  <c r="BG218" i="28"/>
  <c r="BG216" i="28"/>
  <c r="BG210" i="28"/>
  <c r="BH227" i="28"/>
  <c r="BG208" i="28"/>
  <c r="BG206" i="28"/>
  <c r="BG107" i="28" s="1"/>
  <c r="BG270" i="28"/>
  <c r="BG259" i="28"/>
  <c r="BG207" i="28"/>
  <c r="BG260" i="28"/>
  <c r="BG267" i="28"/>
  <c r="BG230" i="28"/>
  <c r="BG229" i="28"/>
  <c r="BG258" i="28"/>
  <c r="BG256" i="28"/>
  <c r="BG228" i="28"/>
  <c r="BG209" i="28"/>
  <c r="BG269" i="28"/>
  <c r="BG226" i="28"/>
  <c r="BG239" i="28"/>
  <c r="BG237" i="28"/>
  <c r="BG238" i="28"/>
  <c r="BG236" i="28"/>
  <c r="BG235" i="28"/>
  <c r="BG240" i="28"/>
  <c r="BG266" i="28"/>
  <c r="BH9" i="28"/>
  <c r="BG200" i="28"/>
  <c r="AP39" i="29"/>
  <c r="AU189" i="28"/>
  <c r="AQ130" i="29"/>
  <c r="BG199" i="28"/>
  <c r="AX87" i="29"/>
  <c r="AX50" i="29"/>
  <c r="BC54" i="28" s="1"/>
  <c r="BC51" i="28"/>
  <c r="AZ117" i="29"/>
  <c r="AZ119" i="29" s="1"/>
  <c r="AY47" i="29"/>
  <c r="BG197" i="28"/>
  <c r="BH10" i="28"/>
  <c r="BG119" i="28"/>
  <c r="AZ195" i="28"/>
  <c r="AY202" i="28"/>
  <c r="AY277" i="28" s="1"/>
  <c r="AK172" i="28"/>
  <c r="AK156" i="28" s="1"/>
  <c r="AK102" i="28" s="1"/>
  <c r="AN129" i="28"/>
  <c r="AM171" i="28"/>
  <c r="BH17" i="28"/>
  <c r="BH20" i="28"/>
  <c r="BI225" i="28" s="1"/>
  <c r="BH23" i="28"/>
  <c r="BH29" i="28"/>
  <c r="BH255" i="28" s="1"/>
  <c r="BH32" i="28"/>
  <c r="BH265" i="28" s="1"/>
  <c r="AV189" i="28"/>
  <c r="AQ39" i="29"/>
  <c r="BG185" i="28"/>
  <c r="BG187" i="28" s="1"/>
  <c r="BG133" i="28"/>
  <c r="BG128" i="28"/>
  <c r="BG7" i="28"/>
  <c r="BF163" i="28"/>
  <c r="BI8" i="28"/>
  <c r="BH186" i="28"/>
  <c r="BH184" i="28" s="1"/>
  <c r="BH160" i="28"/>
  <c r="BH14" i="28"/>
  <c r="BG198" i="28"/>
  <c r="BB2" i="28"/>
  <c r="BB3" i="28" s="1"/>
  <c r="BA6" i="28"/>
  <c r="BA5" i="28"/>
  <c r="BA4" i="28"/>
  <c r="BE163" i="28"/>
  <c r="BE161" i="28"/>
  <c r="BE162" i="28" s="1"/>
  <c r="AZ123" i="29"/>
  <c r="AZ127" i="29" s="1"/>
  <c r="BH205" i="28" l="1"/>
  <c r="BA196" i="28"/>
  <c r="AZ106" i="28"/>
  <c r="BH208" i="28"/>
  <c r="BG201" i="28"/>
  <c r="BG231" i="28"/>
  <c r="BG232" i="28" s="1"/>
  <c r="BG241" i="28"/>
  <c r="BG242" i="28" s="1"/>
  <c r="BG251" i="28"/>
  <c r="BG252" i="28" s="1"/>
  <c r="BG261" i="28"/>
  <c r="BG262" i="28" s="1"/>
  <c r="BG221" i="28"/>
  <c r="BG222" i="28" s="1"/>
  <c r="BG275" i="28"/>
  <c r="BG276" i="28" s="1"/>
  <c r="BG271" i="28"/>
  <c r="BG272" i="28" s="1"/>
  <c r="BG211" i="28"/>
  <c r="BG212" i="28" s="1"/>
  <c r="BF161" i="28"/>
  <c r="BF162" i="28" s="1"/>
  <c r="BF231" i="28"/>
  <c r="BF232" i="28" s="1"/>
  <c r="BF241" i="28"/>
  <c r="BF242" i="28" s="1"/>
  <c r="BF251" i="28"/>
  <c r="BF252" i="28" s="1"/>
  <c r="BF221" i="28"/>
  <c r="BF222" i="28" s="1"/>
  <c r="BF201" i="28"/>
  <c r="BF261" i="28"/>
  <c r="BF262" i="28" s="1"/>
  <c r="BF275" i="28"/>
  <c r="BF276" i="28" s="1"/>
  <c r="BF271" i="28"/>
  <c r="BF272" i="28" s="1"/>
  <c r="BF211" i="28"/>
  <c r="BF212" i="28" s="1"/>
  <c r="BI227" i="28"/>
  <c r="BH229" i="28"/>
  <c r="BH258" i="28"/>
  <c r="BH230" i="28"/>
  <c r="BH256" i="28"/>
  <c r="BH210" i="28"/>
  <c r="BH226" i="28"/>
  <c r="BH267" i="28"/>
  <c r="BH260" i="28"/>
  <c r="BH266" i="28"/>
  <c r="BH207" i="28"/>
  <c r="BH269" i="28"/>
  <c r="BH259" i="28"/>
  <c r="BH240" i="28"/>
  <c r="BH239" i="28"/>
  <c r="BH237" i="28"/>
  <c r="BH235" i="28"/>
  <c r="BH238" i="28"/>
  <c r="BH209" i="28"/>
  <c r="BH270" i="28"/>
  <c r="BH257" i="28"/>
  <c r="BH215" i="28"/>
  <c r="BH217" i="28"/>
  <c r="BH219" i="28"/>
  <c r="BH218" i="28"/>
  <c r="BH216" i="28"/>
  <c r="BH220" i="28"/>
  <c r="BH236" i="28"/>
  <c r="BH228" i="28"/>
  <c r="BH206" i="28"/>
  <c r="BH107" i="28" s="1"/>
  <c r="BH268" i="28"/>
  <c r="BI9" i="28"/>
  <c r="BH199" i="28"/>
  <c r="AR128" i="29"/>
  <c r="AR129" i="29" s="1"/>
  <c r="AR130" i="29" s="1"/>
  <c r="AS128" i="29" s="1"/>
  <c r="AS129" i="29" s="1"/>
  <c r="BD51" i="28"/>
  <c r="AY87" i="29"/>
  <c r="AY50" i="29"/>
  <c r="BD54" i="28" s="1"/>
  <c r="BA117" i="29"/>
  <c r="BA119" i="29" s="1"/>
  <c r="AZ47" i="29"/>
  <c r="BH200" i="28"/>
  <c r="BH197" i="28"/>
  <c r="BH119" i="28"/>
  <c r="BI10" i="28"/>
  <c r="AZ202" i="28"/>
  <c r="AZ277" i="28" s="1"/>
  <c r="BA195" i="28"/>
  <c r="AO129" i="28"/>
  <c r="AN171" i="28"/>
  <c r="AN174" i="28" s="1"/>
  <c r="BI17" i="28"/>
  <c r="BI20" i="28"/>
  <c r="BJ225" i="28" s="1"/>
  <c r="BI23" i="28"/>
  <c r="BI29" i="28"/>
  <c r="BI255" i="28" s="1"/>
  <c r="BI32" i="28"/>
  <c r="BI265" i="28" s="1"/>
  <c r="BH185" i="28"/>
  <c r="BH187" i="28" s="1"/>
  <c r="BJ8" i="28"/>
  <c r="BI186" i="28"/>
  <c r="BI184" i="28" s="1"/>
  <c r="BI160" i="28"/>
  <c r="BI14" i="28"/>
  <c r="BH7" i="28"/>
  <c r="BG163" i="28"/>
  <c r="BH133" i="28"/>
  <c r="BH128" i="28"/>
  <c r="BH198" i="28"/>
  <c r="BA123" i="29"/>
  <c r="BA127" i="29" s="1"/>
  <c r="BB6" i="28"/>
  <c r="BB5" i="28"/>
  <c r="BB4" i="28"/>
  <c r="BC2" i="28"/>
  <c r="BC3" i="28" s="1"/>
  <c r="BI205" i="28" l="1"/>
  <c r="BB196" i="28"/>
  <c r="BC196" i="28" s="1"/>
  <c r="BD196" i="28" s="1"/>
  <c r="BA106" i="28"/>
  <c r="AL173" i="28"/>
  <c r="AL156" i="28" s="1"/>
  <c r="AL102" i="28" s="1"/>
  <c r="BH221" i="28"/>
  <c r="BH222" i="28" s="1"/>
  <c r="BH275" i="28"/>
  <c r="BH276" i="28" s="1"/>
  <c r="BH211" i="28"/>
  <c r="BH212" i="28" s="1"/>
  <c r="BH201" i="28"/>
  <c r="BH231" i="28"/>
  <c r="BH232" i="28" s="1"/>
  <c r="BH271" i="28"/>
  <c r="BH272" i="28" s="1"/>
  <c r="BH241" i="28"/>
  <c r="BH242" i="28" s="1"/>
  <c r="BH251" i="28"/>
  <c r="BH252" i="28" s="1"/>
  <c r="BH261" i="28"/>
  <c r="BH262" i="28" s="1"/>
  <c r="BI260" i="28"/>
  <c r="BI267" i="28"/>
  <c r="BI256" i="28"/>
  <c r="BI259" i="28"/>
  <c r="BI257" i="28"/>
  <c r="BI270" i="28"/>
  <c r="BI268" i="28"/>
  <c r="BI226" i="28"/>
  <c r="BI209" i="28"/>
  <c r="BI210" i="28"/>
  <c r="BI206" i="28"/>
  <c r="BI107" i="28" s="1"/>
  <c r="BI269" i="28"/>
  <c r="BI230" i="28"/>
  <c r="BI215" i="28"/>
  <c r="BI218" i="28"/>
  <c r="BI219" i="28"/>
  <c r="BI220" i="28"/>
  <c r="BI217" i="28"/>
  <c r="BI216" i="28"/>
  <c r="BI228" i="28"/>
  <c r="BI236" i="28"/>
  <c r="BI208" i="28"/>
  <c r="BI207" i="28"/>
  <c r="BI229" i="28"/>
  <c r="BJ227" i="28"/>
  <c r="BI238" i="28"/>
  <c r="BI239" i="28"/>
  <c r="BI235" i="28"/>
  <c r="BI237" i="28"/>
  <c r="BI240" i="28"/>
  <c r="BI266" i="28"/>
  <c r="BI258" i="28"/>
  <c r="BJ9" i="28"/>
  <c r="BI197" i="28"/>
  <c r="AW189" i="28"/>
  <c r="AR39" i="29"/>
  <c r="AZ87" i="29"/>
  <c r="AZ50" i="29"/>
  <c r="BE54" i="28" s="1"/>
  <c r="BE51" i="28"/>
  <c r="BB117" i="29"/>
  <c r="BB119" i="29" s="1"/>
  <c r="BA47" i="29"/>
  <c r="BI198" i="28"/>
  <c r="BI119" i="28"/>
  <c r="BI199" i="28"/>
  <c r="BJ10" i="28"/>
  <c r="BI200" i="28"/>
  <c r="BA202" i="28"/>
  <c r="BA277" i="28" s="1"/>
  <c r="BB195" i="28"/>
  <c r="AM172" i="28"/>
  <c r="AM156" i="28" s="1"/>
  <c r="AM102" i="28" s="1"/>
  <c r="AP129" i="28"/>
  <c r="AO171" i="28"/>
  <c r="BJ17" i="28"/>
  <c r="BJ20" i="28"/>
  <c r="BK225" i="28" s="1"/>
  <c r="BJ23" i="28"/>
  <c r="BJ29" i="28"/>
  <c r="BJ255" i="28" s="1"/>
  <c r="BJ32" i="28"/>
  <c r="BJ265" i="28" s="1"/>
  <c r="AX189" i="28"/>
  <c r="AS39" i="29"/>
  <c r="AS130" i="29"/>
  <c r="BI185" i="28"/>
  <c r="BI187" i="28" s="1"/>
  <c r="BI133" i="28"/>
  <c r="BI128" i="28"/>
  <c r="BK8" i="28"/>
  <c r="BJ160" i="28"/>
  <c r="BJ186" i="28"/>
  <c r="BJ184" i="28" s="1"/>
  <c r="BJ14" i="28"/>
  <c r="BJ205" i="28" s="1"/>
  <c r="BI7" i="28"/>
  <c r="BH163" i="28"/>
  <c r="BH161" i="28"/>
  <c r="BH162" i="28" s="1"/>
  <c r="BB123" i="29"/>
  <c r="BB127" i="29" s="1"/>
  <c r="BD2" i="28"/>
  <c r="BD3" i="28" s="1"/>
  <c r="BC6" i="28"/>
  <c r="BC5" i="28"/>
  <c r="BC4" i="28"/>
  <c r="BE196" i="28" l="1"/>
  <c r="BF196" i="28" s="1"/>
  <c r="BB106" i="28"/>
  <c r="BI221" i="28"/>
  <c r="BI222" i="28" s="1"/>
  <c r="BI275" i="28"/>
  <c r="BI276" i="28" s="1"/>
  <c r="BI271" i="28"/>
  <c r="BI272" i="28" s="1"/>
  <c r="BI201" i="28"/>
  <c r="BI231" i="28"/>
  <c r="BI232" i="28" s="1"/>
  <c r="BI241" i="28"/>
  <c r="BI242" i="28" s="1"/>
  <c r="BI211" i="28"/>
  <c r="BI212" i="28" s="1"/>
  <c r="BI251" i="28"/>
  <c r="BI252" i="28" s="1"/>
  <c r="BI261" i="28"/>
  <c r="BI262" i="28" s="1"/>
  <c r="BJ228" i="28"/>
  <c r="BK227" i="28"/>
  <c r="BJ229" i="28"/>
  <c r="BJ210" i="28"/>
  <c r="BJ259" i="28"/>
  <c r="BJ268" i="28"/>
  <c r="BJ209" i="28"/>
  <c r="BJ226" i="28"/>
  <c r="BJ256" i="28"/>
  <c r="BJ270" i="28"/>
  <c r="BJ207" i="28"/>
  <c r="BJ258" i="28"/>
  <c r="BJ208" i="28"/>
  <c r="BJ257" i="28"/>
  <c r="BJ266" i="28"/>
  <c r="BJ236" i="28"/>
  <c r="BJ230" i="28"/>
  <c r="BJ269" i="28"/>
  <c r="BJ267" i="28"/>
  <c r="BJ235" i="28"/>
  <c r="BJ238" i="28"/>
  <c r="BJ240" i="28"/>
  <c r="BJ239" i="28"/>
  <c r="BJ215" i="28"/>
  <c r="BJ217" i="28"/>
  <c r="BJ218" i="28"/>
  <c r="BJ220" i="28"/>
  <c r="BJ216" i="28"/>
  <c r="BJ219" i="28"/>
  <c r="BJ237" i="28"/>
  <c r="BJ206" i="28"/>
  <c r="BJ107" i="28" s="1"/>
  <c r="BJ260" i="28"/>
  <c r="BK9" i="28"/>
  <c r="BF51" i="28"/>
  <c r="BA50" i="29"/>
  <c r="BF54" i="28" s="1"/>
  <c r="BA87" i="29"/>
  <c r="BC117" i="29"/>
  <c r="BC119" i="29" s="1"/>
  <c r="BB47" i="29"/>
  <c r="BJ198" i="28"/>
  <c r="BJ199" i="28"/>
  <c r="BJ119" i="28"/>
  <c r="BJ197" i="28"/>
  <c r="BJ200" i="28"/>
  <c r="BK10" i="28"/>
  <c r="BB202" i="28"/>
  <c r="BB277" i="28" s="1"/>
  <c r="BC195" i="28"/>
  <c r="BC106" i="28" s="1"/>
  <c r="AQ129" i="28"/>
  <c r="AP171" i="28"/>
  <c r="AO172" i="28" s="1"/>
  <c r="BK17" i="28"/>
  <c r="BK20" i="28"/>
  <c r="BL225" i="28" s="1"/>
  <c r="BK23" i="28"/>
  <c r="BK29" i="28"/>
  <c r="BK255" i="28" s="1"/>
  <c r="BK32" i="28"/>
  <c r="BK265" i="28" s="1"/>
  <c r="AT128" i="29"/>
  <c r="AT129" i="29" s="1"/>
  <c r="BJ7" i="28"/>
  <c r="BI163" i="28"/>
  <c r="BJ133" i="28"/>
  <c r="BJ128" i="28"/>
  <c r="BL8" i="28"/>
  <c r="BK160" i="28"/>
  <c r="BK186" i="28"/>
  <c r="BK184" i="28" s="1"/>
  <c r="BK14" i="28"/>
  <c r="BK205" i="28" s="1"/>
  <c r="BJ185" i="28"/>
  <c r="BJ187" i="28" s="1"/>
  <c r="BI161" i="28"/>
  <c r="BI162" i="28" s="1"/>
  <c r="BC123" i="29"/>
  <c r="BC127" i="29" s="1"/>
  <c r="BE2" i="28"/>
  <c r="BE3" i="28" s="1"/>
  <c r="BF2" i="28" s="1"/>
  <c r="BF3" i="28" s="1"/>
  <c r="BD6" i="28"/>
  <c r="BD5" i="28"/>
  <c r="BD4" i="28"/>
  <c r="BG196" i="28" l="1"/>
  <c r="BJ221" i="28"/>
  <c r="BJ222" i="28" s="1"/>
  <c r="BJ261" i="28"/>
  <c r="BJ262" i="28" s="1"/>
  <c r="BJ201" i="28"/>
  <c r="BJ231" i="28"/>
  <c r="BJ232" i="28" s="1"/>
  <c r="BJ241" i="28"/>
  <c r="BJ242" i="28" s="1"/>
  <c r="BJ211" i="28"/>
  <c r="BJ212" i="28" s="1"/>
  <c r="BJ251" i="28"/>
  <c r="BJ252" i="28" s="1"/>
  <c r="BJ275" i="28"/>
  <c r="BJ276" i="28" s="1"/>
  <c r="BJ271" i="28"/>
  <c r="BJ272" i="28" s="1"/>
  <c r="BK256" i="28"/>
  <c r="BK270" i="28"/>
  <c r="BK229" i="28"/>
  <c r="BK238" i="28"/>
  <c r="BK240" i="28"/>
  <c r="BK239" i="28"/>
  <c r="BK237" i="28"/>
  <c r="BK235" i="28"/>
  <c r="BK230" i="28"/>
  <c r="BK210" i="28"/>
  <c r="BK236" i="28"/>
  <c r="BK266" i="28"/>
  <c r="BK226" i="28"/>
  <c r="BL227" i="28"/>
  <c r="BK260" i="28"/>
  <c r="BK257" i="28"/>
  <c r="BK206" i="28"/>
  <c r="BK107" i="28" s="1"/>
  <c r="BK209" i="28"/>
  <c r="BK216" i="28"/>
  <c r="BK217" i="28"/>
  <c r="BK218" i="28"/>
  <c r="BK215" i="28"/>
  <c r="BK220" i="28"/>
  <c r="BK219" i="28"/>
  <c r="BK208" i="28"/>
  <c r="BK268" i="28"/>
  <c r="BK267" i="28"/>
  <c r="BK258" i="28"/>
  <c r="BK259" i="28"/>
  <c r="BK269" i="28"/>
  <c r="BK207" i="28"/>
  <c r="BK228" i="28"/>
  <c r="BL9" i="28"/>
  <c r="BC202" i="28"/>
  <c r="BC277" i="28" s="1"/>
  <c r="AT39" i="29"/>
  <c r="AY189" i="28"/>
  <c r="AT130" i="29"/>
  <c r="AU128" i="29" s="1"/>
  <c r="AU129" i="29" s="1"/>
  <c r="BB87" i="29"/>
  <c r="BB50" i="29"/>
  <c r="BG54" i="28" s="1"/>
  <c r="BG51" i="28"/>
  <c r="BD117" i="29"/>
  <c r="BD119" i="29" s="1"/>
  <c r="BC47" i="29"/>
  <c r="BK198" i="28"/>
  <c r="BL198" i="28" s="1"/>
  <c r="BK199" i="28"/>
  <c r="BL199" i="28" s="1"/>
  <c r="BM199" i="28" s="1"/>
  <c r="BD195" i="28"/>
  <c r="BK200" i="28"/>
  <c r="BL200" i="28" s="1"/>
  <c r="BM200" i="28" s="1"/>
  <c r="BK119" i="28"/>
  <c r="BK197" i="28"/>
  <c r="AR129" i="28"/>
  <c r="AQ171" i="28"/>
  <c r="AO173" i="28" s="1"/>
  <c r="BL17" i="28"/>
  <c r="BL20" i="28"/>
  <c r="BM225" i="28" s="1"/>
  <c r="BL23" i="28"/>
  <c r="BL29" i="28"/>
  <c r="BL255" i="28" s="1"/>
  <c r="BL32" i="28"/>
  <c r="BL265" i="28" s="1"/>
  <c r="BK185" i="28"/>
  <c r="BK187" i="28" s="1"/>
  <c r="BF6" i="28"/>
  <c r="BG2" i="28"/>
  <c r="BG3" i="28" s="1"/>
  <c r="BF5" i="28"/>
  <c r="BF4" i="28"/>
  <c r="BK133" i="28"/>
  <c r="BK128" i="28"/>
  <c r="BM8" i="28"/>
  <c r="BL186" i="28"/>
  <c r="BL184" i="28" s="1"/>
  <c r="BL160" i="28"/>
  <c r="BL14" i="28"/>
  <c r="BL205" i="28" s="1"/>
  <c r="BK7" i="28"/>
  <c r="BJ163" i="28"/>
  <c r="BD123" i="29"/>
  <c r="BD127" i="29" s="1"/>
  <c r="BE6" i="28"/>
  <c r="BE5" i="28"/>
  <c r="BE4" i="28"/>
  <c r="BH196" i="28" l="1"/>
  <c r="BI196" i="28" s="1"/>
  <c r="BJ196" i="28" s="1"/>
  <c r="BD106" i="28"/>
  <c r="AQ174" i="28"/>
  <c r="BL209" i="28"/>
  <c r="BK161" i="28"/>
  <c r="BK162" i="28" s="1"/>
  <c r="BK275" i="28"/>
  <c r="BK276" i="28" s="1"/>
  <c r="BK271" i="28"/>
  <c r="BK272" i="28" s="1"/>
  <c r="BK211" i="28"/>
  <c r="BK212" i="28" s="1"/>
  <c r="BK261" i="28"/>
  <c r="BK262" i="28" s="1"/>
  <c r="BK221" i="28"/>
  <c r="BK222" i="28" s="1"/>
  <c r="BK201" i="28"/>
  <c r="BK231" i="28"/>
  <c r="BK232" i="28" s="1"/>
  <c r="BK241" i="28"/>
  <c r="BK242" i="28" s="1"/>
  <c r="BK251" i="28"/>
  <c r="BK252" i="28" s="1"/>
  <c r="BL236" i="28"/>
  <c r="BL258" i="28"/>
  <c r="BL267" i="28"/>
  <c r="BL206" i="28"/>
  <c r="BL107" i="28" s="1"/>
  <c r="BL210" i="28"/>
  <c r="BL268" i="28"/>
  <c r="BL257" i="28"/>
  <c r="BL230" i="28"/>
  <c r="BL208" i="28"/>
  <c r="BL260" i="28"/>
  <c r="BM227" i="28"/>
  <c r="BL237" i="28"/>
  <c r="BL228" i="28"/>
  <c r="BL207" i="28"/>
  <c r="BL238" i="28"/>
  <c r="BL235" i="28"/>
  <c r="BL240" i="28"/>
  <c r="BL239" i="28"/>
  <c r="BL269" i="28"/>
  <c r="BL226" i="28"/>
  <c r="BL266" i="28"/>
  <c r="BL256" i="28"/>
  <c r="BL218" i="28"/>
  <c r="BL216" i="28"/>
  <c r="BL217" i="28"/>
  <c r="BL215" i="28"/>
  <c r="BL220" i="28"/>
  <c r="BL219" i="28"/>
  <c r="BL229" i="28"/>
  <c r="BL259" i="28"/>
  <c r="BL270" i="28"/>
  <c r="BM9" i="28"/>
  <c r="BE195" i="28"/>
  <c r="AU130" i="29"/>
  <c r="BC87" i="29"/>
  <c r="BC50" i="29"/>
  <c r="BH54" i="28" s="1"/>
  <c r="BH51" i="28"/>
  <c r="BE117" i="29"/>
  <c r="BE119" i="29" s="1"/>
  <c r="BD47" i="29"/>
  <c r="BD202" i="28"/>
  <c r="BD277" i="28" s="1"/>
  <c r="BN199" i="28"/>
  <c r="BO199" i="28" s="1"/>
  <c r="BP199" i="28" s="1"/>
  <c r="BQ199" i="28" s="1"/>
  <c r="BR199" i="28" s="1"/>
  <c r="BN200" i="28"/>
  <c r="BO200" i="28" s="1"/>
  <c r="BP200" i="28" s="1"/>
  <c r="BL197" i="28"/>
  <c r="BM197" i="28" s="1"/>
  <c r="AO156" i="28"/>
  <c r="AO102" i="28" s="1"/>
  <c r="AS129" i="28"/>
  <c r="AR171" i="28"/>
  <c r="BM17" i="28"/>
  <c r="BM20" i="28"/>
  <c r="BN225" i="28" s="1"/>
  <c r="BM23" i="28"/>
  <c r="BM29" i="28"/>
  <c r="BM255" i="28" s="1"/>
  <c r="BM32" i="28"/>
  <c r="BM265" i="28" s="1"/>
  <c r="AZ189" i="28"/>
  <c r="AU39" i="29"/>
  <c r="BL185" i="28"/>
  <c r="BL187" i="28" s="1"/>
  <c r="BG4" i="28"/>
  <c r="BG6" i="28"/>
  <c r="BH2" i="28"/>
  <c r="BH3" i="28" s="1"/>
  <c r="BG5" i="28"/>
  <c r="BL133" i="28"/>
  <c r="BL128" i="28"/>
  <c r="BN8" i="28"/>
  <c r="BM186" i="28"/>
  <c r="BM184" i="28" s="1"/>
  <c r="BM160" i="28"/>
  <c r="BM14" i="28"/>
  <c r="BM205" i="28" s="1"/>
  <c r="BL7" i="28"/>
  <c r="BK163" i="28"/>
  <c r="BM198" i="28"/>
  <c r="BN198" i="28" s="1"/>
  <c r="BE123" i="29"/>
  <c r="BE127" i="29" s="1"/>
  <c r="BK196" i="28" l="1"/>
  <c r="BE106" i="28"/>
  <c r="BM236" i="28"/>
  <c r="BL275" i="28"/>
  <c r="BL276" i="28" s="1"/>
  <c r="BL271" i="28"/>
  <c r="BL272" i="28" s="1"/>
  <c r="BL211" i="28"/>
  <c r="BL212" i="28" s="1"/>
  <c r="BL251" i="28"/>
  <c r="BL252" i="28" s="1"/>
  <c r="BL221" i="28"/>
  <c r="BL222" i="28" s="1"/>
  <c r="BL201" i="28"/>
  <c r="BL261" i="28"/>
  <c r="BL262" i="28" s="1"/>
  <c r="BL231" i="28"/>
  <c r="BL232" i="28" s="1"/>
  <c r="BL241" i="28"/>
  <c r="BL242" i="28" s="1"/>
  <c r="BM216" i="28"/>
  <c r="BM218" i="28"/>
  <c r="BM215" i="28"/>
  <c r="BM220" i="28"/>
  <c r="BM217" i="28"/>
  <c r="BM219" i="28"/>
  <c r="BM269" i="28"/>
  <c r="BM260" i="28"/>
  <c r="BM208" i="28"/>
  <c r="BM209" i="28"/>
  <c r="BM230" i="28"/>
  <c r="BN227" i="28"/>
  <c r="BM270" i="28"/>
  <c r="BM256" i="28"/>
  <c r="BM257" i="28"/>
  <c r="BM259" i="28"/>
  <c r="BM266" i="28"/>
  <c r="BM268" i="28"/>
  <c r="BM229" i="28"/>
  <c r="BM207" i="28"/>
  <c r="BM210" i="28"/>
  <c r="BM206" i="28"/>
  <c r="BM107" i="28" s="1"/>
  <c r="BM228" i="28"/>
  <c r="BM258" i="28"/>
  <c r="BM235" i="28"/>
  <c r="BM240" i="28"/>
  <c r="BM238" i="28"/>
  <c r="BM239" i="28"/>
  <c r="BM226" i="28"/>
  <c r="BM237" i="28"/>
  <c r="BM267" i="28"/>
  <c r="BF195" i="28"/>
  <c r="BE202" i="28"/>
  <c r="BE277" i="28" s="1"/>
  <c r="BN9" i="28"/>
  <c r="AV128" i="29"/>
  <c r="AV129" i="29" s="1"/>
  <c r="AV130" i="29" s="1"/>
  <c r="AW128" i="29" s="1"/>
  <c r="AW129" i="29" s="1"/>
  <c r="BD87" i="29"/>
  <c r="BD50" i="29"/>
  <c r="BI54" i="28" s="1"/>
  <c r="BI51" i="28"/>
  <c r="BF117" i="29"/>
  <c r="BF119" i="29" s="1"/>
  <c r="BE47" i="29"/>
  <c r="BN197" i="28"/>
  <c r="BO197" i="28" s="1"/>
  <c r="BP197" i="28" s="1"/>
  <c r="BQ197" i="28" s="1"/>
  <c r="BR197" i="28" s="1"/>
  <c r="BS197" i="28" s="1"/>
  <c r="BT197" i="28" s="1"/>
  <c r="BQ200" i="28"/>
  <c r="BR200" i="28" s="1"/>
  <c r="BS200" i="28" s="1"/>
  <c r="AQ172" i="28"/>
  <c r="AQ156" i="28" s="1"/>
  <c r="AQ102" i="28" s="1"/>
  <c r="AT129" i="28"/>
  <c r="AS171" i="28"/>
  <c r="BN17" i="28"/>
  <c r="BN20" i="28"/>
  <c r="BO225" i="28" s="1"/>
  <c r="BN23" i="28"/>
  <c r="BN29" i="28"/>
  <c r="BN255" i="28" s="1"/>
  <c r="BN32" i="28"/>
  <c r="BN265" i="28" s="1"/>
  <c r="BM185" i="28"/>
  <c r="BM187" i="28" s="1"/>
  <c r="BI2" i="28"/>
  <c r="BI3" i="28" s="1"/>
  <c r="BH5" i="28"/>
  <c r="BH4" i="28"/>
  <c r="BH6" i="28"/>
  <c r="BM7" i="28"/>
  <c r="BL163" i="28"/>
  <c r="BM133" i="28"/>
  <c r="BM128" i="28"/>
  <c r="BO8" i="28"/>
  <c r="BN160" i="28"/>
  <c r="BN186" i="28"/>
  <c r="BN184" i="28" s="1"/>
  <c r="BN14" i="28"/>
  <c r="BN205" i="28" s="1"/>
  <c r="BL161" i="28"/>
  <c r="BL162" i="28" s="1"/>
  <c r="BO198" i="28"/>
  <c r="BP198" i="28" s="1"/>
  <c r="BQ198" i="28" s="1"/>
  <c r="BR198" i="28" s="1"/>
  <c r="BS198" i="28" s="1"/>
  <c r="BT198" i="28" s="1"/>
  <c r="BS199" i="28"/>
  <c r="BT199" i="28" s="1"/>
  <c r="BF123" i="29"/>
  <c r="BF127" i="29" s="1"/>
  <c r="BL196" i="28" l="1"/>
  <c r="BM196" i="28" s="1"/>
  <c r="BF106" i="28"/>
  <c r="BG195" i="28"/>
  <c r="BH195" i="28" s="1"/>
  <c r="BH106" i="28" s="1"/>
  <c r="BM261" i="28"/>
  <c r="BM262" i="28" s="1"/>
  <c r="BM275" i="28"/>
  <c r="BM276" i="28" s="1"/>
  <c r="BM271" i="28"/>
  <c r="BM272" i="28" s="1"/>
  <c r="BM211" i="28"/>
  <c r="BM212" i="28" s="1"/>
  <c r="BM241" i="28"/>
  <c r="BM242" i="28" s="1"/>
  <c r="BM251" i="28"/>
  <c r="BM252" i="28" s="1"/>
  <c r="BM221" i="28"/>
  <c r="BM222" i="28" s="1"/>
  <c r="BM201" i="28"/>
  <c r="BM231" i="28"/>
  <c r="BM232" i="28" s="1"/>
  <c r="BN209" i="28"/>
  <c r="BN210" i="28"/>
  <c r="BN207" i="28"/>
  <c r="BN229" i="28"/>
  <c r="BN208" i="28"/>
  <c r="BN260" i="28"/>
  <c r="BN268" i="28"/>
  <c r="BN269" i="28"/>
  <c r="BN258" i="28"/>
  <c r="BN266" i="28"/>
  <c r="BN228" i="28"/>
  <c r="BN259" i="28"/>
  <c r="BN215" i="28"/>
  <c r="BN219" i="28"/>
  <c r="BN218" i="28"/>
  <c r="BN216" i="28"/>
  <c r="BN217" i="28"/>
  <c r="BN220" i="28"/>
  <c r="BN267" i="28"/>
  <c r="BN257" i="28"/>
  <c r="BN256" i="28"/>
  <c r="BN235" i="28"/>
  <c r="BN239" i="28"/>
  <c r="BN238" i="28"/>
  <c r="BN240" i="28"/>
  <c r="BN237" i="28"/>
  <c r="BN270" i="28"/>
  <c r="BN206" i="28"/>
  <c r="BN107" i="28" s="1"/>
  <c r="BN226" i="28"/>
  <c r="BO227" i="28"/>
  <c r="BF202" i="28"/>
  <c r="BF277" i="28" s="1"/>
  <c r="BN230" i="28"/>
  <c r="BN236" i="28"/>
  <c r="BO9" i="28"/>
  <c r="AV39" i="29"/>
  <c r="BA189" i="28"/>
  <c r="BE50" i="29"/>
  <c r="BJ54" i="28" s="1"/>
  <c r="BJ51" i="28"/>
  <c r="BE87" i="29"/>
  <c r="BG117" i="29"/>
  <c r="BG119" i="29" s="1"/>
  <c r="BF47" i="29"/>
  <c r="BT200" i="28"/>
  <c r="AU129" i="28"/>
  <c r="AT171" i="28"/>
  <c r="AS172" i="28" s="1"/>
  <c r="AS156" i="28" s="1"/>
  <c r="AS102" i="28" s="1"/>
  <c r="BO17" i="28"/>
  <c r="BO20" i="28"/>
  <c r="BP225" i="28" s="1"/>
  <c r="BO23" i="28"/>
  <c r="BO29" i="28"/>
  <c r="BO255" i="28" s="1"/>
  <c r="BO32" i="28"/>
  <c r="BO265" i="28" s="1"/>
  <c r="BB189" i="28"/>
  <c r="AW39" i="29"/>
  <c r="AW130" i="29"/>
  <c r="BN185" i="28"/>
  <c r="BN187" i="28" s="1"/>
  <c r="BI4" i="28"/>
  <c r="BI6" i="28"/>
  <c r="BI5" i="28"/>
  <c r="BJ2" i="28"/>
  <c r="BJ3" i="28" s="1"/>
  <c r="BN133" i="28"/>
  <c r="BN128" i="28"/>
  <c r="BN7" i="28"/>
  <c r="BM163" i="28"/>
  <c r="BO160" i="28"/>
  <c r="BO186" i="28"/>
  <c r="BO184" i="28" s="1"/>
  <c r="BO14" i="28"/>
  <c r="BO205" i="28" s="1"/>
  <c r="BP8" i="28"/>
  <c r="BG123" i="29"/>
  <c r="BG127" i="29" s="1"/>
  <c r="BG202" i="28" l="1"/>
  <c r="BG277" i="28" s="1"/>
  <c r="BN196" i="28"/>
  <c r="BO196" i="28" s="1"/>
  <c r="BG106" i="28"/>
  <c r="BO258" i="28"/>
  <c r="BO257" i="28"/>
  <c r="AR173" i="28"/>
  <c r="AT174" i="28"/>
  <c r="BN161" i="28"/>
  <c r="BN162" i="28" s="1"/>
  <c r="BN241" i="28"/>
  <c r="BN242" i="28" s="1"/>
  <c r="BN261" i="28"/>
  <c r="BN262" i="28" s="1"/>
  <c r="BN231" i="28"/>
  <c r="BN232" i="28" s="1"/>
  <c r="BN275" i="28"/>
  <c r="BN276" i="28" s="1"/>
  <c r="BN271" i="28"/>
  <c r="BN272" i="28" s="1"/>
  <c r="BN211" i="28"/>
  <c r="BN212" i="28" s="1"/>
  <c r="BN221" i="28"/>
  <c r="BN222" i="28" s="1"/>
  <c r="BN251" i="28"/>
  <c r="BN252" i="28" s="1"/>
  <c r="BN201" i="28"/>
  <c r="BO206" i="28"/>
  <c r="BO107" i="28" s="1"/>
  <c r="BO267" i="28"/>
  <c r="BO209" i="28"/>
  <c r="BO269" i="28"/>
  <c r="BO270" i="28"/>
  <c r="BO268" i="28"/>
  <c r="BO238" i="28"/>
  <c r="BO235" i="28"/>
  <c r="BO240" i="28"/>
  <c r="BO239" i="28"/>
  <c r="BO237" i="28"/>
  <c r="BO260" i="28"/>
  <c r="BO230" i="28"/>
  <c r="BO208" i="28"/>
  <c r="BO210" i="28"/>
  <c r="BO229" i="28"/>
  <c r="BO226" i="28"/>
  <c r="BO219" i="28"/>
  <c r="BO217" i="28"/>
  <c r="BO216" i="28"/>
  <c r="BO220" i="28"/>
  <c r="BO218" i="28"/>
  <c r="BO215" i="28"/>
  <c r="BO259" i="28"/>
  <c r="BP227" i="28"/>
  <c r="BO228" i="28"/>
  <c r="BO207" i="28"/>
  <c r="BO236" i="28"/>
  <c r="BO256" i="28"/>
  <c r="BO266" i="28"/>
  <c r="BP9" i="28"/>
  <c r="BI195" i="28"/>
  <c r="BF87" i="29"/>
  <c r="BF50" i="29"/>
  <c r="BK54" i="28" s="1"/>
  <c r="BK51" i="28"/>
  <c r="BH117" i="29"/>
  <c r="BH119" i="29" s="1"/>
  <c r="BG47" i="29"/>
  <c r="AV129" i="28"/>
  <c r="AU171" i="28"/>
  <c r="AR156" i="28"/>
  <c r="AR102" i="28" s="1"/>
  <c r="BP17" i="28"/>
  <c r="BP20" i="28"/>
  <c r="BQ225" i="28" s="1"/>
  <c r="BP29" i="28"/>
  <c r="BP255" i="28" s="1"/>
  <c r="BP23" i="28"/>
  <c r="BP32" i="28"/>
  <c r="BP265" i="28" s="1"/>
  <c r="AX128" i="29"/>
  <c r="AX129" i="29" s="1"/>
  <c r="BH202" i="28"/>
  <c r="BH277" i="28" s="1"/>
  <c r="BO185" i="28"/>
  <c r="BO187" i="28" s="1"/>
  <c r="BJ5" i="28"/>
  <c r="BJ4" i="28"/>
  <c r="BJ6" i="28"/>
  <c r="BK2" i="28"/>
  <c r="BK3" i="28" s="1"/>
  <c r="BO133" i="28"/>
  <c r="BO128" i="28"/>
  <c r="BQ8" i="28"/>
  <c r="BP186" i="28"/>
  <c r="BP184" i="28" s="1"/>
  <c r="BP160" i="28"/>
  <c r="BP14" i="28"/>
  <c r="BP205" i="28" s="1"/>
  <c r="BO7" i="28"/>
  <c r="BN163" i="28"/>
  <c r="BH123" i="29"/>
  <c r="BH127" i="29" s="1"/>
  <c r="BP196" i="28" l="1"/>
  <c r="BQ196" i="28" s="1"/>
  <c r="BI106" i="28"/>
  <c r="BO251" i="28"/>
  <c r="BO252" i="28" s="1"/>
  <c r="BO261" i="28"/>
  <c r="BO262" i="28" s="1"/>
  <c r="BO275" i="28"/>
  <c r="BO276" i="28" s="1"/>
  <c r="BO271" i="28"/>
  <c r="BO272" i="28" s="1"/>
  <c r="BO211" i="28"/>
  <c r="BO212" i="28" s="1"/>
  <c r="BO241" i="28"/>
  <c r="BO242" i="28" s="1"/>
  <c r="BO221" i="28"/>
  <c r="BO222" i="28" s="1"/>
  <c r="BO201" i="28"/>
  <c r="BO231" i="28"/>
  <c r="BO232" i="28" s="1"/>
  <c r="BQ227" i="28"/>
  <c r="BP210" i="28"/>
  <c r="BP208" i="28"/>
  <c r="BP229" i="28"/>
  <c r="BP239" i="28"/>
  <c r="BP235" i="28"/>
  <c r="BP240" i="28"/>
  <c r="BP238" i="28"/>
  <c r="BP268" i="28"/>
  <c r="BP270" i="28"/>
  <c r="BP218" i="28"/>
  <c r="BP216" i="28"/>
  <c r="BP220" i="28"/>
  <c r="BP219" i="28"/>
  <c r="BP215" i="28"/>
  <c r="BP217" i="28"/>
  <c r="BP266" i="28"/>
  <c r="BP257" i="28"/>
  <c r="BP230" i="28"/>
  <c r="BP269" i="28"/>
  <c r="BP259" i="28"/>
  <c r="BP258" i="28"/>
  <c r="BP236" i="28"/>
  <c r="BP260" i="28"/>
  <c r="BP209" i="28"/>
  <c r="BP226" i="28"/>
  <c r="BP207" i="28"/>
  <c r="BP237" i="28"/>
  <c r="BP267" i="28"/>
  <c r="BP256" i="28"/>
  <c r="BJ195" i="28"/>
  <c r="BP228" i="28"/>
  <c r="BP206" i="28"/>
  <c r="BP107" i="28" s="1"/>
  <c r="BQ9" i="28"/>
  <c r="BI202" i="28"/>
  <c r="BI277" i="28" s="1"/>
  <c r="AX39" i="29"/>
  <c r="BC189" i="28"/>
  <c r="AX130" i="29"/>
  <c r="AY128" i="29" s="1"/>
  <c r="AY129" i="29" s="1"/>
  <c r="BL51" i="28"/>
  <c r="BG87" i="29"/>
  <c r="BG50" i="29"/>
  <c r="BL54" i="28" s="1"/>
  <c r="BI117" i="29"/>
  <c r="BI119" i="29" s="1"/>
  <c r="BH47" i="29"/>
  <c r="AW129" i="28"/>
  <c r="AV171" i="28"/>
  <c r="AU172" i="28" s="1"/>
  <c r="BQ17" i="28"/>
  <c r="BQ20" i="28"/>
  <c r="BR225" i="28" s="1"/>
  <c r="BQ29" i="28"/>
  <c r="BQ255" i="28" s="1"/>
  <c r="BQ23" i="28"/>
  <c r="BQ32" i="28"/>
  <c r="BQ265" i="28" s="1"/>
  <c r="BP185" i="28"/>
  <c r="BP187" i="28" s="1"/>
  <c r="BL2" i="28"/>
  <c r="BL3" i="28" s="1"/>
  <c r="BK5" i="28"/>
  <c r="BK4" i="28"/>
  <c r="BK6" i="28"/>
  <c r="BP7" i="28"/>
  <c r="BO163" i="28"/>
  <c r="BP133" i="28"/>
  <c r="BP128" i="28"/>
  <c r="BR8" i="28"/>
  <c r="BQ186" i="28"/>
  <c r="BQ184" i="28" s="1"/>
  <c r="BQ160" i="28"/>
  <c r="BQ14" i="28"/>
  <c r="BQ205" i="28" s="1"/>
  <c r="BO161" i="28"/>
  <c r="BO162" i="28" s="1"/>
  <c r="BI123" i="29"/>
  <c r="BI127" i="29" s="1"/>
  <c r="BJ202" i="28" l="1"/>
  <c r="BJ277" i="28" s="1"/>
  <c r="BJ106" i="28"/>
  <c r="BP241" i="28"/>
  <c r="BP242" i="28" s="1"/>
  <c r="BP251" i="28"/>
  <c r="BP252" i="28" s="1"/>
  <c r="BP261" i="28"/>
  <c r="BP262" i="28" s="1"/>
  <c r="BP201" i="28"/>
  <c r="BP275" i="28"/>
  <c r="BP276" i="28" s="1"/>
  <c r="BP271" i="28"/>
  <c r="BP272" i="28" s="1"/>
  <c r="BP211" i="28"/>
  <c r="BP212" i="28" s="1"/>
  <c r="BP221" i="28"/>
  <c r="BP222" i="28" s="1"/>
  <c r="BP231" i="28"/>
  <c r="BP232" i="28" s="1"/>
  <c r="BK195" i="28"/>
  <c r="BQ266" i="28"/>
  <c r="BQ237" i="28"/>
  <c r="BQ268" i="28"/>
  <c r="BQ207" i="28"/>
  <c r="BQ257" i="28"/>
  <c r="BQ208" i="28"/>
  <c r="BQ206" i="28"/>
  <c r="BQ107" i="28" s="1"/>
  <c r="BQ209" i="28"/>
  <c r="BQ260" i="28"/>
  <c r="BQ226" i="28"/>
  <c r="BQ236" i="28"/>
  <c r="BQ215" i="28"/>
  <c r="BQ218" i="28"/>
  <c r="BQ220" i="28"/>
  <c r="BQ219" i="28"/>
  <c r="BQ216" i="28"/>
  <c r="BQ217" i="28"/>
  <c r="BQ228" i="28"/>
  <c r="BQ230" i="28"/>
  <c r="BQ258" i="28"/>
  <c r="BQ210" i="28"/>
  <c r="BQ256" i="28"/>
  <c r="BQ259" i="28"/>
  <c r="BQ229" i="28"/>
  <c r="BQ240" i="28"/>
  <c r="BQ235" i="28"/>
  <c r="BQ239" i="28"/>
  <c r="BQ238" i="28"/>
  <c r="BQ267" i="28"/>
  <c r="BQ269" i="28"/>
  <c r="BQ270" i="28"/>
  <c r="BR227" i="28"/>
  <c r="BR9" i="28"/>
  <c r="BH50" i="29"/>
  <c r="BM54" i="28" s="1"/>
  <c r="BM51" i="28"/>
  <c r="BH87" i="29"/>
  <c r="BJ117" i="29"/>
  <c r="BJ119" i="29" s="1"/>
  <c r="BI47" i="29"/>
  <c r="AX129" i="28"/>
  <c r="AW171" i="28"/>
  <c r="BR17" i="28"/>
  <c r="BR20" i="28"/>
  <c r="BS225" i="28" s="1"/>
  <c r="BR29" i="28"/>
  <c r="BR255" i="28" s="1"/>
  <c r="BR23" i="28"/>
  <c r="BR32" i="28"/>
  <c r="BR265" i="28" s="1"/>
  <c r="AY39" i="29"/>
  <c r="BD189" i="28"/>
  <c r="AY130" i="29"/>
  <c r="BQ185" i="28"/>
  <c r="BQ187" i="28" s="1"/>
  <c r="BL6" i="28"/>
  <c r="BM2" i="28"/>
  <c r="BM3" i="28" s="1"/>
  <c r="BL5" i="28"/>
  <c r="BL4" i="28"/>
  <c r="BQ133" i="28"/>
  <c r="BQ128" i="28"/>
  <c r="BQ7" i="28"/>
  <c r="BP163" i="28"/>
  <c r="BS8" i="28"/>
  <c r="BR160" i="28"/>
  <c r="BR186" i="28"/>
  <c r="BR184" i="28" s="1"/>
  <c r="BR14" i="28"/>
  <c r="BR205" i="28" s="1"/>
  <c r="BJ123" i="29"/>
  <c r="BJ127" i="29" s="1"/>
  <c r="BR196" i="28"/>
  <c r="BR237" i="28" l="1"/>
  <c r="BL195" i="28"/>
  <c r="BM195" i="28" s="1"/>
  <c r="BK106" i="28"/>
  <c r="AW174" i="28"/>
  <c r="AU173" i="28"/>
  <c r="AU156" i="28" s="1"/>
  <c r="AU102" i="28" s="1"/>
  <c r="BK202" i="28"/>
  <c r="BK277" i="28" s="1"/>
  <c r="BQ161" i="28"/>
  <c r="BQ162" i="28" s="1"/>
  <c r="BQ231" i="28"/>
  <c r="BQ232" i="28" s="1"/>
  <c r="BQ241" i="28"/>
  <c r="BQ242" i="28" s="1"/>
  <c r="BQ221" i="28"/>
  <c r="BQ222" i="28" s="1"/>
  <c r="BQ251" i="28"/>
  <c r="BQ252" i="28" s="1"/>
  <c r="BQ261" i="28"/>
  <c r="BQ262" i="28" s="1"/>
  <c r="BQ275" i="28"/>
  <c r="BQ276" i="28" s="1"/>
  <c r="BQ271" i="28"/>
  <c r="BQ272" i="28" s="1"/>
  <c r="BQ211" i="28"/>
  <c r="BQ212" i="28" s="1"/>
  <c r="BQ201" i="28"/>
  <c r="BR228" i="28"/>
  <c r="BR229" i="28"/>
  <c r="BR209" i="28"/>
  <c r="BR206" i="28"/>
  <c r="BR107" i="28" s="1"/>
  <c r="BR266" i="28"/>
  <c r="BR207" i="28"/>
  <c r="BR259" i="28"/>
  <c r="BR256" i="28"/>
  <c r="BR236" i="28"/>
  <c r="BR208" i="28"/>
  <c r="BR240" i="28"/>
  <c r="BR235" i="28"/>
  <c r="BR239" i="28"/>
  <c r="BR238" i="28"/>
  <c r="BR215" i="28"/>
  <c r="BR218" i="28"/>
  <c r="BR220" i="28"/>
  <c r="BR217" i="28"/>
  <c r="BR219" i="28"/>
  <c r="BR216" i="28"/>
  <c r="BS227" i="28"/>
  <c r="BR257" i="28"/>
  <c r="BR270" i="28"/>
  <c r="BR210" i="28"/>
  <c r="BR226" i="28"/>
  <c r="BR269" i="28"/>
  <c r="BR258" i="28"/>
  <c r="BR268" i="28"/>
  <c r="BR267" i="28"/>
  <c r="BR230" i="28"/>
  <c r="BR260" i="28"/>
  <c r="BS9" i="28"/>
  <c r="BI87" i="29"/>
  <c r="BI50" i="29"/>
  <c r="BN54" i="28" s="1"/>
  <c r="BN51" i="28"/>
  <c r="BK117" i="29"/>
  <c r="BK119" i="29" s="1"/>
  <c r="BJ47" i="29"/>
  <c r="AY129" i="28"/>
  <c r="AX171" i="28"/>
  <c r="BS17" i="28"/>
  <c r="BS20" i="28"/>
  <c r="BT225" i="28" s="1"/>
  <c r="BS23" i="28"/>
  <c r="BS29" i="28"/>
  <c r="BS255" i="28" s="1"/>
  <c r="BS32" i="28"/>
  <c r="BS265" i="28" s="1"/>
  <c r="BR185" i="28"/>
  <c r="BR187" i="28" s="1"/>
  <c r="AZ128" i="29"/>
  <c r="AZ129" i="29" s="1"/>
  <c r="BM5" i="28"/>
  <c r="BM4" i="28"/>
  <c r="BN2" i="28"/>
  <c r="BN3" i="28" s="1"/>
  <c r="BM6" i="28"/>
  <c r="BR133" i="28"/>
  <c r="BR128" i="28"/>
  <c r="BR7" i="28"/>
  <c r="BQ163" i="28"/>
  <c r="BT8" i="28"/>
  <c r="BS160" i="28"/>
  <c r="BS186" i="28"/>
  <c r="BS184" i="28" s="1"/>
  <c r="BS14" i="28"/>
  <c r="BS205" i="28" s="1"/>
  <c r="BS196" i="28"/>
  <c r="BK123" i="29"/>
  <c r="BK127" i="29" s="1"/>
  <c r="BL202" i="28" l="1"/>
  <c r="BL277" i="28" s="1"/>
  <c r="BN195" i="28"/>
  <c r="BM106" i="28"/>
  <c r="BN106" i="28"/>
  <c r="BL106" i="28"/>
  <c r="BS258" i="28"/>
  <c r="BS256" i="28"/>
  <c r="BR161" i="28"/>
  <c r="BR162" i="28" s="1"/>
  <c r="BR231" i="28"/>
  <c r="BR232" i="28" s="1"/>
  <c r="BR241" i="28"/>
  <c r="BR242" i="28" s="1"/>
  <c r="BR251" i="28"/>
  <c r="BR252" i="28" s="1"/>
  <c r="BR261" i="28"/>
  <c r="BR262" i="28" s="1"/>
  <c r="BR221" i="28"/>
  <c r="BR222" i="28" s="1"/>
  <c r="BR201" i="28"/>
  <c r="BR275" i="28"/>
  <c r="BR276" i="28" s="1"/>
  <c r="BR271" i="28"/>
  <c r="BR272" i="28" s="1"/>
  <c r="BR211" i="28"/>
  <c r="BR212" i="28" s="1"/>
  <c r="BS210" i="28"/>
  <c r="BS269" i="28"/>
  <c r="BS259" i="28"/>
  <c r="BS226" i="28"/>
  <c r="BS229" i="28"/>
  <c r="BS207" i="28"/>
  <c r="BS270" i="28"/>
  <c r="BS219" i="28"/>
  <c r="BS215" i="28"/>
  <c r="BS217" i="28"/>
  <c r="BS218" i="28"/>
  <c r="BS220" i="28"/>
  <c r="BS216" i="28"/>
  <c r="BS260" i="28"/>
  <c r="BS266" i="28"/>
  <c r="BS240" i="28"/>
  <c r="BS235" i="28"/>
  <c r="BS239" i="28"/>
  <c r="BS230" i="28"/>
  <c r="BS238" i="28"/>
  <c r="BS206" i="28"/>
  <c r="BS107" i="28" s="1"/>
  <c r="BS267" i="28"/>
  <c r="BS257" i="28"/>
  <c r="BS228" i="28"/>
  <c r="BS208" i="28"/>
  <c r="BS209" i="28"/>
  <c r="BS268" i="28"/>
  <c r="BT227" i="28"/>
  <c r="BS236" i="28"/>
  <c r="BS237" i="28"/>
  <c r="BT9" i="28"/>
  <c r="BM202" i="28"/>
  <c r="BM277" i="28" s="1"/>
  <c r="BE189" i="28"/>
  <c r="AZ39" i="29"/>
  <c r="AZ130" i="29"/>
  <c r="BA128" i="29" s="1"/>
  <c r="BA129" i="29" s="1"/>
  <c r="BJ87" i="29"/>
  <c r="BO51" i="28"/>
  <c r="BJ50" i="29"/>
  <c r="BL117" i="29"/>
  <c r="BL119" i="29" s="1"/>
  <c r="BK47" i="29"/>
  <c r="AW172" i="28"/>
  <c r="AW156" i="28" s="1"/>
  <c r="AW102" i="28" s="1"/>
  <c r="AZ129" i="28"/>
  <c r="AY171" i="28"/>
  <c r="BS185" i="28"/>
  <c r="BS187" i="28" s="1"/>
  <c r="BT17" i="28"/>
  <c r="BT20" i="28"/>
  <c r="BU225" i="28" s="1"/>
  <c r="BT23" i="28"/>
  <c r="BT29" i="28"/>
  <c r="BT255" i="28" s="1"/>
  <c r="BT32" i="28"/>
  <c r="BT265" i="28" s="1"/>
  <c r="BO2" i="28"/>
  <c r="BO3" i="28" s="1"/>
  <c r="BN5" i="28"/>
  <c r="BN4" i="28"/>
  <c r="BN6" i="28"/>
  <c r="BU8" i="28"/>
  <c r="BU119" i="28" s="1"/>
  <c r="BT186" i="28"/>
  <c r="BT184" i="28" s="1"/>
  <c r="BV184" i="28" s="1"/>
  <c r="BT160" i="28"/>
  <c r="BT14" i="28"/>
  <c r="BT205" i="28" s="1"/>
  <c r="BS133" i="28"/>
  <c r="BS128" i="28"/>
  <c r="BS7" i="28"/>
  <c r="BR163" i="28"/>
  <c r="BT196" i="28"/>
  <c r="BL123" i="29"/>
  <c r="BL127" i="29" s="1"/>
  <c r="BO195" i="28" l="1"/>
  <c r="BO202" i="28" s="1"/>
  <c r="BO277" i="28" s="1"/>
  <c r="BN202" i="28"/>
  <c r="BN277" i="28" s="1"/>
  <c r="BO106" i="28"/>
  <c r="BS201" i="28"/>
  <c r="BS231" i="28"/>
  <c r="BS241" i="28"/>
  <c r="BS242" i="28" s="1"/>
  <c r="BS251" i="28"/>
  <c r="BS252" i="28" s="1"/>
  <c r="BS221" i="28"/>
  <c r="BS222" i="28" s="1"/>
  <c r="BS261" i="28"/>
  <c r="BS262" i="28" s="1"/>
  <c r="BS275" i="28"/>
  <c r="BS276" i="28" s="1"/>
  <c r="BS271" i="28"/>
  <c r="BS272" i="28" s="1"/>
  <c r="BS211" i="28"/>
  <c r="BS212" i="28" s="1"/>
  <c r="BT209" i="28"/>
  <c r="BT208" i="28"/>
  <c r="BT228" i="28"/>
  <c r="BT266" i="28"/>
  <c r="BT210" i="28"/>
  <c r="BT260" i="28"/>
  <c r="BT258" i="28"/>
  <c r="BT229" i="28"/>
  <c r="BT219" i="28"/>
  <c r="BT217" i="28"/>
  <c r="BT216" i="28"/>
  <c r="BT215" i="28"/>
  <c r="BT218" i="28"/>
  <c r="BT220" i="28"/>
  <c r="BT257" i="28"/>
  <c r="BT267" i="28"/>
  <c r="BT226" i="28"/>
  <c r="BS232" i="28"/>
  <c r="BT206" i="28"/>
  <c r="BT107" i="28" s="1"/>
  <c r="BT237" i="28"/>
  <c r="BT239" i="28"/>
  <c r="BT240" i="28"/>
  <c r="BT235" i="28"/>
  <c r="BT238" i="28"/>
  <c r="BT236" i="28"/>
  <c r="BU227" i="28"/>
  <c r="BT230" i="28"/>
  <c r="BT270" i="28"/>
  <c r="BT259" i="28"/>
  <c r="BT268" i="28"/>
  <c r="BT256" i="28"/>
  <c r="BT207" i="28"/>
  <c r="BT269" i="28"/>
  <c r="BZ83" i="28"/>
  <c r="CA83" i="28" s="1"/>
  <c r="F83" i="28" s="1"/>
  <c r="BZ82" i="28"/>
  <c r="CA82" i="28" s="1"/>
  <c r="F82" i="28" s="1"/>
  <c r="BZ79" i="28"/>
  <c r="CA79" i="28" s="1"/>
  <c r="F79" i="28" s="1"/>
  <c r="BU9" i="28"/>
  <c r="BZ80" i="28"/>
  <c r="CA80" i="28" s="1"/>
  <c r="F80" i="28" s="1"/>
  <c r="BZ81" i="28"/>
  <c r="CA81" i="28" s="1"/>
  <c r="F81" i="28" s="1"/>
  <c r="BT185" i="28"/>
  <c r="BT187" i="28" s="1"/>
  <c r="BK50" i="29"/>
  <c r="BP54" i="28" s="1"/>
  <c r="BP51" i="28"/>
  <c r="BK87" i="29"/>
  <c r="BM117" i="29"/>
  <c r="BM119" i="29" s="1"/>
  <c r="BL47" i="29"/>
  <c r="BO54" i="28"/>
  <c r="BA129" i="28"/>
  <c r="AZ171" i="28"/>
  <c r="AY172" i="28" s="1"/>
  <c r="AY156" i="28" s="1"/>
  <c r="AY102" i="28" s="1"/>
  <c r="BU17" i="28"/>
  <c r="BU20" i="28"/>
  <c r="BU23" i="28"/>
  <c r="BU29" i="28"/>
  <c r="BU32" i="28"/>
  <c r="BF189" i="28"/>
  <c r="BA39" i="29"/>
  <c r="BA130" i="29"/>
  <c r="BO6" i="28"/>
  <c r="BP2" i="28"/>
  <c r="BP3" i="28" s="1"/>
  <c r="BO4" i="28"/>
  <c r="BO5" i="28"/>
  <c r="BT133" i="28"/>
  <c r="BT128" i="28"/>
  <c r="BT7" i="28"/>
  <c r="BS163" i="28"/>
  <c r="BU186" i="28"/>
  <c r="BU184" i="28" s="1"/>
  <c r="BX184" i="28" s="1"/>
  <c r="BU160" i="28"/>
  <c r="BU14" i="28"/>
  <c r="BU10" i="28"/>
  <c r="BU11" i="28"/>
  <c r="BM123" i="29"/>
  <c r="BM127" i="29" s="1"/>
  <c r="BP195" i="28" l="1"/>
  <c r="BQ195" i="28" s="1"/>
  <c r="BP106" i="28"/>
  <c r="BU228" i="28"/>
  <c r="BV228" i="28" s="1"/>
  <c r="BW228" i="28" s="1"/>
  <c r="BX228" i="28" s="1"/>
  <c r="BU205" i="28"/>
  <c r="BU265" i="28"/>
  <c r="BU255" i="28"/>
  <c r="AZ174" i="28"/>
  <c r="AX173" i="28"/>
  <c r="AX156" i="28" s="1"/>
  <c r="AX102" i="28" s="1"/>
  <c r="BU185" i="28"/>
  <c r="BU237" i="28"/>
  <c r="BT161" i="28"/>
  <c r="BT162" i="28" s="1"/>
  <c r="BT221" i="28"/>
  <c r="BT222" i="28" s="1"/>
  <c r="BT271" i="28"/>
  <c r="BT272" i="28" s="1"/>
  <c r="BT201" i="28"/>
  <c r="BT211" i="28"/>
  <c r="BT212" i="28" s="1"/>
  <c r="BT275" i="28"/>
  <c r="BT276" i="28" s="1"/>
  <c r="BT231" i="28"/>
  <c r="BT232" i="28" s="1"/>
  <c r="BT241" i="28"/>
  <c r="BT242" i="28" s="1"/>
  <c r="BT251" i="28"/>
  <c r="BT252" i="28" s="1"/>
  <c r="BT261" i="28"/>
  <c r="BT262" i="28" s="1"/>
  <c r="BU268" i="28"/>
  <c r="BV268" i="28" s="1"/>
  <c r="BW268" i="28" s="1"/>
  <c r="BX268" i="28" s="1"/>
  <c r="BU230" i="28"/>
  <c r="BU259" i="28"/>
  <c r="BU208" i="28"/>
  <c r="BU270" i="28"/>
  <c r="BV270" i="28" s="1"/>
  <c r="BW270" i="28" s="1"/>
  <c r="BX270" i="28" s="1"/>
  <c r="BU206" i="28"/>
  <c r="BV206" i="28" s="1"/>
  <c r="BW206" i="28" s="1"/>
  <c r="BX206" i="28" s="1"/>
  <c r="BU229" i="28"/>
  <c r="BV229" i="28" s="1"/>
  <c r="BW229" i="28" s="1"/>
  <c r="BX229" i="28" s="1"/>
  <c r="BU269" i="28"/>
  <c r="BU226" i="28"/>
  <c r="BV226" i="28" s="1"/>
  <c r="BW226" i="28" s="1"/>
  <c r="BX226" i="28" s="1"/>
  <c r="BU207" i="28"/>
  <c r="BV207" i="28" s="1"/>
  <c r="BW207" i="28" s="1"/>
  <c r="BX207" i="28" s="1"/>
  <c r="BU236" i="28"/>
  <c r="BV236" i="28" s="1"/>
  <c r="BW236" i="28" s="1"/>
  <c r="BX236" i="28" s="1"/>
  <c r="BU267" i="28"/>
  <c r="BU239" i="28"/>
  <c r="BV239" i="28" s="1"/>
  <c r="BW239" i="28" s="1"/>
  <c r="BU235" i="28"/>
  <c r="BU240" i="28"/>
  <c r="BV240" i="28" s="1"/>
  <c r="BU238" i="28"/>
  <c r="BV238" i="28" s="1"/>
  <c r="BW238" i="28" s="1"/>
  <c r="BX238" i="28" s="1"/>
  <c r="BU258" i="28"/>
  <c r="BV258" i="28" s="1"/>
  <c r="BW258" i="28" s="1"/>
  <c r="BX258" i="28" s="1"/>
  <c r="BU260" i="28"/>
  <c r="BV260" i="28" s="1"/>
  <c r="BW260" i="28" s="1"/>
  <c r="BX260" i="28" s="1"/>
  <c r="BU257" i="28"/>
  <c r="BV257" i="28" s="1"/>
  <c r="BW257" i="28" s="1"/>
  <c r="BX257" i="28" s="1"/>
  <c r="BU210" i="28"/>
  <c r="BV210" i="28" s="1"/>
  <c r="BW210" i="28" s="1"/>
  <c r="BX210" i="28" s="1"/>
  <c r="BU266" i="28"/>
  <c r="BV266" i="28" s="1"/>
  <c r="BW266" i="28" s="1"/>
  <c r="BX266" i="28" s="1"/>
  <c r="BU218" i="28"/>
  <c r="BV218" i="28" s="1"/>
  <c r="BU217" i="28"/>
  <c r="BV217" i="28" s="1"/>
  <c r="BU216" i="28"/>
  <c r="BU220" i="28"/>
  <c r="BU219" i="28"/>
  <c r="BU215" i="28"/>
  <c r="BU256" i="28"/>
  <c r="BU209" i="28"/>
  <c r="BV209" i="28" s="1"/>
  <c r="BW209" i="28" s="1"/>
  <c r="BX209" i="28" s="1"/>
  <c r="BL87" i="29"/>
  <c r="BQ51" i="28"/>
  <c r="BL50" i="29"/>
  <c r="BN117" i="29"/>
  <c r="BN119" i="29" s="1"/>
  <c r="BM47" i="29"/>
  <c r="BB129" i="28"/>
  <c r="BA171" i="28"/>
  <c r="BB128" i="29"/>
  <c r="BB129" i="29" s="1"/>
  <c r="BB130" i="29" s="1"/>
  <c r="BV250" i="28"/>
  <c r="BV249" i="28"/>
  <c r="BV247" i="28"/>
  <c r="BV246" i="28"/>
  <c r="BV248" i="28"/>
  <c r="BU196" i="28"/>
  <c r="BV196" i="28" s="1"/>
  <c r="BW196" i="28" s="1"/>
  <c r="BX196" i="28" s="1"/>
  <c r="BP5" i="28"/>
  <c r="BP6" i="28"/>
  <c r="BQ2" i="28"/>
  <c r="BQ3" i="28" s="1"/>
  <c r="BP4" i="28"/>
  <c r="BV269" i="28"/>
  <c r="BW269" i="28" s="1"/>
  <c r="BX269" i="28" s="1"/>
  <c r="BU197" i="28"/>
  <c r="BV197" i="28" s="1"/>
  <c r="BW197" i="28" s="1"/>
  <c r="BX197" i="28" s="1"/>
  <c r="BU199" i="28"/>
  <c r="BV199" i="28" s="1"/>
  <c r="BW199" i="28" s="1"/>
  <c r="BX199" i="28" s="1"/>
  <c r="BU198" i="28"/>
  <c r="BV198" i="28" s="1"/>
  <c r="BW198" i="28" s="1"/>
  <c r="BX198" i="28" s="1"/>
  <c r="BU200" i="28"/>
  <c r="BV200" i="28" s="1"/>
  <c r="BW200" i="28" s="1"/>
  <c r="BX200" i="28" s="1"/>
  <c r="BU7" i="28"/>
  <c r="BT163" i="28"/>
  <c r="BV227" i="28"/>
  <c r="BW227" i="28" s="1"/>
  <c r="BX227" i="28" s="1"/>
  <c r="BU133" i="28"/>
  <c r="BU128" i="28"/>
  <c r="BN123" i="29"/>
  <c r="BN127" i="29" s="1"/>
  <c r="BP202" i="28" l="1"/>
  <c r="BP277" i="28" s="1"/>
  <c r="BW240" i="28"/>
  <c r="BX240" i="28" s="1"/>
  <c r="BZ240" i="28" s="1"/>
  <c r="CA240" i="28" s="1"/>
  <c r="F240" i="28" s="1"/>
  <c r="BX239" i="28"/>
  <c r="BZ239" i="28" s="1"/>
  <c r="CA239" i="28" s="1"/>
  <c r="F239" i="28" s="1"/>
  <c r="BW218" i="28"/>
  <c r="BX218" i="28" s="1"/>
  <c r="BZ218" i="28" s="1"/>
  <c r="CA218" i="28" s="1"/>
  <c r="F218" i="28" s="1"/>
  <c r="BW217" i="28"/>
  <c r="BX217" i="28" s="1"/>
  <c r="BQ106" i="28"/>
  <c r="BU107" i="28"/>
  <c r="BV219" i="28"/>
  <c r="BW219" i="28" s="1"/>
  <c r="BV220" i="28"/>
  <c r="BW220" i="28" s="1"/>
  <c r="BU187" i="28"/>
  <c r="BV185" i="28"/>
  <c r="BV230" i="28"/>
  <c r="BW230" i="28" s="1"/>
  <c r="BX230" i="28" s="1"/>
  <c r="BV237" i="28"/>
  <c r="BW237" i="28" s="1"/>
  <c r="BX237" i="28" s="1"/>
  <c r="BV267" i="28"/>
  <c r="BW267" i="28" s="1"/>
  <c r="BV208" i="28"/>
  <c r="BW208" i="28" s="1"/>
  <c r="BX208" i="28" s="1"/>
  <c r="BV259" i="28"/>
  <c r="BW259" i="28" s="1"/>
  <c r="BX259" i="28" s="1"/>
  <c r="BU163" i="28"/>
  <c r="BU221" i="28"/>
  <c r="BZ221" i="28" s="1"/>
  <c r="CA221" i="28" s="1"/>
  <c r="F221" i="28" s="1"/>
  <c r="BU201" i="28"/>
  <c r="BZ201" i="28" s="1"/>
  <c r="CA201" i="28" s="1"/>
  <c r="F201" i="28" s="1"/>
  <c r="BU271" i="28"/>
  <c r="BZ271" i="28" s="1"/>
  <c r="CA271" i="28" s="1"/>
  <c r="F271" i="28" s="1"/>
  <c r="BU211" i="28"/>
  <c r="BZ211" i="28" s="1"/>
  <c r="CA211" i="28" s="1"/>
  <c r="F211" i="28" s="1"/>
  <c r="BU231" i="28"/>
  <c r="BZ231" i="28" s="1"/>
  <c r="CA231" i="28" s="1"/>
  <c r="F231" i="28" s="1"/>
  <c r="BU241" i="28"/>
  <c r="BZ241" i="28" s="1"/>
  <c r="CA241" i="28" s="1"/>
  <c r="F241" i="28" s="1"/>
  <c r="BU251" i="28"/>
  <c r="BU275" i="28"/>
  <c r="BU276" i="28" s="1"/>
  <c r="BU261" i="28"/>
  <c r="BZ261" i="28" s="1"/>
  <c r="CA261" i="28" s="1"/>
  <c r="F261" i="28" s="1"/>
  <c r="BV256" i="28"/>
  <c r="BW256" i="28" s="1"/>
  <c r="BX256" i="28" s="1"/>
  <c r="BR195" i="28"/>
  <c r="BS195" i="28" s="1"/>
  <c r="BV245" i="28"/>
  <c r="BG189" i="28"/>
  <c r="BB39" i="29"/>
  <c r="BM50" i="29"/>
  <c r="BR54" i="28" s="1"/>
  <c r="BR51" i="28"/>
  <c r="BM87" i="29"/>
  <c r="BO117" i="29"/>
  <c r="BO119" i="29" s="1"/>
  <c r="BN47" i="29"/>
  <c r="BQ54" i="28"/>
  <c r="BC129" i="28"/>
  <c r="BB171" i="28"/>
  <c r="BA172" i="28" s="1"/>
  <c r="BC128" i="29"/>
  <c r="BC129" i="29" s="1"/>
  <c r="BQ202" i="28"/>
  <c r="BQ277" i="28" s="1"/>
  <c r="BQ4" i="28"/>
  <c r="BR2" i="28"/>
  <c r="BR3" i="28" s="1"/>
  <c r="BQ5" i="28"/>
  <c r="BQ6" i="28"/>
  <c r="BU161" i="28"/>
  <c r="BU162" i="28" s="1"/>
  <c r="BV215" i="28"/>
  <c r="BW215" i="28" s="1"/>
  <c r="P9" i="10"/>
  <c r="BV265" i="28"/>
  <c r="BW265" i="28" s="1"/>
  <c r="BX265" i="28" s="1"/>
  <c r="BO123" i="29"/>
  <c r="BO127" i="29" s="1"/>
  <c r="BZ217" i="28" l="1"/>
  <c r="CA217" i="28" s="1"/>
  <c r="F217" i="28" s="1"/>
  <c r="BX220" i="28"/>
  <c r="BZ220" i="28" s="1"/>
  <c r="CA220" i="28" s="1"/>
  <c r="F220" i="28" s="1"/>
  <c r="E107" i="28"/>
  <c r="E92" i="25" s="1"/>
  <c r="BZ107" i="28"/>
  <c r="BS106" i="28"/>
  <c r="BR106" i="28"/>
  <c r="BX219" i="28"/>
  <c r="BZ219" i="28" s="1"/>
  <c r="CA219" i="28" s="1"/>
  <c r="F219" i="28" s="1"/>
  <c r="BU222" i="28"/>
  <c r="BW185" i="28"/>
  <c r="BV187" i="28"/>
  <c r="BW272" i="28"/>
  <c r="BX267" i="28"/>
  <c r="BX272" i="28" s="1"/>
  <c r="BX215" i="28"/>
  <c r="BZ260" i="28"/>
  <c r="CA260" i="28" s="1"/>
  <c r="F260" i="28" s="1"/>
  <c r="BZ237" i="28"/>
  <c r="CA237" i="28" s="1"/>
  <c r="F237" i="28" s="1"/>
  <c r="BZ206" i="28"/>
  <c r="CA206" i="28" s="1"/>
  <c r="F206" i="28" s="1"/>
  <c r="BZ268" i="28"/>
  <c r="CA268" i="28" s="1"/>
  <c r="F268" i="28" s="1"/>
  <c r="BZ200" i="28"/>
  <c r="CA200" i="28" s="1"/>
  <c r="F200" i="28" s="1"/>
  <c r="BZ199" i="28"/>
  <c r="CA199" i="28" s="1"/>
  <c r="F199" i="28" s="1"/>
  <c r="BZ197" i="28"/>
  <c r="CA197" i="28" s="1"/>
  <c r="F197" i="28" s="1"/>
  <c r="BU212" i="28"/>
  <c r="BU262" i="28"/>
  <c r="BU252" i="28"/>
  <c r="BZ251" i="28"/>
  <c r="CA251" i="28" s="1"/>
  <c r="F251" i="28" s="1"/>
  <c r="BU242" i="28"/>
  <c r="BU272" i="28"/>
  <c r="BU232" i="28"/>
  <c r="BZ228" i="28"/>
  <c r="CA228" i="28" s="1"/>
  <c r="F228" i="28" s="1"/>
  <c r="BZ238" i="28"/>
  <c r="CA238" i="28" s="1"/>
  <c r="F238" i="28" s="1"/>
  <c r="BR202" i="28"/>
  <c r="BR277" i="28" s="1"/>
  <c r="BN87" i="29"/>
  <c r="BN50" i="29"/>
  <c r="BS51" i="28"/>
  <c r="BP117" i="29"/>
  <c r="BQ117" i="29" s="1"/>
  <c r="BO47" i="29"/>
  <c r="BD129" i="28"/>
  <c r="BC171" i="28"/>
  <c r="BA173" i="28" s="1"/>
  <c r="BH189" i="28"/>
  <c r="BC39" i="29"/>
  <c r="BC130" i="29"/>
  <c r="BS202" i="28"/>
  <c r="BS277" i="28" s="1"/>
  <c r="BT195" i="28"/>
  <c r="BS2" i="28"/>
  <c r="BS3" i="28" s="1"/>
  <c r="BR5" i="28"/>
  <c r="BR4" i="28"/>
  <c r="BR6" i="28"/>
  <c r="AC79" i="25"/>
  <c r="BP123" i="29"/>
  <c r="BQ123" i="29" s="1"/>
  <c r="BV272" i="28"/>
  <c r="CA107" i="28" l="1"/>
  <c r="F107" i="28" s="1"/>
  <c r="BZ267" i="28"/>
  <c r="CA267" i="28" s="1"/>
  <c r="F267" i="28" s="1"/>
  <c r="BT106" i="28"/>
  <c r="BQ119" i="29"/>
  <c r="BR117" i="29"/>
  <c r="BX185" i="28"/>
  <c r="BX187" i="28" s="1"/>
  <c r="BW187" i="28"/>
  <c r="BR123" i="29"/>
  <c r="BR127" i="29" s="1"/>
  <c r="BR129" i="29" s="1"/>
  <c r="BQ127" i="29"/>
  <c r="BZ257" i="28"/>
  <c r="CA257" i="28" s="1"/>
  <c r="F257" i="28" s="1"/>
  <c r="BZ229" i="28"/>
  <c r="CA229" i="28" s="1"/>
  <c r="F229" i="28" s="1"/>
  <c r="BZ269" i="28"/>
  <c r="CA269" i="28" s="1"/>
  <c r="F269" i="28" s="1"/>
  <c r="BZ270" i="28"/>
  <c r="CA270" i="28" s="1"/>
  <c r="F270" i="28" s="1"/>
  <c r="BZ198" i="28"/>
  <c r="CA198" i="28" s="1"/>
  <c r="F198" i="28" s="1"/>
  <c r="BZ208" i="28"/>
  <c r="CA208" i="28" s="1"/>
  <c r="F208" i="28" s="1"/>
  <c r="BZ210" i="28"/>
  <c r="CA210" i="28" s="1"/>
  <c r="F210" i="28" s="1"/>
  <c r="BZ196" i="28"/>
  <c r="CA196" i="28" s="1"/>
  <c r="F196" i="28" s="1"/>
  <c r="BZ207" i="28"/>
  <c r="CA207" i="28" s="1"/>
  <c r="F207" i="28" s="1"/>
  <c r="BA156" i="28"/>
  <c r="BA102" i="28" s="1"/>
  <c r="BC174" i="28"/>
  <c r="BZ266" i="28"/>
  <c r="CA266" i="28" s="1"/>
  <c r="F266" i="28" s="1"/>
  <c r="BZ258" i="28"/>
  <c r="CA258" i="28" s="1"/>
  <c r="F258" i="28" s="1"/>
  <c r="BT202" i="28"/>
  <c r="BT277" i="28" s="1"/>
  <c r="BP47" i="29"/>
  <c r="BU51" i="28" s="1"/>
  <c r="BP119" i="29"/>
  <c r="D117" i="29"/>
  <c r="BS54" i="28"/>
  <c r="BO87" i="29"/>
  <c r="BT51" i="28"/>
  <c r="BO50" i="29"/>
  <c r="BT54" i="28" s="1"/>
  <c r="BE129" i="28"/>
  <c r="BD171" i="28"/>
  <c r="BP127" i="29"/>
  <c r="BD128" i="29"/>
  <c r="BD129" i="29" s="1"/>
  <c r="BD130" i="29" s="1"/>
  <c r="BU195" i="28"/>
  <c r="BV216" i="28"/>
  <c r="BV255" i="28"/>
  <c r="BW255" i="28" s="1"/>
  <c r="BV235" i="28"/>
  <c r="BW235" i="28" s="1"/>
  <c r="BS6" i="28"/>
  <c r="BT2" i="28"/>
  <c r="BT3" i="28" s="1"/>
  <c r="BS5" i="28"/>
  <c r="BS4" i="28"/>
  <c r="AD79" i="25"/>
  <c r="BU106" i="28" l="1"/>
  <c r="BV222" i="28"/>
  <c r="BW216" i="28"/>
  <c r="BW222" i="28" s="1"/>
  <c r="D47" i="29"/>
  <c r="BQ47" i="29"/>
  <c r="BV51" i="28" s="1"/>
  <c r="BW189" i="28"/>
  <c r="BR39" i="29"/>
  <c r="BW43" i="28" s="1"/>
  <c r="BR119" i="29"/>
  <c r="BS117" i="29"/>
  <c r="BS119" i="29" s="1"/>
  <c r="BP50" i="29"/>
  <c r="D50" i="29" s="1"/>
  <c r="BX255" i="28"/>
  <c r="BX262" i="28" s="1"/>
  <c r="BW262" i="28"/>
  <c r="BX235" i="28"/>
  <c r="BX242" i="28" s="1"/>
  <c r="BW242" i="28"/>
  <c r="BZ256" i="28"/>
  <c r="CA256" i="28" s="1"/>
  <c r="F256" i="28" s="1"/>
  <c r="BZ259" i="28"/>
  <c r="CA259" i="28" s="1"/>
  <c r="F259" i="28" s="1"/>
  <c r="BC172" i="28"/>
  <c r="BC156" i="28" s="1"/>
  <c r="BC102" i="28" s="1"/>
  <c r="BZ226" i="28"/>
  <c r="CA226" i="28" s="1"/>
  <c r="F226" i="28" s="1"/>
  <c r="BZ236" i="28"/>
  <c r="CA236" i="28" s="1"/>
  <c r="F236" i="28" s="1"/>
  <c r="BZ227" i="28"/>
  <c r="CA227" i="28" s="1"/>
  <c r="F227" i="28" s="1"/>
  <c r="BZ51" i="28"/>
  <c r="CA51" i="28" s="1"/>
  <c r="F51" i="28" s="1"/>
  <c r="BP87" i="29"/>
  <c r="BI189" i="28"/>
  <c r="BD39" i="29"/>
  <c r="BF129" i="28"/>
  <c r="BE171" i="28"/>
  <c r="BV205" i="28"/>
  <c r="BW205" i="28" s="1"/>
  <c r="BE128" i="29"/>
  <c r="BE129" i="29" s="1"/>
  <c r="BV195" i="28"/>
  <c r="BW195" i="28" s="1"/>
  <c r="BU202" i="28"/>
  <c r="BU277" i="28" s="1"/>
  <c r="BV262" i="28"/>
  <c r="BV242" i="28"/>
  <c r="BT4" i="28"/>
  <c r="BT6" i="28"/>
  <c r="BU2" i="28"/>
  <c r="BU3" i="28" s="1"/>
  <c r="BT5" i="28"/>
  <c r="BX216" i="28" l="1"/>
  <c r="BU54" i="28"/>
  <c r="BQ50" i="29"/>
  <c r="BV54" i="28" s="1"/>
  <c r="D87" i="29"/>
  <c r="BQ87" i="29"/>
  <c r="BW202" i="28"/>
  <c r="BX195" i="28"/>
  <c r="BX202" i="28" s="1"/>
  <c r="BX205" i="28"/>
  <c r="BX212" i="28" s="1"/>
  <c r="BW212" i="28"/>
  <c r="BZ230" i="28"/>
  <c r="CA230" i="28" s="1"/>
  <c r="F230" i="28" s="1"/>
  <c r="BZ209" i="28"/>
  <c r="CA209" i="28" s="1"/>
  <c r="F209" i="28" s="1"/>
  <c r="BV202" i="28"/>
  <c r="BG129" i="28"/>
  <c r="BF171" i="28"/>
  <c r="BE172" i="28" s="1"/>
  <c r="BV212" i="28"/>
  <c r="BJ189" i="28"/>
  <c r="BE39" i="29"/>
  <c r="BE130" i="29"/>
  <c r="BU5" i="28"/>
  <c r="BU4" i="28"/>
  <c r="BU6" i="28"/>
  <c r="BX222" i="28" l="1"/>
  <c r="BZ222" i="28" s="1"/>
  <c r="CA222" i="28" s="1"/>
  <c r="F222" i="28" s="1"/>
  <c r="BZ216" i="28"/>
  <c r="CA216" i="28" s="1"/>
  <c r="F216" i="28" s="1"/>
  <c r="BZ54" i="28"/>
  <c r="CA54" i="28" s="1"/>
  <c r="F54" i="28" s="1"/>
  <c r="BF174" i="28"/>
  <c r="BD173" i="28"/>
  <c r="BZ215" i="28"/>
  <c r="CA215" i="28" s="1"/>
  <c r="F215" i="28" s="1"/>
  <c r="BH129" i="28"/>
  <c r="BG171" i="28"/>
  <c r="BF128" i="29"/>
  <c r="BF129" i="29" s="1"/>
  <c r="BF130" i="29" s="1"/>
  <c r="BZ265" i="28" l="1"/>
  <c r="CA265" i="28" s="1"/>
  <c r="F265" i="28" s="1"/>
  <c r="BZ272" i="28"/>
  <c r="CA272" i="28" s="1"/>
  <c r="F272" i="28" s="1"/>
  <c r="BZ262" i="28"/>
  <c r="CA262" i="28" s="1"/>
  <c r="F262" i="28" s="1"/>
  <c r="BZ255" i="28"/>
  <c r="CA255" i="28" s="1"/>
  <c r="F255" i="28" s="1"/>
  <c r="BK189" i="28"/>
  <c r="BF39" i="29"/>
  <c r="BI129" i="28"/>
  <c r="BH171" i="28"/>
  <c r="BG128" i="29"/>
  <c r="BG129" i="29" s="1"/>
  <c r="BZ242" i="28" l="1"/>
  <c r="CA242" i="28" s="1"/>
  <c r="F242" i="28" s="1"/>
  <c r="BG172" i="28"/>
  <c r="BZ235" i="28"/>
  <c r="CA235" i="28" s="1"/>
  <c r="F235" i="28" s="1"/>
  <c r="BJ129" i="28"/>
  <c r="BI171" i="28"/>
  <c r="BL189" i="28"/>
  <c r="BG39" i="29"/>
  <c r="BG130" i="29"/>
  <c r="BG173" i="28" l="1"/>
  <c r="BZ212" i="28"/>
  <c r="CA212" i="28" s="1"/>
  <c r="F212" i="28" s="1"/>
  <c r="BZ205" i="28"/>
  <c r="CA205" i="28" s="1"/>
  <c r="F205" i="28" s="1"/>
  <c r="BI174" i="28"/>
  <c r="BV225" i="28"/>
  <c r="BW225" i="28" s="1"/>
  <c r="BK129" i="28"/>
  <c r="BJ171" i="28"/>
  <c r="BH128" i="29"/>
  <c r="BH129" i="29" s="1"/>
  <c r="BH130" i="29" s="1"/>
  <c r="BX225" i="28" l="1"/>
  <c r="BX232" i="28" s="1"/>
  <c r="BX277" i="28" s="1"/>
  <c r="BX148" i="28" s="1"/>
  <c r="BW232" i="28"/>
  <c r="BW277" i="28" s="1"/>
  <c r="BW148" i="28" s="1"/>
  <c r="BI172" i="28"/>
  <c r="BZ195" i="28"/>
  <c r="CA195" i="28" s="1"/>
  <c r="F195" i="28" s="1"/>
  <c r="BM189" i="28"/>
  <c r="BH39" i="29"/>
  <c r="BV232" i="28"/>
  <c r="BL129" i="28"/>
  <c r="BK171" i="28"/>
  <c r="BI128" i="29"/>
  <c r="BI129" i="29" s="1"/>
  <c r="BZ202" i="28" l="1"/>
  <c r="CA202" i="28" s="1"/>
  <c r="F202" i="28" s="1"/>
  <c r="BM129" i="28"/>
  <c r="BL171" i="28"/>
  <c r="BK172" i="28" s="1"/>
  <c r="BN189" i="28"/>
  <c r="BI39" i="29"/>
  <c r="BI130" i="29"/>
  <c r="BZ248" i="28"/>
  <c r="CA248" i="28" s="1"/>
  <c r="F248" i="28" s="1"/>
  <c r="BZ247" i="28"/>
  <c r="CA247" i="28" s="1"/>
  <c r="F247" i="28" s="1"/>
  <c r="M187" i="28"/>
  <c r="M189" i="28" s="1"/>
  <c r="N187" i="28"/>
  <c r="O187" i="28"/>
  <c r="P187" i="28"/>
  <c r="Q187" i="28"/>
  <c r="R187" i="28"/>
  <c r="S187" i="28"/>
  <c r="T187" i="28"/>
  <c r="U187" i="28"/>
  <c r="V187" i="28"/>
  <c r="W187" i="28"/>
  <c r="X187" i="28"/>
  <c r="Y187" i="28"/>
  <c r="Z187" i="28"/>
  <c r="AA187" i="28"/>
  <c r="AB187" i="28"/>
  <c r="AC187" i="28"/>
  <c r="AD187" i="28"/>
  <c r="AE187" i="28"/>
  <c r="AF187" i="28"/>
  <c r="AG187" i="28"/>
  <c r="AH187" i="28"/>
  <c r="AI187" i="28"/>
  <c r="AJ187" i="28"/>
  <c r="AK187" i="28"/>
  <c r="AL187" i="28"/>
  <c r="AM187" i="28"/>
  <c r="AN187" i="28"/>
  <c r="AO187" i="28"/>
  <c r="AP187" i="28"/>
  <c r="AQ187" i="28"/>
  <c r="AR187" i="28"/>
  <c r="AS187" i="28"/>
  <c r="AT187" i="28"/>
  <c r="AU187" i="28"/>
  <c r="AV187" i="28"/>
  <c r="AW187" i="28"/>
  <c r="AX187" i="28"/>
  <c r="AY187" i="28"/>
  <c r="AZ187" i="28"/>
  <c r="BA187" i="28"/>
  <c r="BB187" i="28"/>
  <c r="BC187" i="28"/>
  <c r="BD187" i="28"/>
  <c r="BE187" i="28"/>
  <c r="AC27" i="25"/>
  <c r="CB43" i="28" s="1"/>
  <c r="BL174" i="28" l="1"/>
  <c r="BJ173" i="28"/>
  <c r="BN129" i="28"/>
  <c r="BM171" i="28"/>
  <c r="BJ128" i="29"/>
  <c r="BJ129" i="29" s="1"/>
  <c r="BJ130" i="29" s="1"/>
  <c r="BZ250" i="28"/>
  <c r="CA250" i="28" s="1"/>
  <c r="F250" i="28" s="1"/>
  <c r="BV252" i="28"/>
  <c r="BZ246" i="28"/>
  <c r="CA246" i="28" s="1"/>
  <c r="F246" i="28" s="1"/>
  <c r="BZ249" i="28"/>
  <c r="CA249" i="28" s="1"/>
  <c r="F249" i="28" s="1"/>
  <c r="M190" i="28"/>
  <c r="N188" i="28" s="1"/>
  <c r="AC33" i="25"/>
  <c r="AD27" i="25"/>
  <c r="U28" i="25"/>
  <c r="BJ39" i="29" l="1"/>
  <c r="BO189" i="28"/>
  <c r="BO129" i="28"/>
  <c r="BN171" i="28"/>
  <c r="BM172" i="28" s="1"/>
  <c r="BK128" i="29"/>
  <c r="BK129" i="29" s="1"/>
  <c r="CC43" i="28"/>
  <c r="CD43" i="28" s="1"/>
  <c r="CB39" i="28" s="1"/>
  <c r="AF7" i="9"/>
  <c r="BZ245" i="28"/>
  <c r="CA245" i="28" s="1"/>
  <c r="F245" i="28" s="1"/>
  <c r="N190" i="28"/>
  <c r="O190" i="28" s="1"/>
  <c r="BZ275" i="28"/>
  <c r="CA275" i="28" s="1"/>
  <c r="F275" i="28" s="1"/>
  <c r="AF23" i="9"/>
  <c r="AF19" i="9"/>
  <c r="AF15" i="9"/>
  <c r="AF11" i="9"/>
  <c r="AF9" i="9"/>
  <c r="AF16" i="9"/>
  <c r="AF12" i="9"/>
  <c r="AF22" i="9"/>
  <c r="AF18" i="9"/>
  <c r="AF14" i="9"/>
  <c r="AF10" i="9"/>
  <c r="AF21" i="9"/>
  <c r="AF17" i="9"/>
  <c r="AF13" i="9"/>
  <c r="AF20" i="9"/>
  <c r="AF8" i="9"/>
  <c r="AD33" i="25"/>
  <c r="D53" i="9"/>
  <c r="V28" i="25"/>
  <c r="BZ225" i="28" l="1"/>
  <c r="CA225" i="28" s="1"/>
  <c r="F225" i="28" s="1"/>
  <c r="BZ232" i="28"/>
  <c r="CA232" i="28" s="1"/>
  <c r="F232" i="28" s="1"/>
  <c r="BP129" i="28"/>
  <c r="BO171" i="28"/>
  <c r="BP189" i="28"/>
  <c r="BK39" i="29"/>
  <c r="BK130" i="29"/>
  <c r="BZ252" i="28"/>
  <c r="CA252" i="28" s="1"/>
  <c r="F252" i="28" s="1"/>
  <c r="O188" i="28"/>
  <c r="CC39" i="28"/>
  <c r="CD39" i="28" s="1"/>
  <c r="P188" i="28"/>
  <c r="P190" i="28"/>
  <c r="BO174" i="28" l="1"/>
  <c r="BM173" i="28"/>
  <c r="BQ129" i="28"/>
  <c r="BP171" i="28"/>
  <c r="BL128" i="29"/>
  <c r="BL129" i="29" s="1"/>
  <c r="BL130" i="29" s="1"/>
  <c r="Q188" i="28"/>
  <c r="Q190" i="28"/>
  <c r="BO172" i="28" l="1"/>
  <c r="BL39" i="29"/>
  <c r="BQ189" i="28"/>
  <c r="BR129" i="28"/>
  <c r="BQ171" i="28"/>
  <c r="BM128" i="29"/>
  <c r="BM129" i="29" s="1"/>
  <c r="R188" i="28"/>
  <c r="R190" i="28"/>
  <c r="BS129" i="28" l="1"/>
  <c r="BR171" i="28"/>
  <c r="BQ172" i="28" s="1"/>
  <c r="BR189" i="28"/>
  <c r="BM39" i="29"/>
  <c r="BM130" i="29"/>
  <c r="S190" i="28"/>
  <c r="S188" i="28"/>
  <c r="BR174" i="28" l="1"/>
  <c r="BP173" i="28"/>
  <c r="BT129" i="28"/>
  <c r="BS171" i="28"/>
  <c r="BN128" i="29"/>
  <c r="BN129" i="29" s="1"/>
  <c r="BN130" i="29" s="1"/>
  <c r="T188" i="28"/>
  <c r="T190" i="28"/>
  <c r="BS189" i="28" l="1"/>
  <c r="BN39" i="29"/>
  <c r="BU129" i="28"/>
  <c r="BT171" i="28"/>
  <c r="BO128" i="29"/>
  <c r="BO129" i="29" s="1"/>
  <c r="U188" i="28"/>
  <c r="U190" i="28"/>
  <c r="BS172" i="28" l="1"/>
  <c r="BU171" i="28"/>
  <c r="BU172" i="28" s="1"/>
  <c r="BT189" i="28"/>
  <c r="BO39" i="29"/>
  <c r="BO130" i="29"/>
  <c r="V188" i="28"/>
  <c r="V190" i="28"/>
  <c r="BS173" i="28" l="1"/>
  <c r="BU174" i="28"/>
  <c r="BP128" i="29"/>
  <c r="BP129" i="29" s="1"/>
  <c r="W190" i="28"/>
  <c r="W188" i="28"/>
  <c r="BG156" i="28" l="1"/>
  <c r="BG102" i="28" s="1"/>
  <c r="BK156" i="28"/>
  <c r="BK102" i="28" s="1"/>
  <c r="BN156" i="28"/>
  <c r="BN102" i="28" s="1"/>
  <c r="BP156" i="28"/>
  <c r="BP102" i="28" s="1"/>
  <c r="BL156" i="28"/>
  <c r="BL102" i="28" s="1"/>
  <c r="BH156" i="28"/>
  <c r="BH102" i="28" s="1"/>
  <c r="BQ156" i="28"/>
  <c r="BQ102" i="28" s="1"/>
  <c r="BJ156" i="28"/>
  <c r="BJ102" i="28" s="1"/>
  <c r="BD156" i="28"/>
  <c r="BE156" i="28"/>
  <c r="BE102" i="28" s="1"/>
  <c r="BR156" i="28"/>
  <c r="BR102" i="28" s="1"/>
  <c r="BF156" i="28"/>
  <c r="BF102" i="28" s="1"/>
  <c r="BT156" i="28"/>
  <c r="BT102" i="28" s="1"/>
  <c r="BM156" i="28"/>
  <c r="BM102" i="28" s="1"/>
  <c r="BU156" i="28"/>
  <c r="BU102" i="28" s="1"/>
  <c r="BS156" i="28"/>
  <c r="BS102" i="28" s="1"/>
  <c r="BO156" i="28"/>
  <c r="BO102" i="28" s="1"/>
  <c r="BI156" i="28"/>
  <c r="BI102" i="28" s="1"/>
  <c r="BU189" i="28"/>
  <c r="BP39" i="29"/>
  <c r="D39" i="29" s="1"/>
  <c r="D129" i="29"/>
  <c r="BP130" i="29"/>
  <c r="X188" i="28"/>
  <c r="X190" i="28"/>
  <c r="BQ128" i="29" l="1"/>
  <c r="BQ129" i="29" s="1"/>
  <c r="BD102" i="28"/>
  <c r="Y188" i="28"/>
  <c r="Y190" i="28"/>
  <c r="BV189" i="28" l="1"/>
  <c r="BQ39" i="29"/>
  <c r="BV43" i="28" s="1"/>
  <c r="BQ130" i="29"/>
  <c r="Z188" i="28"/>
  <c r="Z190" i="28"/>
  <c r="BR130" i="29" l="1"/>
  <c r="BS129" i="29" s="1"/>
  <c r="BR128" i="29"/>
  <c r="AA188" i="28"/>
  <c r="AA190" i="28"/>
  <c r="BS39" i="29" l="1"/>
  <c r="BX189" i="28"/>
  <c r="AB188" i="28"/>
  <c r="AB190" i="28"/>
  <c r="AC188" i="28" l="1"/>
  <c r="AC190" i="28"/>
  <c r="AD188" i="28" l="1"/>
  <c r="AD190" i="28"/>
  <c r="AE190" i="28" l="1"/>
  <c r="AE188" i="28"/>
  <c r="AF188" i="28" l="1"/>
  <c r="AF190" i="28"/>
  <c r="AG188" i="28" l="1"/>
  <c r="AG190" i="28"/>
  <c r="AH188" i="28" l="1"/>
  <c r="AH190" i="28"/>
  <c r="AI188" i="28" l="1"/>
  <c r="AI190" i="28"/>
  <c r="AJ188" i="28" l="1"/>
  <c r="AJ190" i="28"/>
  <c r="AK188" i="28" l="1"/>
  <c r="AK190" i="28"/>
  <c r="AL188" i="28" l="1"/>
  <c r="AL190" i="28"/>
  <c r="AM190" i="28" l="1"/>
  <c r="AM188" i="28"/>
  <c r="AN188" i="28" l="1"/>
  <c r="AN190" i="28"/>
  <c r="AO188" i="28" l="1"/>
  <c r="AO190" i="28"/>
  <c r="AP188" i="28" l="1"/>
  <c r="AP190" i="28"/>
  <c r="AQ188" i="28" l="1"/>
  <c r="AQ190" i="28"/>
  <c r="AR188" i="28" l="1"/>
  <c r="AR190" i="28"/>
  <c r="AS188" i="28" l="1"/>
  <c r="AS190" i="28"/>
  <c r="AT188" i="28" l="1"/>
  <c r="AT190" i="28"/>
  <c r="AU188" i="28" l="1"/>
  <c r="AU190" i="28"/>
  <c r="AV188" i="28" l="1"/>
  <c r="AV190" i="28"/>
  <c r="AW188" i="28" l="1"/>
  <c r="AW190" i="28"/>
  <c r="AX188" i="28" l="1"/>
  <c r="AX190" i="28"/>
  <c r="AY190" i="28" l="1"/>
  <c r="AY188" i="28"/>
  <c r="AZ188" i="28" l="1"/>
  <c r="AZ190" i="28"/>
  <c r="BA188" i="28" l="1"/>
  <c r="BA190" i="28"/>
  <c r="BB188" i="28" l="1"/>
  <c r="BB190" i="28"/>
  <c r="BC190" i="28" l="1"/>
  <c r="BC188" i="28"/>
  <c r="BD188" i="28" l="1"/>
  <c r="BD190" i="28"/>
  <c r="BE188" i="28" l="1"/>
  <c r="BE190" i="28"/>
  <c r="BF188" i="28" l="1"/>
  <c r="BF190" i="28"/>
  <c r="BG188" i="28" l="1"/>
  <c r="BG190" i="28"/>
  <c r="BH188" i="28" l="1"/>
  <c r="BH190" i="28"/>
  <c r="BI188" i="28" l="1"/>
  <c r="BI190" i="28"/>
  <c r="BJ188" i="28" l="1"/>
  <c r="BJ190" i="28"/>
  <c r="BK188" i="28" l="1"/>
  <c r="BK190" i="28"/>
  <c r="BL188" i="28" l="1"/>
  <c r="BL190" i="28"/>
  <c r="BM188" i="28" l="1"/>
  <c r="BM190" i="28"/>
  <c r="BN188" i="28" l="1"/>
  <c r="BN190" i="28"/>
  <c r="BO188" i="28" l="1"/>
  <c r="BO190" i="28"/>
  <c r="BP188" i="28" l="1"/>
  <c r="BP190" i="28"/>
  <c r="BQ188" i="28" l="1"/>
  <c r="BQ190" i="28"/>
  <c r="BR188" i="28" l="1"/>
  <c r="BR190" i="28"/>
  <c r="BS188" i="28" l="1"/>
  <c r="BS190" i="28"/>
  <c r="BT188" i="28" l="1"/>
  <c r="BT190" i="28"/>
  <c r="BU188" i="28" l="1"/>
  <c r="BU190" i="28"/>
  <c r="BV188" i="28" l="1"/>
  <c r="BV190" i="28"/>
  <c r="BW188" i="28" l="1"/>
  <c r="BW190" i="28"/>
  <c r="BV276" i="28"/>
  <c r="BV277" i="28" s="1"/>
  <c r="BZ274" i="28"/>
  <c r="CA274" i="28" s="1"/>
  <c r="F274" i="28" s="1"/>
  <c r="BX188" i="28" l="1"/>
  <c r="BX190" i="28"/>
  <c r="BZ276" i="28"/>
  <c r="CA276" i="28" s="1"/>
  <c r="F276" i="28" s="1"/>
  <c r="BZ277" i="28" l="1"/>
  <c r="CA277" i="28" s="1"/>
  <c r="F277" i="28" s="1"/>
  <c r="G54" i="25" l="1"/>
  <c r="F60" i="25"/>
  <c r="AC54" i="25" l="1"/>
  <c r="AD54" i="25" l="1"/>
  <c r="G115" i="28" l="1"/>
  <c r="G116" i="28" s="1"/>
  <c r="H116" i="28" l="1"/>
  <c r="I116" i="28" s="1"/>
  <c r="BZ106" i="28" l="1"/>
  <c r="E106" i="28"/>
  <c r="E91" i="25" s="1"/>
  <c r="AK31" i="25" l="1"/>
  <c r="AL31" i="25" s="1"/>
  <c r="AL32" i="25" s="1"/>
  <c r="G16" i="35"/>
  <c r="G91" i="25"/>
  <c r="CA106" i="28"/>
  <c r="F106" i="28" s="1"/>
  <c r="AA91" i="25"/>
  <c r="H16" i="35" l="1"/>
  <c r="H17" i="35" s="1"/>
  <c r="G17" i="35"/>
  <c r="AK32" i="25"/>
  <c r="AC91" i="25"/>
  <c r="AD91" i="25" s="1"/>
  <c r="E109" i="28" l="1"/>
  <c r="BZ109" i="28"/>
  <c r="AA92" i="25" l="1"/>
  <c r="G92" i="25"/>
  <c r="CA109" i="28"/>
  <c r="F109" i="28" s="1"/>
  <c r="AC92" i="25" l="1"/>
  <c r="AD92" i="25" l="1"/>
  <c r="E81" i="25" l="1"/>
  <c r="G74" i="25"/>
  <c r="AK34" i="25"/>
  <c r="AL34" i="25" s="1"/>
  <c r="P10" i="10"/>
  <c r="R18" i="10" s="1"/>
  <c r="AA74" i="25"/>
  <c r="AA81" i="25" s="1"/>
  <c r="K74" i="25"/>
  <c r="E89" i="28"/>
  <c r="BV89" i="28" l="1"/>
  <c r="BW89" i="28"/>
  <c r="BX89" i="28"/>
  <c r="BN89" i="28"/>
  <c r="AD89" i="28"/>
  <c r="BA89" i="28"/>
  <c r="L89" i="28"/>
  <c r="AT89" i="28"/>
  <c r="AK89" i="28"/>
  <c r="AR89" i="28"/>
  <c r="N89" i="28"/>
  <c r="BL89" i="28"/>
  <c r="AY89" i="28"/>
  <c r="BU89" i="28"/>
  <c r="AJ89" i="28"/>
  <c r="Q89" i="28"/>
  <c r="AO89" i="28"/>
  <c r="BK89" i="28"/>
  <c r="T89" i="28"/>
  <c r="AQ89" i="28"/>
  <c r="P89" i="28"/>
  <c r="Z89" i="28"/>
  <c r="BE89" i="28"/>
  <c r="Y89" i="28"/>
  <c r="AI89" i="28"/>
  <c r="BF89" i="28"/>
  <c r="AA89" i="28"/>
  <c r="AE89" i="28"/>
  <c r="AG89" i="28"/>
  <c r="BQ89" i="28"/>
  <c r="AM89" i="28"/>
  <c r="BH89" i="28"/>
  <c r="BS89" i="28"/>
  <c r="AC89" i="28"/>
  <c r="AZ89" i="28"/>
  <c r="BO89" i="28"/>
  <c r="S89" i="28"/>
  <c r="BT89" i="28"/>
  <c r="AF89" i="28"/>
  <c r="X89" i="28"/>
  <c r="BB89" i="28"/>
  <c r="BM89" i="28"/>
  <c r="V89" i="28"/>
  <c r="AN89" i="28"/>
  <c r="BJ89" i="28"/>
  <c r="R89" i="28"/>
  <c r="BD89" i="28"/>
  <c r="M89" i="28"/>
  <c r="AX89" i="28"/>
  <c r="AP89" i="28"/>
  <c r="AU89" i="28"/>
  <c r="BR89" i="28"/>
  <c r="AB89" i="28"/>
  <c r="AW89" i="28"/>
  <c r="BI89" i="28"/>
  <c r="BP89" i="28"/>
  <c r="U89" i="28"/>
  <c r="G81" i="25"/>
  <c r="BC89" i="28"/>
  <c r="K89" i="28"/>
  <c r="AH89" i="28"/>
  <c r="S38" i="25"/>
  <c r="O89" i="28"/>
  <c r="AS89" i="28"/>
  <c r="BG89" i="28"/>
  <c r="AL89" i="28"/>
  <c r="AV89" i="28"/>
  <c r="AC74" i="25"/>
  <c r="S37" i="25"/>
  <c r="J89" i="28"/>
  <c r="W89" i="28"/>
  <c r="C118" i="25"/>
  <c r="U37" i="25" l="1"/>
  <c r="AC81" i="25"/>
  <c r="U38" i="25" s="1"/>
  <c r="V38" i="25" s="1"/>
  <c r="AD74" i="25"/>
  <c r="BZ89" i="28"/>
  <c r="CA89" i="28" s="1"/>
  <c r="F89" i="28" s="1"/>
  <c r="AD81" i="25" l="1"/>
  <c r="V37" i="25"/>
  <c r="E42" i="25" l="1"/>
  <c r="AA42" i="25" l="1"/>
  <c r="E58" i="28"/>
  <c r="E52" i="25"/>
  <c r="G42" i="25"/>
  <c r="BV58" i="28" l="1"/>
  <c r="BW58" i="28"/>
  <c r="BX58" i="28"/>
  <c r="G52" i="25"/>
  <c r="C115" i="25"/>
  <c r="R58" i="28"/>
  <c r="BO58" i="28"/>
  <c r="BK58" i="28"/>
  <c r="BQ58" i="28"/>
  <c r="AB58" i="28"/>
  <c r="AF58" i="28"/>
  <c r="AE58" i="28"/>
  <c r="J58" i="28"/>
  <c r="N58" i="28"/>
  <c r="X58" i="28"/>
  <c r="AS58" i="28"/>
  <c r="AG58" i="28"/>
  <c r="AX58" i="28"/>
  <c r="K58" i="28"/>
  <c r="BH58" i="28"/>
  <c r="O58" i="28"/>
  <c r="T58" i="28"/>
  <c r="BA58" i="28"/>
  <c r="M58" i="28"/>
  <c r="BC58" i="28"/>
  <c r="BB58" i="28"/>
  <c r="BG58" i="28"/>
  <c r="W58" i="28"/>
  <c r="AY58" i="28"/>
  <c r="AP58" i="28"/>
  <c r="AT58" i="28"/>
  <c r="BE58" i="28"/>
  <c r="BI58" i="28"/>
  <c r="Q58" i="28"/>
  <c r="AW58" i="28"/>
  <c r="AZ58" i="28"/>
  <c r="Y58" i="28"/>
  <c r="AN58" i="28"/>
  <c r="U58" i="28"/>
  <c r="BS58" i="28"/>
  <c r="BD58" i="28"/>
  <c r="AO58" i="28"/>
  <c r="AL58" i="28"/>
  <c r="AJ58" i="28"/>
  <c r="BP58" i="28"/>
  <c r="BM58" i="28"/>
  <c r="AV58" i="28"/>
  <c r="AQ58" i="28"/>
  <c r="AH58" i="28"/>
  <c r="BU58" i="28"/>
  <c r="BR58" i="28"/>
  <c r="AA58" i="28"/>
  <c r="L58" i="28"/>
  <c r="V58" i="28"/>
  <c r="S58" i="28"/>
  <c r="AU58" i="28"/>
  <c r="AC58" i="28"/>
  <c r="AI58" i="28"/>
  <c r="AD58" i="28"/>
  <c r="BF58" i="28"/>
  <c r="Z58" i="28"/>
  <c r="BT58" i="28"/>
  <c r="BL58" i="28"/>
  <c r="BJ58" i="28"/>
  <c r="AR58" i="28"/>
  <c r="P58" i="28"/>
  <c r="AM58" i="28"/>
  <c r="AK58" i="28"/>
  <c r="BN58" i="28"/>
  <c r="AC42" i="25"/>
  <c r="AD42" i="25" s="1"/>
  <c r="AA52" i="25"/>
  <c r="S34" i="25" s="1"/>
  <c r="AD52" i="25" l="1"/>
  <c r="AC52" i="25"/>
  <c r="U34" i="25" s="1"/>
  <c r="BZ58" i="28"/>
  <c r="CA58" i="28" s="1"/>
  <c r="F58" i="28" s="1"/>
  <c r="V34" i="25" l="1"/>
  <c r="K130" i="28" l="1"/>
  <c r="K134" i="28" s="1"/>
  <c r="L134" i="28" s="1"/>
  <c r="M134" i="28" s="1"/>
  <c r="N134" i="28" s="1"/>
  <c r="O134" i="28" s="1"/>
  <c r="P134" i="28" s="1"/>
  <c r="E136" i="28"/>
  <c r="Z27" i="9"/>
  <c r="S46" i="25"/>
  <c r="R65" i="25"/>
  <c r="K132" i="28" s="1"/>
  <c r="J88" i="25"/>
  <c r="E88" i="25" s="1"/>
  <c r="J89" i="25"/>
  <c r="V65" i="25" l="1"/>
  <c r="AD5" i="24" s="1"/>
  <c r="W64" i="25"/>
  <c r="W48" i="25" s="1"/>
  <c r="W63" i="25"/>
  <c r="V48" i="25" s="1"/>
  <c r="K135" i="28"/>
  <c r="J82" i="25"/>
  <c r="E82" i="25" s="1"/>
  <c r="AA82" i="25" s="1"/>
  <c r="R52" i="25"/>
  <c r="R54" i="25" s="1"/>
  <c r="M10" i="10"/>
  <c r="M8" i="10" s="1"/>
  <c r="M18" i="10" s="1"/>
  <c r="O18" i="10" s="1"/>
  <c r="G10" i="35"/>
  <c r="E103" i="28"/>
  <c r="F88" i="25"/>
  <c r="G88" i="25" s="1"/>
  <c r="M176" i="28"/>
  <c r="K176" i="28"/>
  <c r="N176" i="28"/>
  <c r="O176" i="28"/>
  <c r="L176" i="28"/>
  <c r="D20" i="32"/>
  <c r="F82" i="25"/>
  <c r="G82" i="25" s="1"/>
  <c r="W66" i="25"/>
  <c r="AA88" i="25"/>
  <c r="V66" i="25"/>
  <c r="Q134" i="28"/>
  <c r="P176" i="28"/>
  <c r="R112" i="25"/>
  <c r="W65" i="25"/>
  <c r="AK24" i="25"/>
  <c r="D49" i="9"/>
  <c r="D130" i="28"/>
  <c r="E132" i="28" l="1"/>
  <c r="U103" i="28"/>
  <c r="BW103" i="28"/>
  <c r="BX103" i="28"/>
  <c r="BV103" i="28"/>
  <c r="W42" i="25"/>
  <c r="V42" i="25"/>
  <c r="E97" i="28"/>
  <c r="BV97" i="28" s="1"/>
  <c r="R59" i="25"/>
  <c r="AU103" i="28"/>
  <c r="AN103" i="28"/>
  <c r="AI103" i="28"/>
  <c r="AO103" i="28"/>
  <c r="AH103" i="28"/>
  <c r="AB103" i="28"/>
  <c r="AQ103" i="28"/>
  <c r="O103" i="28"/>
  <c r="BB103" i="28"/>
  <c r="AW103" i="28"/>
  <c r="M103" i="28"/>
  <c r="BP103" i="28"/>
  <c r="BJ103" i="28"/>
  <c r="AV103" i="28"/>
  <c r="AP103" i="28"/>
  <c r="X103" i="28"/>
  <c r="AD103" i="28"/>
  <c r="AL103" i="28"/>
  <c r="L103" i="28"/>
  <c r="BL103" i="28"/>
  <c r="BE103" i="28"/>
  <c r="T103" i="28"/>
  <c r="BU103" i="28"/>
  <c r="AC103" i="28"/>
  <c r="BD103" i="28"/>
  <c r="W103" i="28"/>
  <c r="AX103" i="28"/>
  <c r="BO103" i="28"/>
  <c r="AR103" i="28"/>
  <c r="K103" i="28"/>
  <c r="BR103" i="28"/>
  <c r="Y103" i="28"/>
  <c r="BT103" i="28"/>
  <c r="BM103" i="28"/>
  <c r="BF103" i="28"/>
  <c r="AY103" i="28"/>
  <c r="Q103" i="28"/>
  <c r="AE103" i="28"/>
  <c r="AF103" i="28"/>
  <c r="BN103" i="28"/>
  <c r="BG103" i="28"/>
  <c r="AZ103" i="28"/>
  <c r="AS103" i="28"/>
  <c r="AJ103" i="28"/>
  <c r="V103" i="28"/>
  <c r="AK103" i="28"/>
  <c r="P103" i="28"/>
  <c r="J103" i="28"/>
  <c r="R103" i="28"/>
  <c r="BQ103" i="28"/>
  <c r="BI103" i="28"/>
  <c r="BK103" i="28"/>
  <c r="BS103" i="28"/>
  <c r="S103" i="28"/>
  <c r="BC103" i="28"/>
  <c r="BH103" i="28"/>
  <c r="BA103" i="28"/>
  <c r="AT103" i="28"/>
  <c r="AG103" i="28"/>
  <c r="AM103" i="28"/>
  <c r="Z103" i="28"/>
  <c r="AA103" i="28"/>
  <c r="N103" i="28"/>
  <c r="G12" i="35"/>
  <c r="H10" i="35"/>
  <c r="H12" i="35" s="1"/>
  <c r="M179" i="28"/>
  <c r="P179" i="28"/>
  <c r="N178" i="28"/>
  <c r="N157" i="28" s="1"/>
  <c r="N104" i="28" s="1"/>
  <c r="M177" i="28"/>
  <c r="M157" i="28" s="1"/>
  <c r="M104" i="28" s="1"/>
  <c r="O177" i="28"/>
  <c r="O157" i="28" s="1"/>
  <c r="O104" i="28" s="1"/>
  <c r="K178" i="28"/>
  <c r="K177" i="28"/>
  <c r="AL24" i="25"/>
  <c r="AK27" i="25"/>
  <c r="R134" i="28"/>
  <c r="Q176" i="28"/>
  <c r="AC82" i="25"/>
  <c r="AD82" i="25" s="1"/>
  <c r="E20" i="32"/>
  <c r="D22" i="32"/>
  <c r="T112" i="25"/>
  <c r="R113" i="25"/>
  <c r="U112" i="25"/>
  <c r="U113" i="25" s="1"/>
  <c r="AC88" i="25"/>
  <c r="AD88" i="25" s="1"/>
  <c r="F95" i="25"/>
  <c r="F96" i="25" s="1"/>
  <c r="BC97" i="28" l="1"/>
  <c r="AV97" i="28"/>
  <c r="AO97" i="28"/>
  <c r="V97" i="28"/>
  <c r="BJ97" i="28"/>
  <c r="BM97" i="28"/>
  <c r="AH97" i="28"/>
  <c r="N97" i="28"/>
  <c r="BG97" i="28"/>
  <c r="BA97" i="28"/>
  <c r="AA97" i="28"/>
  <c r="BT97" i="28"/>
  <c r="BL97" i="28"/>
  <c r="U97" i="28"/>
  <c r="BU97" i="28"/>
  <c r="BN97" i="28"/>
  <c r="AB97" i="28"/>
  <c r="O97" i="28"/>
  <c r="BO97" i="28"/>
  <c r="BH97" i="28"/>
  <c r="BF97" i="28"/>
  <c r="BP97" i="28"/>
  <c r="BI97" i="28"/>
  <c r="BB97" i="28"/>
  <c r="AU97" i="28"/>
  <c r="AZ97" i="28"/>
  <c r="BQ97" i="28"/>
  <c r="BD97" i="28"/>
  <c r="AW97" i="28"/>
  <c r="AP97" i="28"/>
  <c r="AI97" i="28"/>
  <c r="BK97" i="28"/>
  <c r="AX97" i="28"/>
  <c r="AQ97" i="28"/>
  <c r="AJ97" i="28"/>
  <c r="AC97" i="28"/>
  <c r="P97" i="28"/>
  <c r="BE97" i="28"/>
  <c r="AR97" i="28"/>
  <c r="AK97" i="28"/>
  <c r="AD97" i="28"/>
  <c r="W97" i="28"/>
  <c r="AT97" i="28"/>
  <c r="AY97" i="28"/>
  <c r="AL97" i="28"/>
  <c r="AE97" i="28"/>
  <c r="X97" i="28"/>
  <c r="Q97" i="28"/>
  <c r="J97" i="28"/>
  <c r="AS97" i="28"/>
  <c r="AF97" i="28"/>
  <c r="Y97" i="28"/>
  <c r="R97" i="28"/>
  <c r="K97" i="28"/>
  <c r="AN97" i="28"/>
  <c r="AM97" i="28"/>
  <c r="Z97" i="28"/>
  <c r="S97" i="28"/>
  <c r="L97" i="28"/>
  <c r="BR97" i="28"/>
  <c r="AG97" i="28"/>
  <c r="T97" i="28"/>
  <c r="M97" i="28"/>
  <c r="BS97" i="28"/>
  <c r="BX97" i="28"/>
  <c r="BW97" i="28"/>
  <c r="K157" i="28"/>
  <c r="K104" i="28" s="1"/>
  <c r="BZ103" i="28"/>
  <c r="CA103" i="28" s="1"/>
  <c r="F103" i="28" s="1"/>
  <c r="F21" i="32"/>
  <c r="G21" i="32" s="1"/>
  <c r="F20" i="32"/>
  <c r="G20" i="32" s="1"/>
  <c r="E22" i="32"/>
  <c r="E25" i="32" s="1"/>
  <c r="S134" i="28"/>
  <c r="R176" i="28"/>
  <c r="Q177" i="28" s="1"/>
  <c r="V112" i="25"/>
  <c r="T113" i="25"/>
  <c r="V113" i="25" s="1"/>
  <c r="S111" i="25"/>
  <c r="W111" i="25" s="1"/>
  <c r="S110" i="25"/>
  <c r="W110" i="25" s="1"/>
  <c r="S112" i="25"/>
  <c r="BZ97" i="28" l="1"/>
  <c r="CA97" i="28" s="1"/>
  <c r="F97" i="28" s="1"/>
  <c r="T134" i="28"/>
  <c r="S176" i="28"/>
  <c r="Q178" i="28" s="1"/>
  <c r="Q157" i="28" s="1"/>
  <c r="G22" i="32"/>
  <c r="W112" i="25"/>
  <c r="S113" i="25"/>
  <c r="W113" i="25" s="1"/>
  <c r="E27" i="32"/>
  <c r="F22" i="32"/>
  <c r="F25" i="32" s="1"/>
  <c r="H25" i="32" s="1"/>
  <c r="G25" i="32" l="1"/>
  <c r="Q104" i="28"/>
  <c r="U134" i="28"/>
  <c r="T176" i="28"/>
  <c r="S179" i="28"/>
  <c r="V134" i="28" l="1"/>
  <c r="U176" i="28"/>
  <c r="S177" i="28"/>
  <c r="S157" i="28" s="1"/>
  <c r="S104" i="28" s="1"/>
  <c r="W134" i="28" l="1"/>
  <c r="V176" i="28"/>
  <c r="V179" i="28" s="1"/>
  <c r="U177" i="28" l="1"/>
  <c r="U157" i="28" s="1"/>
  <c r="U104" i="28" s="1"/>
  <c r="X134" i="28"/>
  <c r="W176" i="28"/>
  <c r="T178" i="28"/>
  <c r="T157" i="28" s="1"/>
  <c r="Y134" i="28" l="1"/>
  <c r="X176" i="28"/>
  <c r="W177" i="28" s="1"/>
  <c r="T104" i="28"/>
  <c r="Z134" i="28" l="1"/>
  <c r="Y176" i="28"/>
  <c r="W178" i="28" s="1"/>
  <c r="W157" i="28" s="1"/>
  <c r="W104" i="28" l="1"/>
  <c r="Y179" i="28"/>
  <c r="AA134" i="28"/>
  <c r="Z176" i="28"/>
  <c r="Y177" i="28" s="1"/>
  <c r="Y157" i="28" s="1"/>
  <c r="Y104" i="28" s="1"/>
  <c r="AB134" i="28" l="1"/>
  <c r="AA176" i="28"/>
  <c r="AC134" i="28" l="1"/>
  <c r="AB176" i="28"/>
  <c r="AB179" i="28" l="1"/>
  <c r="Z178" i="28"/>
  <c r="Z157" i="28" s="1"/>
  <c r="AA177" i="28"/>
  <c r="AA157" i="28" s="1"/>
  <c r="AA104" i="28" s="1"/>
  <c r="AD134" i="28"/>
  <c r="AC176" i="28"/>
  <c r="AE134" i="28" l="1"/>
  <c r="AD176" i="28"/>
  <c r="AC177" i="28" s="1"/>
  <c r="Z104" i="28"/>
  <c r="AF134" i="28" l="1"/>
  <c r="AE176" i="28"/>
  <c r="AC178" i="28" l="1"/>
  <c r="AC157" i="28" s="1"/>
  <c r="AC104" i="28" s="1"/>
  <c r="AE179" i="28"/>
  <c r="AG134" i="28"/>
  <c r="AF176" i="28"/>
  <c r="AE177" i="28" s="1"/>
  <c r="AE157" i="28" s="1"/>
  <c r="AE104" i="28" s="1"/>
  <c r="AH134" i="28" l="1"/>
  <c r="AG176" i="28"/>
  <c r="AI134" i="28" l="1"/>
  <c r="AH176" i="28"/>
  <c r="AG177" i="28" s="1"/>
  <c r="AG157" i="28" s="1"/>
  <c r="AG104" i="28" s="1"/>
  <c r="AH179" i="28" l="1"/>
  <c r="AJ134" i="28"/>
  <c r="AI176" i="28"/>
  <c r="AF178" i="28"/>
  <c r="AF157" i="28" s="1"/>
  <c r="AF104" i="28" s="1"/>
  <c r="AK134" i="28" l="1"/>
  <c r="AJ176" i="28"/>
  <c r="AI177" i="28" s="1"/>
  <c r="AL134" i="28" l="1"/>
  <c r="AK176" i="28"/>
  <c r="AM134" i="28" l="1"/>
  <c r="AL176" i="28"/>
  <c r="AI178" i="28"/>
  <c r="AI157" i="28" s="1"/>
  <c r="AI104" i="28" s="1"/>
  <c r="AK179" i="28"/>
  <c r="AK177" i="28" l="1"/>
  <c r="AK157" i="28" s="1"/>
  <c r="AK104" i="28" s="1"/>
  <c r="AN134" i="28"/>
  <c r="AM176" i="28"/>
  <c r="AO134" i="28" l="1"/>
  <c r="AN176" i="28"/>
  <c r="AL178" i="28" s="1"/>
  <c r="AL157" i="28" s="1"/>
  <c r="AL104" i="28" s="1"/>
  <c r="AN179" i="28" l="1"/>
  <c r="AP134" i="28"/>
  <c r="AO176" i="28"/>
  <c r="AM177" i="28"/>
  <c r="AM157" i="28" s="1"/>
  <c r="AM104" i="28" s="1"/>
  <c r="AQ134" i="28" l="1"/>
  <c r="AP176" i="28"/>
  <c r="AR134" i="28" l="1"/>
  <c r="AQ176" i="28"/>
  <c r="AO177" i="28"/>
  <c r="AS134" i="28" l="1"/>
  <c r="AR176" i="28"/>
  <c r="AO178" i="28"/>
  <c r="AO157" i="28" s="1"/>
  <c r="AO104" i="28" s="1"/>
  <c r="AQ179" i="28"/>
  <c r="AT134" i="28" l="1"/>
  <c r="AS176" i="28"/>
  <c r="AQ177" i="28"/>
  <c r="AQ157" i="28" s="1"/>
  <c r="AQ104" i="28" s="1"/>
  <c r="AU134" i="28" l="1"/>
  <c r="AT176" i="28"/>
  <c r="AR178" i="28" s="1"/>
  <c r="AT179" i="28" l="1"/>
  <c r="AV134" i="28"/>
  <c r="AU176" i="28"/>
  <c r="AS177" i="28"/>
  <c r="AS157" i="28" s="1"/>
  <c r="AS104" i="28" s="1"/>
  <c r="AR157" i="28"/>
  <c r="AR104" i="28" s="1"/>
  <c r="AW134" i="28" l="1"/>
  <c r="AV176" i="28"/>
  <c r="AU177" i="28" s="1"/>
  <c r="AX134" i="28" l="1"/>
  <c r="AW176" i="28"/>
  <c r="AU178" i="28" s="1"/>
  <c r="AW179" i="28" l="1"/>
  <c r="AU157" i="28"/>
  <c r="AU104" i="28" s="1"/>
  <c r="AY134" i="28"/>
  <c r="AX176" i="28"/>
  <c r="AZ134" i="28" l="1"/>
  <c r="AY176" i="28"/>
  <c r="AW177" i="28"/>
  <c r="AW157" i="28" s="1"/>
  <c r="AW104" i="28" s="1"/>
  <c r="BA134" i="28" l="1"/>
  <c r="AZ176" i="28"/>
  <c r="AY177" i="28" s="1"/>
  <c r="AY157" i="28" s="1"/>
  <c r="AY104" i="28" s="1"/>
  <c r="AX178" i="28" l="1"/>
  <c r="AX157" i="28" s="1"/>
  <c r="AX104" i="28" s="1"/>
  <c r="AZ179" i="28"/>
  <c r="BB134" i="28"/>
  <c r="BA176" i="28"/>
  <c r="BC134" i="28" l="1"/>
  <c r="BB176" i="28"/>
  <c r="BA177" i="28" s="1"/>
  <c r="BD134" i="28" l="1"/>
  <c r="BC176" i="28"/>
  <c r="BA178" i="28" s="1"/>
  <c r="BC179" i="28" l="1"/>
  <c r="BE134" i="28"/>
  <c r="BD176" i="28"/>
  <c r="BA157" i="28"/>
  <c r="BA104" i="28" s="1"/>
  <c r="BC177" i="28" l="1"/>
  <c r="BC157" i="28" s="1"/>
  <c r="BC104" i="28" s="1"/>
  <c r="BF134" i="28"/>
  <c r="BE176" i="28"/>
  <c r="BG134" i="28" l="1"/>
  <c r="BF176" i="28"/>
  <c r="BE177" i="28" s="1"/>
  <c r="BD178" i="28" l="1"/>
  <c r="BF179" i="28"/>
  <c r="BH134" i="28"/>
  <c r="BG176" i="28"/>
  <c r="BI134" i="28" l="1"/>
  <c r="BH176" i="28"/>
  <c r="BG177" i="28" l="1"/>
  <c r="BJ134" i="28"/>
  <c r="BI176" i="28"/>
  <c r="BG178" i="28" l="1"/>
  <c r="BI179" i="28"/>
  <c r="BK134" i="28"/>
  <c r="BJ176" i="28"/>
  <c r="BI177" i="28" l="1"/>
  <c r="BL134" i="28"/>
  <c r="BK176" i="28"/>
  <c r="BM134" i="28" l="1"/>
  <c r="BL176" i="28"/>
  <c r="BL179" i="28" s="1"/>
  <c r="BK177" i="28" l="1"/>
  <c r="BJ178" i="28"/>
  <c r="BN134" i="28"/>
  <c r="BM176" i="28"/>
  <c r="BO134" i="28" l="1"/>
  <c r="BN176" i="28"/>
  <c r="BM177" i="28" s="1"/>
  <c r="BP134" i="28" l="1"/>
  <c r="BO176" i="28"/>
  <c r="BM178" i="28" l="1"/>
  <c r="BO179" i="28"/>
  <c r="BQ134" i="28"/>
  <c r="BP176" i="28"/>
  <c r="BO177" i="28" l="1"/>
  <c r="BR134" i="28"/>
  <c r="BQ176" i="28"/>
  <c r="BS134" i="28" l="1"/>
  <c r="BR176" i="28"/>
  <c r="BQ177" i="28" s="1"/>
  <c r="BR179" i="28" l="1"/>
  <c r="BP178" i="28"/>
  <c r="BT134" i="28"/>
  <c r="BS176" i="28"/>
  <c r="BU134" i="28" l="1"/>
  <c r="BT176" i="28"/>
  <c r="BS177" i="28" s="1"/>
  <c r="BU176" i="28" l="1"/>
  <c r="BU177" i="28" s="1"/>
  <c r="BU179" i="28" l="1"/>
  <c r="BS178" i="28"/>
  <c r="BT157" i="28" l="1"/>
  <c r="BT104" i="28" s="1"/>
  <c r="BL157" i="28"/>
  <c r="BL104" i="28" s="1"/>
  <c r="BO157" i="28"/>
  <c r="BO104" i="28" s="1"/>
  <c r="BF157" i="28"/>
  <c r="BF104" i="28" s="1"/>
  <c r="BI157" i="28"/>
  <c r="BI104" i="28" s="1"/>
  <c r="BQ157" i="28"/>
  <c r="BQ104" i="28" s="1"/>
  <c r="BK157" i="28"/>
  <c r="BK104" i="28" s="1"/>
  <c r="BJ157" i="28"/>
  <c r="BJ104" i="28" s="1"/>
  <c r="BU157" i="28"/>
  <c r="BU104" i="28" s="1"/>
  <c r="BD157" i="28"/>
  <c r="BH157" i="28"/>
  <c r="BH104" i="28" s="1"/>
  <c r="BG157" i="28"/>
  <c r="BG104" i="28" s="1"/>
  <c r="BE157" i="28"/>
  <c r="BE104" i="28" s="1"/>
  <c r="BP157" i="28"/>
  <c r="BP104" i="28" s="1"/>
  <c r="BN157" i="28"/>
  <c r="BN104" i="28" s="1"/>
  <c r="BM157" i="28"/>
  <c r="BM104" i="28" s="1"/>
  <c r="BR157" i="28"/>
  <c r="BR104" i="28" s="1"/>
  <c r="BS157" i="28"/>
  <c r="BS104" i="28" s="1"/>
  <c r="BD104" i="28" l="1"/>
  <c r="AX155" i="28" l="1"/>
  <c r="AX100" i="28" s="1"/>
  <c r="BP155" i="28" l="1"/>
  <c r="BP100" i="28" s="1"/>
  <c r="BJ155" i="28"/>
  <c r="BJ100" i="28" s="1"/>
  <c r="BL155" i="28"/>
  <c r="BL100" i="28" s="1"/>
  <c r="BF155" i="28"/>
  <c r="BF100" i="28" s="1"/>
  <c r="BN155" i="28"/>
  <c r="BN100" i="28" s="1"/>
  <c r="BD155" i="28"/>
  <c r="BD100" i="28" s="1"/>
  <c r="BH155" i="28"/>
  <c r="BH100" i="28" s="1"/>
  <c r="BR155" i="28"/>
  <c r="BR100" i="28" s="1"/>
  <c r="BX161" i="28" l="1"/>
  <c r="BX162" i="28" s="1"/>
  <c r="BT155" i="28"/>
  <c r="BT100" i="28" s="1"/>
  <c r="AT158" i="28" l="1"/>
  <c r="AT105" i="28" s="1"/>
  <c r="AU158" i="28" l="1"/>
  <c r="AU105" i="28" s="1"/>
  <c r="AW158" i="28" l="1"/>
  <c r="AW105" i="28" s="1"/>
  <c r="AX158" i="28" l="1"/>
  <c r="AX105" i="28" s="1"/>
  <c r="AY158" i="28" l="1"/>
  <c r="AY105" i="28" s="1"/>
  <c r="AZ158" i="28" l="1"/>
  <c r="AZ105" i="28" s="1"/>
  <c r="BD158" i="28" l="1"/>
  <c r="BD105" i="28" s="1"/>
  <c r="BG158" i="28" l="1"/>
  <c r="BG105" i="28" s="1"/>
  <c r="BJ158" i="28" l="1"/>
  <c r="BJ105" i="28" s="1"/>
  <c r="BK158" i="28" l="1"/>
  <c r="BK105" i="28" s="1"/>
  <c r="BL158" i="28" l="1"/>
  <c r="BL105" i="28" s="1"/>
  <c r="BM158" i="28"/>
  <c r="BM105" i="28" s="1"/>
  <c r="BN158" i="28" l="1"/>
  <c r="BN105" i="28" s="1"/>
  <c r="BO158" i="28"/>
  <c r="BO105" i="28" s="1"/>
  <c r="BP158" i="28" l="1"/>
  <c r="BP105" i="28" s="1"/>
  <c r="BT158" i="28" l="1"/>
  <c r="BT105" i="28" s="1"/>
  <c r="BU158" i="28" l="1"/>
  <c r="BU105" i="28" l="1"/>
  <c r="E93" i="25" l="1"/>
  <c r="AG8" i="9"/>
  <c r="AG9" i="9"/>
  <c r="BZ39" i="28"/>
  <c r="CA39" i="28" s="1"/>
  <c r="F39" i="28" s="1"/>
  <c r="BZ40" i="28"/>
  <c r="CA40" i="28" s="1"/>
  <c r="F40" i="28" s="1"/>
  <c r="BZ41" i="28"/>
  <c r="CA41" i="28" s="1"/>
  <c r="F41" i="28" s="1"/>
  <c r="N155" i="28"/>
  <c r="N100" i="28" s="1"/>
  <c r="T155" i="28"/>
  <c r="T100" i="28" s="1"/>
  <c r="Z155" i="28"/>
  <c r="Z100" i="28" s="1"/>
  <c r="AF155" i="28"/>
  <c r="AF100" i="28" s="1"/>
  <c r="AL155" i="28"/>
  <c r="AL100" i="28" s="1"/>
  <c r="AR155" i="28"/>
  <c r="AR100" i="28" s="1"/>
  <c r="E108" i="28"/>
  <c r="CA108" i="28" s="1"/>
  <c r="F108" i="28" s="1"/>
  <c r="AG11" i="9"/>
  <c r="AG10" i="9"/>
  <c r="AS158" i="28"/>
  <c r="AS105" i="28" s="1"/>
  <c r="BA158" i="28"/>
  <c r="BA105" i="28" s="1"/>
  <c r="BB158" i="28"/>
  <c r="BB105" i="28" s="1"/>
  <c r="BC158" i="28"/>
  <c r="BC105" i="28" s="1"/>
  <c r="BE158" i="28"/>
  <c r="BE105" i="28" s="1"/>
  <c r="BH158" i="28"/>
  <c r="BH105" i="28" s="1"/>
  <c r="BI158" i="28"/>
  <c r="BI105" i="28" s="1"/>
  <c r="BQ158" i="28"/>
  <c r="BQ105" i="28" s="1"/>
  <c r="BR158" i="28"/>
  <c r="BR105" i="28" s="1"/>
  <c r="BS158" i="28"/>
  <c r="BS105" i="28" s="1"/>
  <c r="BF158" i="28" l="1"/>
  <c r="BF105" i="28" l="1"/>
  <c r="AV158" i="28" l="1"/>
  <c r="AV105" i="28" s="1"/>
  <c r="AR158" i="28"/>
  <c r="AR105" i="28" s="1"/>
  <c r="L127" i="28"/>
  <c r="M127" i="28" l="1"/>
  <c r="N127" i="28" l="1"/>
  <c r="O127" i="28" l="1"/>
  <c r="P127" i="28" l="1"/>
  <c r="Q127" i="28" l="1"/>
  <c r="R127" i="28" l="1"/>
  <c r="S127" i="28" l="1"/>
  <c r="T127" i="28" l="1"/>
  <c r="U127" i="28" l="1"/>
  <c r="V127" i="28" l="1"/>
  <c r="W127" i="28" l="1"/>
  <c r="X127" i="28" l="1"/>
  <c r="Y127" i="28" l="1"/>
  <c r="Z127" i="28" l="1"/>
  <c r="AA127" i="28" l="1"/>
  <c r="AB127" i="28" l="1"/>
  <c r="AC127" i="28" l="1"/>
  <c r="AD127" i="28" l="1"/>
  <c r="AE127" i="28" l="1"/>
  <c r="AF127" i="28" l="1"/>
  <c r="AG127" i="28" l="1"/>
  <c r="AH127" i="28" l="1"/>
  <c r="AI127" i="28" l="1"/>
  <c r="AJ127" i="28" l="1"/>
  <c r="AK127" i="28" l="1"/>
  <c r="AL127" i="28" l="1"/>
  <c r="AM127" i="28" l="1"/>
  <c r="AN127" i="28" l="1"/>
  <c r="AO127" i="28" l="1"/>
  <c r="AP127" i="28" l="1"/>
  <c r="AQ127" i="28" l="1"/>
  <c r="AR127" i="28" l="1"/>
  <c r="AS127" i="28" l="1"/>
  <c r="AT127" i="28" l="1"/>
  <c r="AU127" i="28" l="1"/>
  <c r="AV127" i="28" l="1"/>
  <c r="AW127" i="28" l="1"/>
  <c r="AX127" i="28" l="1"/>
  <c r="AY127" i="28" l="1"/>
  <c r="AZ127" i="28" l="1"/>
  <c r="BA127" i="28" l="1"/>
  <c r="BB127" i="28" l="1"/>
  <c r="BC127" i="28" l="1"/>
  <c r="BD127" i="28" l="1"/>
  <c r="BE127" i="28" l="1"/>
  <c r="BF127" i="28" l="1"/>
  <c r="BG127" i="28" l="1"/>
  <c r="BH127" i="28" l="1"/>
  <c r="BI127" i="28" l="1"/>
  <c r="BJ127" i="28" l="1"/>
  <c r="BK127" i="28" l="1"/>
  <c r="BL127" i="28" l="1"/>
  <c r="BM127" i="28" l="1"/>
  <c r="BN127" i="28" l="1"/>
  <c r="BO127" i="28" l="1"/>
  <c r="BP127" i="28" l="1"/>
  <c r="BQ127" i="28" l="1"/>
  <c r="BR127" i="28" l="1"/>
  <c r="BS127" i="28" l="1"/>
  <c r="BT127" i="28" l="1"/>
  <c r="BU127" i="28" l="1"/>
  <c r="E126" i="28" l="1"/>
  <c r="D137" i="28" s="1"/>
  <c r="L132" i="28" l="1"/>
  <c r="M132" i="28" s="1"/>
  <c r="N132" i="28" l="1"/>
  <c r="O132" i="28" l="1"/>
  <c r="P132" i="28" l="1"/>
  <c r="Q132" i="28" l="1"/>
  <c r="R132" i="28" l="1"/>
  <c r="S132" i="28" l="1"/>
  <c r="T132" i="28" l="1"/>
  <c r="U132" i="28" l="1"/>
  <c r="V132" i="28" l="1"/>
  <c r="W132" i="28" l="1"/>
  <c r="X132" i="28" l="1"/>
  <c r="Y132" i="28" l="1"/>
  <c r="Z132" i="28" l="1"/>
  <c r="AA132" i="28" l="1"/>
  <c r="AB132" i="28" l="1"/>
  <c r="AC132" i="28" l="1"/>
  <c r="AD132" i="28" l="1"/>
  <c r="AE132" i="28" l="1"/>
  <c r="AF132" i="28" l="1"/>
  <c r="AG132" i="28" l="1"/>
  <c r="AH132" i="28" l="1"/>
  <c r="AI132" i="28" l="1"/>
  <c r="AJ132" i="28" l="1"/>
  <c r="AK132" i="28" l="1"/>
  <c r="AL132" i="28" l="1"/>
  <c r="AM132" i="28" l="1"/>
  <c r="AN132" i="28" l="1"/>
  <c r="AO132" i="28" l="1"/>
  <c r="AP132" i="28" l="1"/>
  <c r="AQ132" i="28" l="1"/>
  <c r="AR132" i="28" l="1"/>
  <c r="AS132" i="28" l="1"/>
  <c r="AT132" i="28" l="1"/>
  <c r="AU132" i="28" l="1"/>
  <c r="AV132" i="28" l="1"/>
  <c r="AW132" i="28" l="1"/>
  <c r="AX132" i="28" l="1"/>
  <c r="AY132" i="28" l="1"/>
  <c r="AZ132" i="28" l="1"/>
  <c r="BA132" i="28" l="1"/>
  <c r="BB132" i="28" l="1"/>
  <c r="BC132" i="28" l="1"/>
  <c r="BD132" i="28" l="1"/>
  <c r="BE132" i="28" l="1"/>
  <c r="BF132" i="28" l="1"/>
  <c r="BG132" i="28" l="1"/>
  <c r="BH132" i="28" l="1"/>
  <c r="BI132" i="28" l="1"/>
  <c r="BJ132" i="28" l="1"/>
  <c r="BK132" i="28" l="1"/>
  <c r="BL132" i="28" l="1"/>
  <c r="BM132" i="28" l="1"/>
  <c r="BN132" i="28" l="1"/>
  <c r="BO132" i="28" l="1"/>
  <c r="BP132" i="28" l="1"/>
  <c r="BQ132" i="28" l="1"/>
  <c r="BR132" i="28" l="1"/>
  <c r="BS132" i="28" l="1"/>
  <c r="BT132" i="28" s="1"/>
  <c r="BU132" i="28" s="1"/>
  <c r="E131" i="28" l="1"/>
  <c r="E137" i="28" s="1"/>
  <c r="BV36" i="28" l="1"/>
  <c r="BX36" i="28" l="1"/>
  <c r="BW36" i="28" l="1"/>
  <c r="AG12" i="9" l="1"/>
  <c r="AG14" i="9"/>
  <c r="AG13" i="9"/>
  <c r="AG15" i="9"/>
  <c r="K122" i="28" l="1"/>
  <c r="K124" i="28"/>
  <c r="L124" i="28" s="1"/>
  <c r="M124" i="28" s="1"/>
  <c r="N124" i="28" s="1"/>
  <c r="O124" i="28" s="1"/>
  <c r="P124" i="28" s="1"/>
  <c r="Q124" i="28" s="1"/>
  <c r="R124" i="28" s="1"/>
  <c r="S124" i="28" s="1"/>
  <c r="T124" i="28" s="1"/>
  <c r="U124" i="28" s="1"/>
  <c r="V124" i="28" s="1"/>
  <c r="W124" i="28" s="1"/>
  <c r="X124" i="28" s="1"/>
  <c r="Y124" i="28" s="1"/>
  <c r="Z124" i="28" s="1"/>
  <c r="AA124" i="28" s="1"/>
  <c r="AB124" i="28" s="1"/>
  <c r="AC124" i="28" s="1"/>
  <c r="AD124" i="28" s="1"/>
  <c r="AE124" i="28" s="1"/>
  <c r="AF124" i="28" s="1"/>
  <c r="AG124" i="28" s="1"/>
  <c r="AH124" i="28" s="1"/>
  <c r="AI124" i="28" s="1"/>
  <c r="AJ124" i="28" s="1"/>
  <c r="AK124" i="28" s="1"/>
  <c r="AL124" i="28" s="1"/>
  <c r="AM124" i="28" s="1"/>
  <c r="AN124" i="28" s="1"/>
  <c r="AO124" i="28" s="1"/>
  <c r="AP124" i="28" s="1"/>
  <c r="AQ124" i="28" s="1"/>
  <c r="AR124" i="28" s="1"/>
  <c r="AS124" i="28" s="1"/>
  <c r="AT124" i="28" s="1"/>
  <c r="AU124" i="28" s="1"/>
  <c r="AV124" i="28" s="1"/>
  <c r="AW124" i="28" s="1"/>
  <c r="AX124" i="28" s="1"/>
  <c r="AY124" i="28" s="1"/>
  <c r="AZ124" i="28" s="1"/>
  <c r="BA124" i="28" s="1"/>
  <c r="BB124" i="28" s="1"/>
  <c r="BC124" i="28" s="1"/>
  <c r="BD124" i="28" s="1"/>
  <c r="BE124" i="28" s="1"/>
  <c r="BF124" i="28" s="1"/>
  <c r="BG124" i="28" s="1"/>
  <c r="BH124" i="28" s="1"/>
  <c r="BI124" i="28" s="1"/>
  <c r="BJ124" i="28" s="1"/>
  <c r="BK124" i="28" s="1"/>
  <c r="BL124" i="28" s="1"/>
  <c r="BM124" i="28" s="1"/>
  <c r="BN124" i="28" s="1"/>
  <c r="BO124" i="28" s="1"/>
  <c r="BP124" i="28" s="1"/>
  <c r="BQ124" i="28" s="1"/>
  <c r="BR124" i="28" s="1"/>
  <c r="BS124" i="28" s="1"/>
  <c r="BT124" i="28" s="1"/>
  <c r="BU124" i="28" s="1"/>
  <c r="L158" i="28" l="1"/>
  <c r="E122" i="28"/>
  <c r="K166" i="28"/>
  <c r="L135" i="28" l="1"/>
  <c r="M135" i="28" s="1"/>
  <c r="L105" i="28"/>
  <c r="L166" i="28" l="1"/>
  <c r="K161" i="28"/>
  <c r="K162" i="28" s="1"/>
  <c r="M166" i="28" l="1"/>
  <c r="K167" i="28"/>
  <c r="K155" i="28" s="1"/>
  <c r="N166" i="28" l="1"/>
  <c r="M167" i="28" s="1"/>
  <c r="M155" i="28" s="1"/>
  <c r="M100" i="28" s="1"/>
  <c r="K168" i="28"/>
  <c r="N135" i="28"/>
  <c r="M169" i="28"/>
  <c r="K100" i="28"/>
  <c r="O135" i="28" l="1"/>
  <c r="O166" i="28" l="1"/>
  <c r="P135" i="28" l="1"/>
  <c r="P166" i="28" l="1"/>
  <c r="N161" i="28"/>
  <c r="N162" i="28" s="1"/>
  <c r="Q135" i="28"/>
  <c r="O167" i="28" l="1"/>
  <c r="O155" i="28" s="1"/>
  <c r="P169" i="28"/>
  <c r="N168" i="28"/>
  <c r="Q166" i="28"/>
  <c r="R135" i="28"/>
  <c r="O100" i="28" l="1"/>
  <c r="S135" i="28"/>
  <c r="R166" i="28"/>
  <c r="Q167" i="28" s="1"/>
  <c r="Q155" i="28" s="1"/>
  <c r="Q100" i="28" s="1"/>
  <c r="T135" i="28" l="1"/>
  <c r="U135" i="28" l="1"/>
  <c r="S166" i="28"/>
  <c r="Q161" i="28"/>
  <c r="Q162" i="28" s="1"/>
  <c r="S169" i="28" l="1"/>
  <c r="Q168" i="28"/>
  <c r="T166" i="28"/>
  <c r="V135" i="28" l="1"/>
  <c r="U166" i="28"/>
  <c r="S167" i="28"/>
  <c r="S155" i="28" s="1"/>
  <c r="V166" i="28" l="1"/>
  <c r="T168" i="28" s="1"/>
  <c r="T161" i="28"/>
  <c r="T162" i="28" s="1"/>
  <c r="S100" i="28"/>
  <c r="V169" i="28" l="1"/>
  <c r="U167" i="28"/>
  <c r="U155" i="28" s="1"/>
  <c r="W135" i="28" l="1"/>
  <c r="U100" i="28"/>
  <c r="W166" i="28" l="1"/>
  <c r="X135" i="28"/>
  <c r="X166" i="28" l="1"/>
  <c r="W167" i="28" s="1"/>
  <c r="W155" i="28" s="1"/>
  <c r="W100" i="28" s="1"/>
  <c r="Y135" i="28"/>
  <c r="Y166" i="28" l="1"/>
  <c r="W161" i="28"/>
  <c r="W162" i="28" s="1"/>
  <c r="Z135" i="28"/>
  <c r="W168" i="28" l="1"/>
  <c r="Y169" i="28"/>
  <c r="Z166" i="28"/>
  <c r="AA135" i="28"/>
  <c r="Y167" i="28" l="1"/>
  <c r="Y155" i="28" s="1"/>
  <c r="Y100" i="28" s="1"/>
  <c r="AA166" i="28"/>
  <c r="AB135" i="28"/>
  <c r="AC135" i="28" l="1"/>
  <c r="AD135" i="28" s="1"/>
  <c r="AB166" i="28"/>
  <c r="Z161" i="28"/>
  <c r="Z162" i="28" s="1"/>
  <c r="AC166" i="28" l="1"/>
  <c r="Z168" i="28"/>
  <c r="AB169" i="28"/>
  <c r="AE135" i="28"/>
  <c r="AA167" i="28"/>
  <c r="AA155" i="28" s="1"/>
  <c r="AA100" i="28" s="1"/>
  <c r="AD166" i="28" l="1"/>
  <c r="AC167" i="28" s="1"/>
  <c r="AC155" i="28" s="1"/>
  <c r="AC100" i="28" s="1"/>
  <c r="AF135" i="28"/>
  <c r="AE166" i="28" l="1"/>
  <c r="AC161" i="28"/>
  <c r="AC162" i="28" s="1"/>
  <c r="AF166" i="28" l="1"/>
  <c r="AE167" i="28" s="1"/>
  <c r="AE155" i="28" s="1"/>
  <c r="AE100" i="28" s="1"/>
  <c r="AC168" i="28"/>
  <c r="AE169" i="28"/>
  <c r="AG135" i="28"/>
  <c r="AG166" i="28" l="1"/>
  <c r="AH135" i="28"/>
  <c r="AH166" i="28" l="1"/>
  <c r="AG167" i="28" s="1"/>
  <c r="AG155" i="28" s="1"/>
  <c r="AG100" i="28" s="1"/>
  <c r="AF161" i="28"/>
  <c r="AF162" i="28" s="1"/>
  <c r="AI166" i="28" l="1"/>
  <c r="AI135" i="28"/>
  <c r="AH169" i="28"/>
  <c r="AF168" i="28"/>
  <c r="AJ135" i="28" l="1"/>
  <c r="AJ166" i="28" l="1"/>
  <c r="AI167" i="28" l="1"/>
  <c r="AI155" i="28" s="1"/>
  <c r="AI100" i="28" s="1"/>
  <c r="AK135" i="28" l="1"/>
  <c r="AK166" i="28" l="1"/>
  <c r="AI161" i="28"/>
  <c r="AI162" i="28" s="1"/>
  <c r="AL166" i="28" l="1"/>
  <c r="AK167" i="28" s="1"/>
  <c r="AK155" i="28" s="1"/>
  <c r="AK100" i="28" s="1"/>
  <c r="AL135" i="28"/>
  <c r="AK169" i="28"/>
  <c r="AI168" i="28"/>
  <c r="AM166" i="28" l="1"/>
  <c r="AM135" i="28"/>
  <c r="AN135" i="28" s="1"/>
  <c r="AO135" i="28" l="1"/>
  <c r="AP135" i="28" s="1"/>
  <c r="AQ135" i="28" s="1"/>
  <c r="AR135" i="28" s="1"/>
  <c r="AS135" i="28" s="1"/>
  <c r="AT135" i="28" s="1"/>
  <c r="AU135" i="28" s="1"/>
  <c r="AV135" i="28" s="1"/>
  <c r="AW135" i="28" s="1"/>
  <c r="AX135" i="28" s="1"/>
  <c r="AY135" i="28" s="1"/>
  <c r="AZ135" i="28" s="1"/>
  <c r="BA135" i="28" s="1"/>
  <c r="BB135" i="28" s="1"/>
  <c r="BC135" i="28" s="1"/>
  <c r="BD135" i="28" s="1"/>
  <c r="BE135" i="28" s="1"/>
  <c r="BF135" i="28" s="1"/>
  <c r="BG135" i="28" s="1"/>
  <c r="BH135" i="28" s="1"/>
  <c r="BI135" i="28" s="1"/>
  <c r="BJ135" i="28" s="1"/>
  <c r="BK135" i="28" s="1"/>
  <c r="BL135" i="28" s="1"/>
  <c r="BM135" i="28" s="1"/>
  <c r="BN135" i="28" s="1"/>
  <c r="BO135" i="28" s="1"/>
  <c r="BP135" i="28" s="1"/>
  <c r="BQ135" i="28" s="1"/>
  <c r="BR135" i="28" s="1"/>
  <c r="BS135" i="28" s="1"/>
  <c r="BT135" i="28" s="1"/>
  <c r="BU135" i="28" s="1"/>
  <c r="AN166" i="28" l="1"/>
  <c r="AL161" i="28"/>
  <c r="AL162" i="28" s="1"/>
  <c r="AO166" i="28" l="1"/>
  <c r="AN169" i="28"/>
  <c r="AL168" i="28"/>
  <c r="AM167" i="28"/>
  <c r="AM155" i="28" s="1"/>
  <c r="AM100" i="28" l="1"/>
  <c r="AP166" i="28"/>
  <c r="AO167" i="28" s="1"/>
  <c r="AO155" i="28" s="1"/>
  <c r="AO100" i="28" s="1"/>
  <c r="AQ166" i="28" l="1"/>
  <c r="AO161" i="28"/>
  <c r="AO162" i="28" s="1"/>
  <c r="AO168" i="28" l="1"/>
  <c r="AQ169" i="28"/>
  <c r="AR166" i="28"/>
  <c r="AS166" i="28" l="1"/>
  <c r="AQ167" i="28"/>
  <c r="AQ155" i="28" s="1"/>
  <c r="AQ100" i="28" l="1"/>
  <c r="AT166" i="28"/>
  <c r="AR161" i="28"/>
  <c r="AR162" i="28" s="1"/>
  <c r="AT169" i="28" l="1"/>
  <c r="AR168" i="28"/>
  <c r="AS167" i="28"/>
  <c r="AS155" i="28" s="1"/>
  <c r="AU166" i="28"/>
  <c r="AV166" i="28" l="1"/>
  <c r="AU167" i="28" s="1"/>
  <c r="AU155" i="28" s="1"/>
  <c r="AU100" i="28" s="1"/>
  <c r="AS100" i="28"/>
  <c r="AW166" i="28" l="1"/>
  <c r="AU161" i="28"/>
  <c r="AU162" i="28" s="1"/>
  <c r="AW169" i="28" l="1"/>
  <c r="AU168" i="28"/>
  <c r="AX166" i="28"/>
  <c r="AY166" i="28" l="1"/>
  <c r="AX161" i="28"/>
  <c r="AX162" i="28" s="1"/>
  <c r="AW167" i="28"/>
  <c r="AW155" i="28" s="1"/>
  <c r="AW100" i="28" l="1"/>
  <c r="AZ166" i="28"/>
  <c r="AY167" i="28" s="1"/>
  <c r="AY155" i="28" s="1"/>
  <c r="AY100" i="28" s="1"/>
  <c r="BA166" i="28" l="1"/>
  <c r="AZ169" i="28"/>
  <c r="AX168" i="28"/>
  <c r="BB166" i="28" l="1"/>
  <c r="BA167" i="28" s="1"/>
  <c r="BA155" i="28" s="1"/>
  <c r="BA100" i="28" s="1"/>
  <c r="BA161" i="28"/>
  <c r="BA162" i="28" s="1"/>
  <c r="BC166" i="28" l="1"/>
  <c r="BD166" i="28" l="1"/>
  <c r="BC167" i="28" s="1"/>
  <c r="BC155" i="28" s="1"/>
  <c r="BC100" i="28" s="1"/>
  <c r="BA168" i="28"/>
  <c r="BC169" i="28"/>
  <c r="BE166" i="28" l="1"/>
  <c r="BF166" i="28" l="1"/>
  <c r="BG161" i="28" l="1"/>
  <c r="BG162" i="28" s="1"/>
  <c r="BG166" i="28"/>
  <c r="BF169" i="28"/>
  <c r="BD168" i="28"/>
  <c r="BE167" i="28"/>
  <c r="BE155" i="28" s="1"/>
  <c r="BE100" i="28" s="1"/>
  <c r="BH166" i="28" l="1"/>
  <c r="BG167" i="28" s="1"/>
  <c r="BG155" i="28" s="1"/>
  <c r="BG100" i="28" s="1"/>
  <c r="BI166" i="28" l="1"/>
  <c r="BJ166" i="28" l="1"/>
  <c r="BI167" i="28" s="1"/>
  <c r="BI155" i="28" s="1"/>
  <c r="BI100" i="28" s="1"/>
  <c r="BJ161" i="28"/>
  <c r="BJ162" i="28" s="1"/>
  <c r="BI169" i="28"/>
  <c r="BG168" i="28"/>
  <c r="BK166" i="28" l="1"/>
  <c r="BL166" i="28" l="1"/>
  <c r="BK167" i="28" s="1"/>
  <c r="BK155" i="28" s="1"/>
  <c r="BK100" i="28" s="1"/>
  <c r="BJ168" i="28" l="1"/>
  <c r="BL169" i="28"/>
  <c r="BM166" i="28"/>
  <c r="BM161" i="28"/>
  <c r="BM162" i="28" s="1"/>
  <c r="BN166" i="28" l="1"/>
  <c r="BM167" i="28" s="1"/>
  <c r="BM155" i="28" s="1"/>
  <c r="BM100" i="28" s="1"/>
  <c r="BO166" i="28" l="1"/>
  <c r="BM168" i="28" l="1"/>
  <c r="BO169" i="28"/>
  <c r="BP161" i="28"/>
  <c r="BP162" i="28" s="1"/>
  <c r="BP166" i="28"/>
  <c r="BQ166" i="28" l="1"/>
  <c r="BO167" i="28"/>
  <c r="BO155" i="28" s="1"/>
  <c r="BO100" i="28" s="1"/>
  <c r="BR166" i="28" l="1"/>
  <c r="BQ167" i="28" s="1"/>
  <c r="BQ155" i="28" s="1"/>
  <c r="BQ100" i="28" s="1"/>
  <c r="BP168" i="28" l="1"/>
  <c r="BR169" i="28"/>
  <c r="BS166" i="28"/>
  <c r="BS161" i="28"/>
  <c r="BS162" i="28" s="1"/>
  <c r="BT166" i="28" l="1"/>
  <c r="BS167" i="28" s="1"/>
  <c r="BS155" i="28" s="1"/>
  <c r="BS100" i="28" s="1"/>
  <c r="BU166" i="28" l="1"/>
  <c r="BU167" i="28" l="1"/>
  <c r="BU155" i="28" s="1"/>
  <c r="BU100" i="28" s="1"/>
  <c r="BU169" i="28"/>
  <c r="BS168" i="28"/>
  <c r="V27" i="9"/>
  <c r="C22" i="9"/>
  <c r="P6" i="20"/>
  <c r="N10" i="20"/>
  <c r="Q10" i="20" s="1"/>
  <c r="M8" i="20"/>
  <c r="C141" i="28" s="1"/>
  <c r="M7" i="20"/>
  <c r="C140" i="28" s="1"/>
  <c r="N8" i="20"/>
  <c r="D141" i="28" s="1"/>
  <c r="M10" i="20"/>
  <c r="C26" i="9" s="1"/>
  <c r="C62" i="9" s="1"/>
  <c r="N11" i="20"/>
  <c r="D144" i="28" s="1"/>
  <c r="C139" i="28"/>
  <c r="M9" i="20"/>
  <c r="P9" i="20" s="1"/>
  <c r="N7" i="20"/>
  <c r="Q7" i="20" s="1"/>
  <c r="M11" i="20"/>
  <c r="P11" i="20" s="1"/>
  <c r="M14" i="20"/>
  <c r="C30" i="9" s="1"/>
  <c r="C66" i="9" s="1"/>
  <c r="N13" i="20"/>
  <c r="Q13" i="20" s="1"/>
  <c r="M12" i="20"/>
  <c r="C145" i="28" s="1"/>
  <c r="M13" i="20"/>
  <c r="C29" i="9" s="1"/>
  <c r="C65" i="9" s="1"/>
  <c r="N6" i="20"/>
  <c r="Q6" i="20" s="1"/>
  <c r="N9" i="20"/>
  <c r="D25" i="9" s="1"/>
  <c r="D61" i="9" s="1"/>
  <c r="N12" i="20"/>
  <c r="Q12" i="20" s="1"/>
  <c r="C28" i="9" l="1"/>
  <c r="C64" i="9" s="1"/>
  <c r="C25" i="9"/>
  <c r="C61" i="9" s="1"/>
  <c r="D142" i="28"/>
  <c r="H142" i="28" s="1"/>
  <c r="P14" i="20"/>
  <c r="D27" i="9"/>
  <c r="D63" i="9" s="1"/>
  <c r="X28" i="9"/>
  <c r="Z28" i="9" s="1"/>
  <c r="V28" i="9"/>
  <c r="X25" i="9"/>
  <c r="BG141" i="28"/>
  <c r="BF141" i="28"/>
  <c r="AF141" i="28"/>
  <c r="BI141" i="28"/>
  <c r="BM141" i="28"/>
  <c r="BT141" i="28"/>
  <c r="AU141" i="28"/>
  <c r="AT141" i="28"/>
  <c r="U141" i="28"/>
  <c r="BH141" i="28"/>
  <c r="AN141" i="28"/>
  <c r="AV141" i="28"/>
  <c r="AI141" i="28"/>
  <c r="AH141" i="28"/>
  <c r="BP141" i="28"/>
  <c r="BD141" i="28"/>
  <c r="AX141" i="28"/>
  <c r="BU141" i="28"/>
  <c r="V141" i="28"/>
  <c r="W141" i="28"/>
  <c r="T141" i="28"/>
  <c r="BB141" i="28"/>
  <c r="M141" i="28"/>
  <c r="L141" i="28"/>
  <c r="K141" i="28"/>
  <c r="J141" i="28"/>
  <c r="BO141" i="28"/>
  <c r="Q141" i="28"/>
  <c r="X141" i="28"/>
  <c r="AR141" i="28"/>
  <c r="AG141" i="28"/>
  <c r="AE141" i="28"/>
  <c r="P141" i="28"/>
  <c r="AP141" i="28"/>
  <c r="I141" i="28"/>
  <c r="BC141" i="28"/>
  <c r="AO141" i="28"/>
  <c r="N141" i="28"/>
  <c r="AZ141" i="28"/>
  <c r="AQ141" i="28"/>
  <c r="AD141" i="28"/>
  <c r="BA141" i="28"/>
  <c r="R141" i="28"/>
  <c r="AM141" i="28"/>
  <c r="BL141" i="28"/>
  <c r="AK141" i="28"/>
  <c r="AC141" i="28"/>
  <c r="AW141" i="28"/>
  <c r="AL141" i="28"/>
  <c r="BK141" i="28"/>
  <c r="BQ141" i="28"/>
  <c r="AB141" i="28"/>
  <c r="AJ141" i="28"/>
  <c r="S141" i="28"/>
  <c r="Y141" i="28"/>
  <c r="BE141" i="28"/>
  <c r="Z141" i="28"/>
  <c r="BN141" i="28"/>
  <c r="AY141" i="28"/>
  <c r="BS141" i="28"/>
  <c r="BR141" i="28"/>
  <c r="AS141" i="28"/>
  <c r="BJ141" i="28"/>
  <c r="O141" i="28"/>
  <c r="AA141" i="28"/>
  <c r="H144" i="28"/>
  <c r="G144" i="28"/>
  <c r="G141" i="28"/>
  <c r="H141" i="28"/>
  <c r="D28" i="9"/>
  <c r="D64" i="9" s="1"/>
  <c r="D140" i="28"/>
  <c r="BF140" i="28" s="1"/>
  <c r="Q9" i="20"/>
  <c r="D26" i="9"/>
  <c r="D62" i="9" s="1"/>
  <c r="Q8" i="20"/>
  <c r="P12" i="20"/>
  <c r="C58" i="9"/>
  <c r="F17" i="9"/>
  <c r="E150" i="28" s="1"/>
  <c r="D145" i="28"/>
  <c r="AP145" i="28" s="1"/>
  <c r="C146" i="28"/>
  <c r="P13" i="20"/>
  <c r="C27" i="9"/>
  <c r="C63" i="9" s="1"/>
  <c r="D24" i="9"/>
  <c r="D60" i="9" s="1"/>
  <c r="Q11" i="20"/>
  <c r="D22" i="9"/>
  <c r="D58" i="9" s="1"/>
  <c r="C23" i="9"/>
  <c r="C143" i="28"/>
  <c r="D143" i="28"/>
  <c r="G142" i="28"/>
  <c r="D23" i="9"/>
  <c r="D59" i="9" s="1"/>
  <c r="P10" i="20"/>
  <c r="C144" i="28"/>
  <c r="P8" i="20"/>
  <c r="C24" i="9"/>
  <c r="C60" i="9" s="1"/>
  <c r="D146" i="28"/>
  <c r="C142" i="28"/>
  <c r="D139" i="28"/>
  <c r="AQ139" i="28" s="1"/>
  <c r="D29" i="9"/>
  <c r="D65" i="9" s="1"/>
  <c r="P7" i="20"/>
  <c r="Q20" i="9" l="1"/>
  <c r="AZ139" i="28"/>
  <c r="N139" i="28"/>
  <c r="AF139" i="28"/>
  <c r="AN139" i="28"/>
  <c r="BO139" i="28"/>
  <c r="Q139" i="28"/>
  <c r="L139" i="28"/>
  <c r="AU139" i="28"/>
  <c r="U139" i="28"/>
  <c r="AK139" i="28"/>
  <c r="W139" i="28"/>
  <c r="AH139" i="28"/>
  <c r="BI139" i="28"/>
  <c r="J139" i="28"/>
  <c r="Y139" i="28"/>
  <c r="P139" i="28"/>
  <c r="BK139" i="28"/>
  <c r="BU139" i="28"/>
  <c r="BJ139" i="28"/>
  <c r="M139" i="28"/>
  <c r="AS139" i="28"/>
  <c r="BQ139" i="28"/>
  <c r="BG139" i="28"/>
  <c r="BE139" i="28"/>
  <c r="BD139" i="28"/>
  <c r="AV139" i="28"/>
  <c r="BM139" i="28"/>
  <c r="Q8" i="9"/>
  <c r="Q13" i="9"/>
  <c r="AH145" i="28"/>
  <c r="BF145" i="28"/>
  <c r="BT145" i="28"/>
  <c r="BU145" i="28"/>
  <c r="BQ145" i="28"/>
  <c r="AB140" i="28"/>
  <c r="AZ140" i="28"/>
  <c r="AC140" i="28"/>
  <c r="BQ140" i="28"/>
  <c r="AY140" i="28"/>
  <c r="Q17" i="9"/>
  <c r="AL139" i="28"/>
  <c r="AB139" i="28"/>
  <c r="AL145" i="28"/>
  <c r="BJ145" i="28"/>
  <c r="AJ145" i="28"/>
  <c r="BN145" i="28"/>
  <c r="W145" i="28"/>
  <c r="R139" i="28"/>
  <c r="U140" i="28"/>
  <c r="W140" i="28"/>
  <c r="K140" i="28"/>
  <c r="P140" i="28"/>
  <c r="H146" i="28"/>
  <c r="G146" i="28"/>
  <c r="O139" i="28"/>
  <c r="BL139" i="28"/>
  <c r="BB139" i="28"/>
  <c r="Q7" i="9"/>
  <c r="H140" i="28"/>
  <c r="G140" i="28"/>
  <c r="R145" i="28"/>
  <c r="AN145" i="28"/>
  <c r="BL145" i="28"/>
  <c r="AQ145" i="28"/>
  <c r="AX145" i="28"/>
  <c r="BL140" i="28"/>
  <c r="AG140" i="28"/>
  <c r="AS140" i="28"/>
  <c r="AA140" i="28"/>
  <c r="BP140" i="28"/>
  <c r="H139" i="28"/>
  <c r="G139" i="28"/>
  <c r="I139" i="28"/>
  <c r="AT139" i="28"/>
  <c r="BN139" i="28"/>
  <c r="BH139" i="28"/>
  <c r="BM146" i="28"/>
  <c r="AF146" i="28"/>
  <c r="AZ146" i="28"/>
  <c r="Z146" i="28"/>
  <c r="T146" i="28"/>
  <c r="BS146" i="28"/>
  <c r="BD146" i="28"/>
  <c r="AV146" i="28"/>
  <c r="BF146" i="28"/>
  <c r="S146" i="28"/>
  <c r="BJ146" i="28"/>
  <c r="M146" i="28"/>
  <c r="BA146" i="28"/>
  <c r="BU146" i="28"/>
  <c r="AA146" i="28"/>
  <c r="AX146" i="28"/>
  <c r="BL146" i="28"/>
  <c r="AS146" i="28"/>
  <c r="AP146" i="28"/>
  <c r="BP146" i="28"/>
  <c r="BQ146" i="28"/>
  <c r="BT146" i="28"/>
  <c r="Y146" i="28"/>
  <c r="BI146" i="28"/>
  <c r="AO146" i="28"/>
  <c r="AW146" i="28"/>
  <c r="AJ146" i="28"/>
  <c r="BB146" i="28"/>
  <c r="K146" i="28"/>
  <c r="V146" i="28"/>
  <c r="AM146" i="28"/>
  <c r="AR146" i="28"/>
  <c r="BR146" i="28"/>
  <c r="AK146" i="28"/>
  <c r="W146" i="28"/>
  <c r="AB146" i="28"/>
  <c r="AH146" i="28"/>
  <c r="AL146" i="28"/>
  <c r="BK146" i="28"/>
  <c r="BO146" i="28"/>
  <c r="I146" i="28"/>
  <c r="L146" i="28"/>
  <c r="AY146" i="28"/>
  <c r="AQ146" i="28"/>
  <c r="AN146" i="28"/>
  <c r="J146" i="28"/>
  <c r="AG146" i="28"/>
  <c r="BE146" i="28"/>
  <c r="AI146" i="28"/>
  <c r="AD146" i="28"/>
  <c r="Q146" i="28"/>
  <c r="P146" i="28"/>
  <c r="AC146" i="28"/>
  <c r="BH146" i="28"/>
  <c r="AE146" i="28"/>
  <c r="BN146" i="28"/>
  <c r="BG146" i="28"/>
  <c r="AT146" i="28"/>
  <c r="R146" i="28"/>
  <c r="X146" i="28"/>
  <c r="N146" i="28"/>
  <c r="O146" i="28"/>
  <c r="AU146" i="28"/>
  <c r="BC146" i="28"/>
  <c r="U146" i="28"/>
  <c r="Q21" i="9"/>
  <c r="AO139" i="28"/>
  <c r="AT145" i="28"/>
  <c r="P145" i="28"/>
  <c r="AO145" i="28"/>
  <c r="AY145" i="28"/>
  <c r="S140" i="28"/>
  <c r="V140" i="28"/>
  <c r="BH140" i="28"/>
  <c r="BD140" i="28"/>
  <c r="AU140" i="28"/>
  <c r="AR139" i="28"/>
  <c r="K139" i="28"/>
  <c r="AI139" i="28"/>
  <c r="H145" i="28"/>
  <c r="G145" i="28"/>
  <c r="Q16" i="9"/>
  <c r="AX139" i="28"/>
  <c r="BC145" i="28"/>
  <c r="K145" i="28"/>
  <c r="U145" i="28"/>
  <c r="AA145" i="28"/>
  <c r="N145" i="28"/>
  <c r="L140" i="28"/>
  <c r="AJ140" i="28"/>
  <c r="BJ140" i="28"/>
  <c r="M140" i="28"/>
  <c r="AW140" i="28"/>
  <c r="AD139" i="28"/>
  <c r="BP139" i="28"/>
  <c r="Z139" i="28"/>
  <c r="Q14" i="9"/>
  <c r="E141" i="28"/>
  <c r="AS145" i="28"/>
  <c r="BR145" i="28"/>
  <c r="L145" i="28"/>
  <c r="M145" i="28"/>
  <c r="AI145" i="28"/>
  <c r="Q140" i="28"/>
  <c r="AK140" i="28"/>
  <c r="BC140" i="28"/>
  <c r="BR140" i="28"/>
  <c r="BK140" i="28"/>
  <c r="Q12" i="9"/>
  <c r="Q19" i="9"/>
  <c r="J145" i="28"/>
  <c r="AU145" i="28"/>
  <c r="BS145" i="28"/>
  <c r="Y145" i="28"/>
  <c r="AV145" i="28"/>
  <c r="Q145" i="28"/>
  <c r="AO140" i="28"/>
  <c r="BM140" i="28"/>
  <c r="AM140" i="28"/>
  <c r="Y140" i="28"/>
  <c r="T140" i="28"/>
  <c r="BC139" i="28"/>
  <c r="AY139" i="28"/>
  <c r="T139" i="28"/>
  <c r="BS139" i="28"/>
  <c r="Q9" i="9"/>
  <c r="Q23" i="9"/>
  <c r="AJ139" i="28"/>
  <c r="Z145" i="28"/>
  <c r="AW145" i="28"/>
  <c r="V145" i="28"/>
  <c r="BG145" i="28"/>
  <c r="BD145" i="28"/>
  <c r="BK145" i="28"/>
  <c r="AT140" i="28"/>
  <c r="BA140" i="28"/>
  <c r="BB140" i="28"/>
  <c r="BE140" i="28"/>
  <c r="AN140" i="28"/>
  <c r="J140" i="28"/>
  <c r="AG139" i="28"/>
  <c r="BF139" i="28"/>
  <c r="AW139" i="28"/>
  <c r="AC139" i="28"/>
  <c r="BH145" i="28"/>
  <c r="AB145" i="28"/>
  <c r="AZ145" i="28"/>
  <c r="BB145" i="28"/>
  <c r="BI145" i="28"/>
  <c r="BA145" i="28"/>
  <c r="AF140" i="28"/>
  <c r="I140" i="28"/>
  <c r="BN140" i="28"/>
  <c r="BT140" i="28"/>
  <c r="AE140" i="28"/>
  <c r="N140" i="28"/>
  <c r="C59" i="9"/>
  <c r="J26" i="9" s="1"/>
  <c r="K29" i="9"/>
  <c r="AE139" i="28"/>
  <c r="O144" i="28"/>
  <c r="BR144" i="28"/>
  <c r="BL144" i="28"/>
  <c r="BC144" i="28"/>
  <c r="BP144" i="28"/>
  <c r="BT144" i="28"/>
  <c r="BF144" i="28"/>
  <c r="AP144" i="28"/>
  <c r="AG144" i="28"/>
  <c r="AY144" i="28"/>
  <c r="BJ144" i="28"/>
  <c r="BH144" i="28"/>
  <c r="AT144" i="28"/>
  <c r="T144" i="28"/>
  <c r="Q144" i="28"/>
  <c r="AC144" i="28"/>
  <c r="AX144" i="28"/>
  <c r="AV144" i="28"/>
  <c r="AF144" i="28"/>
  <c r="BK144" i="28"/>
  <c r="BB144" i="28"/>
  <c r="I144" i="28"/>
  <c r="AL144" i="28"/>
  <c r="AJ144" i="28"/>
  <c r="Z144" i="28"/>
  <c r="AO144" i="28"/>
  <c r="AH144" i="28"/>
  <c r="BO144" i="28"/>
  <c r="Y144" i="28"/>
  <c r="W144" i="28"/>
  <c r="J144" i="28"/>
  <c r="S144" i="28"/>
  <c r="K144" i="28"/>
  <c r="AS144" i="28"/>
  <c r="N144" i="28"/>
  <c r="L144" i="28"/>
  <c r="BN144" i="28"/>
  <c r="BE144" i="28"/>
  <c r="BA144" i="28"/>
  <c r="AB144" i="28"/>
  <c r="BU144" i="28"/>
  <c r="BS144" i="28"/>
  <c r="AR144" i="28"/>
  <c r="AN144" i="28"/>
  <c r="AE144" i="28"/>
  <c r="BI144" i="28"/>
  <c r="BG144" i="28"/>
  <c r="X144" i="28"/>
  <c r="R144" i="28"/>
  <c r="M144" i="28"/>
  <c r="AW144" i="28"/>
  <c r="AU144" i="28"/>
  <c r="BM144" i="28"/>
  <c r="BD144" i="28"/>
  <c r="BQ144" i="28"/>
  <c r="AK144" i="28"/>
  <c r="AI144" i="28"/>
  <c r="AQ144" i="28"/>
  <c r="AM144" i="28"/>
  <c r="AZ144" i="28"/>
  <c r="AA144" i="28"/>
  <c r="V144" i="28"/>
  <c r="U144" i="28"/>
  <c r="P144" i="28"/>
  <c r="AD144" i="28"/>
  <c r="H143" i="28"/>
  <c r="G143" i="28"/>
  <c r="BR139" i="28"/>
  <c r="BA139" i="28"/>
  <c r="Q15" i="9"/>
  <c r="Q10" i="9"/>
  <c r="X139" i="28"/>
  <c r="BM145" i="28"/>
  <c r="O145" i="28"/>
  <c r="AD145" i="28"/>
  <c r="AF145" i="28"/>
  <c r="AM145" i="28"/>
  <c r="AE145" i="28"/>
  <c r="AQ140" i="28"/>
  <c r="AR140" i="28"/>
  <c r="AH140" i="28"/>
  <c r="R140" i="28"/>
  <c r="AP140" i="28"/>
  <c r="BG140" i="28"/>
  <c r="AQ142" i="28"/>
  <c r="R142" i="28"/>
  <c r="L142" i="28"/>
  <c r="O142" i="28"/>
  <c r="J142" i="28"/>
  <c r="AD142" i="28"/>
  <c r="BT142" i="28"/>
  <c r="BQ142" i="28"/>
  <c r="BJ142" i="28"/>
  <c r="BG142" i="28"/>
  <c r="S142" i="28"/>
  <c r="BA142" i="28"/>
  <c r="AW142" i="28"/>
  <c r="AT142" i="28"/>
  <c r="AM142" i="28"/>
  <c r="BN142" i="28"/>
  <c r="AJ142" i="28"/>
  <c r="AG142" i="28"/>
  <c r="AA142" i="28"/>
  <c r="X142" i="28"/>
  <c r="BB142" i="28"/>
  <c r="U142" i="28"/>
  <c r="M142" i="28"/>
  <c r="P142" i="28"/>
  <c r="BF142" i="28"/>
  <c r="AP142" i="28"/>
  <c r="BS142" i="28"/>
  <c r="BM142" i="28"/>
  <c r="BI142" i="28"/>
  <c r="AL142" i="28"/>
  <c r="AE142" i="28"/>
  <c r="AY142" i="28"/>
  <c r="AV142" i="28"/>
  <c r="AS142" i="28"/>
  <c r="W142" i="28"/>
  <c r="BP142" i="28"/>
  <c r="Q142" i="28"/>
  <c r="AH142" i="28"/>
  <c r="AF142" i="28"/>
  <c r="Z142" i="28"/>
  <c r="I142" i="28"/>
  <c r="BD142" i="28"/>
  <c r="BL142" i="28"/>
  <c r="T142" i="28"/>
  <c r="N142" i="28"/>
  <c r="K142" i="28"/>
  <c r="BU142" i="28"/>
  <c r="AR142" i="28"/>
  <c r="AZ142" i="28"/>
  <c r="BR142" i="28"/>
  <c r="BK142" i="28"/>
  <c r="BH142" i="28"/>
  <c r="BE142" i="28"/>
  <c r="BO142" i="28"/>
  <c r="AN142" i="28"/>
  <c r="AX142" i="28"/>
  <c r="AU142" i="28"/>
  <c r="AO142" i="28"/>
  <c r="AK142" i="28"/>
  <c r="BC142" i="28"/>
  <c r="AB142" i="28"/>
  <c r="AI142" i="28"/>
  <c r="AC142" i="28"/>
  <c r="Y142" i="28"/>
  <c r="V142" i="28"/>
  <c r="AP139" i="28"/>
  <c r="AA139" i="28"/>
  <c r="AM139" i="28"/>
  <c r="BU143" i="28"/>
  <c r="O143" i="28"/>
  <c r="P143" i="28"/>
  <c r="BL143" i="28"/>
  <c r="AI143" i="28"/>
  <c r="BS143" i="28"/>
  <c r="BT143" i="28"/>
  <c r="AT143" i="28"/>
  <c r="S143" i="28"/>
  <c r="AY143" i="28"/>
  <c r="V143" i="28"/>
  <c r="BE143" i="28"/>
  <c r="BH143" i="28"/>
  <c r="BP143" i="28"/>
  <c r="BN143" i="28"/>
  <c r="AL143" i="28"/>
  <c r="AG143" i="28"/>
  <c r="AR143" i="28"/>
  <c r="AW143" i="28"/>
  <c r="BC143" i="28"/>
  <c r="BA143" i="28"/>
  <c r="AB143" i="28"/>
  <c r="BI143" i="28"/>
  <c r="AE143" i="28"/>
  <c r="AJ143" i="28"/>
  <c r="AP143" i="28"/>
  <c r="AN143" i="28"/>
  <c r="K143" i="28"/>
  <c r="AU143" i="28"/>
  <c r="Q143" i="28"/>
  <c r="X143" i="28"/>
  <c r="AC143" i="28"/>
  <c r="Y143" i="28"/>
  <c r="BK143" i="28"/>
  <c r="AH143" i="28"/>
  <c r="L143" i="28"/>
  <c r="R143" i="28"/>
  <c r="M143" i="28"/>
  <c r="AX143" i="28"/>
  <c r="U143" i="28"/>
  <c r="BR143" i="28"/>
  <c r="T143" i="28"/>
  <c r="BM143" i="28"/>
  <c r="AK143" i="28"/>
  <c r="I143" i="28"/>
  <c r="BQ143" i="28"/>
  <c r="BO143" i="28"/>
  <c r="AZ143" i="28"/>
  <c r="W143" i="28"/>
  <c r="BG143" i="28"/>
  <c r="BD143" i="28"/>
  <c r="BB143" i="28"/>
  <c r="AM143" i="28"/>
  <c r="J143" i="28"/>
  <c r="BF143" i="28"/>
  <c r="AQ143" i="28"/>
  <c r="AO143" i="28"/>
  <c r="Z143" i="28"/>
  <c r="BJ143" i="28"/>
  <c r="AS143" i="28"/>
  <c r="AD143" i="28"/>
  <c r="AA143" i="28"/>
  <c r="N143" i="28"/>
  <c r="AV143" i="28"/>
  <c r="AF143" i="28"/>
  <c r="BT139" i="28"/>
  <c r="V139" i="28"/>
  <c r="Q18" i="9"/>
  <c r="Q11" i="9"/>
  <c r="S139" i="28"/>
  <c r="AR145" i="28"/>
  <c r="BP145" i="28"/>
  <c r="I145" i="28"/>
  <c r="X145" i="28"/>
  <c r="AC145" i="28"/>
  <c r="T145" i="28"/>
  <c r="BS140" i="28"/>
  <c r="X140" i="28"/>
  <c r="AV140" i="28"/>
  <c r="AD140" i="28"/>
  <c r="AI140" i="28"/>
  <c r="BI140" i="28"/>
  <c r="Q22" i="9"/>
  <c r="AG145" i="28"/>
  <c r="BE145" i="28"/>
  <c r="BO145" i="28"/>
  <c r="S145" i="28"/>
  <c r="AK145" i="28"/>
  <c r="BU140" i="28"/>
  <c r="Z140" i="28"/>
  <c r="AX140" i="28"/>
  <c r="BO140" i="28"/>
  <c r="AL140" i="28"/>
  <c r="O140" i="28"/>
  <c r="BQ138" i="28" l="1"/>
  <c r="BQ148" i="28" s="1"/>
  <c r="BQ150" i="28" s="1"/>
  <c r="BQ36" i="28" s="1"/>
  <c r="E144" i="28"/>
  <c r="V138" i="28"/>
  <c r="V148" i="28" s="1"/>
  <c r="V150" i="28" s="1"/>
  <c r="V36" i="28" s="1"/>
  <c r="J138" i="28"/>
  <c r="AK138" i="28"/>
  <c r="AK148" i="28" s="1"/>
  <c r="AK150" i="28" s="1"/>
  <c r="AK36" i="28" s="1"/>
  <c r="W138" i="28"/>
  <c r="W148" i="28" s="1"/>
  <c r="W150" i="28" s="1"/>
  <c r="W36" i="28" s="1"/>
  <c r="BO138" i="28"/>
  <c r="BO148" i="28" s="1"/>
  <c r="BO150" i="28" s="1"/>
  <c r="BO36" i="28" s="1"/>
  <c r="Y138" i="28"/>
  <c r="Y148" i="28" s="1"/>
  <c r="Y150" i="28" s="1"/>
  <c r="Y36" i="28" s="1"/>
  <c r="AV138" i="28"/>
  <c r="AV148" i="28" s="1"/>
  <c r="AV150" i="28" s="1"/>
  <c r="AV36" i="28" s="1"/>
  <c r="AS138" i="28"/>
  <c r="AS148" i="28" s="1"/>
  <c r="AS150" i="28" s="1"/>
  <c r="AS36" i="28" s="1"/>
  <c r="U138" i="28"/>
  <c r="U148" i="28" s="1"/>
  <c r="U150" i="28" s="1"/>
  <c r="U36" i="28" s="1"/>
  <c r="AU138" i="28"/>
  <c r="AU148" i="28" s="1"/>
  <c r="AU150" i="28" s="1"/>
  <c r="AU36" i="28" s="1"/>
  <c r="M138" i="28"/>
  <c r="BM138" i="28"/>
  <c r="BM148" i="28" s="1"/>
  <c r="BM150" i="28" s="1"/>
  <c r="BM36" i="28" s="1"/>
  <c r="AQ138" i="28"/>
  <c r="AQ148" i="28" s="1"/>
  <c r="AQ150" i="28" s="1"/>
  <c r="AQ36" i="28" s="1"/>
  <c r="BI138" i="28"/>
  <c r="BI148" i="28" s="1"/>
  <c r="BI150" i="28" s="1"/>
  <c r="BI36" i="28" s="1"/>
  <c r="BD138" i="28"/>
  <c r="BD148" i="28" s="1"/>
  <c r="BD150" i="28" s="1"/>
  <c r="BD36" i="28" s="1"/>
  <c r="E142" i="28"/>
  <c r="Q138" i="28"/>
  <c r="Q148" i="28" s="1"/>
  <c r="Q150" i="28" s="1"/>
  <c r="Q36" i="28" s="1"/>
  <c r="AF138" i="28"/>
  <c r="AF148" i="28" s="1"/>
  <c r="AF150" i="28" s="1"/>
  <c r="AF36" i="28" s="1"/>
  <c r="AN138" i="28"/>
  <c r="AN148" i="28" s="1"/>
  <c r="AN150" i="28" s="1"/>
  <c r="AN36" i="28" s="1"/>
  <c r="BT138" i="28"/>
  <c r="BT148" i="28" s="1"/>
  <c r="BT150" i="28" s="1"/>
  <c r="BT36" i="28" s="1"/>
  <c r="L138" i="28"/>
  <c r="BU138" i="28"/>
  <c r="BU148" i="28" s="1"/>
  <c r="BU150" i="28" s="1"/>
  <c r="BU36" i="28" s="1"/>
  <c r="AZ138" i="28"/>
  <c r="AZ148" i="28" s="1"/>
  <c r="AZ150" i="28" s="1"/>
  <c r="AZ36" i="28" s="1"/>
  <c r="BG138" i="28"/>
  <c r="BG148" i="28" s="1"/>
  <c r="BG150" i="28" s="1"/>
  <c r="BG36" i="28" s="1"/>
  <c r="N138" i="28"/>
  <c r="N148" i="28" s="1"/>
  <c r="N150" i="28" s="1"/>
  <c r="N36" i="28" s="1"/>
  <c r="BJ138" i="28"/>
  <c r="BJ148" i="28" s="1"/>
  <c r="BJ150" i="28" s="1"/>
  <c r="BJ36" i="28" s="1"/>
  <c r="BK138" i="28"/>
  <c r="BK148" i="28" s="1"/>
  <c r="BK150" i="28" s="1"/>
  <c r="BK36" i="28" s="1"/>
  <c r="P138" i="28"/>
  <c r="P148" i="28" s="1"/>
  <c r="P150" i="28" s="1"/>
  <c r="P36" i="28" s="1"/>
  <c r="BE138" i="28"/>
  <c r="BE148" i="28" s="1"/>
  <c r="BE150" i="28" s="1"/>
  <c r="BE36" i="28" s="1"/>
  <c r="AH138" i="28"/>
  <c r="AH148" i="28" s="1"/>
  <c r="AH150" i="28" s="1"/>
  <c r="AH36" i="28" s="1"/>
  <c r="AG138" i="28"/>
  <c r="AG148" i="28" s="1"/>
  <c r="AG150" i="28" s="1"/>
  <c r="AI138" i="28"/>
  <c r="AI148" i="28" s="1"/>
  <c r="AI150" i="28" s="1"/>
  <c r="BN138" i="28"/>
  <c r="BN148" i="28" s="1"/>
  <c r="BN150" i="28" s="1"/>
  <c r="E146" i="28"/>
  <c r="K138" i="28"/>
  <c r="AT138" i="28"/>
  <c r="AT148" i="28" s="1"/>
  <c r="AT150" i="28" s="1"/>
  <c r="AB138" i="28"/>
  <c r="AB148" i="28" s="1"/>
  <c r="AB150" i="28" s="1"/>
  <c r="I138" i="28"/>
  <c r="I148" i="28" s="1"/>
  <c r="AL138" i="28"/>
  <c r="AL148" i="28" s="1"/>
  <c r="AL150" i="28" s="1"/>
  <c r="AO24" i="25"/>
  <c r="G24" i="35"/>
  <c r="G25" i="35" s="1"/>
  <c r="AR138" i="28"/>
  <c r="AR148" i="28" s="1"/>
  <c r="AR150" i="28" s="1"/>
  <c r="E139" i="28"/>
  <c r="G138" i="28"/>
  <c r="X138" i="28"/>
  <c r="X148" i="28" s="1"/>
  <c r="X150" i="28" s="1"/>
  <c r="AE138" i="28"/>
  <c r="AE148" i="28" s="1"/>
  <c r="AE150" i="28" s="1"/>
  <c r="AJ138" i="28"/>
  <c r="AJ148" i="28" s="1"/>
  <c r="AJ150" i="28" s="1"/>
  <c r="AO138" i="28"/>
  <c r="AO148" i="28" s="1"/>
  <c r="AO150" i="28" s="1"/>
  <c r="H138" i="28"/>
  <c r="Z138" i="28"/>
  <c r="Z148" i="28" s="1"/>
  <c r="Z150" i="28" s="1"/>
  <c r="E140" i="28"/>
  <c r="BP138" i="28"/>
  <c r="BP148" i="28" s="1"/>
  <c r="BP150" i="28" s="1"/>
  <c r="AA138" i="28"/>
  <c r="AA148" i="28" s="1"/>
  <c r="AA150" i="28" s="1"/>
  <c r="BA138" i="28"/>
  <c r="BA148" i="28" s="1"/>
  <c r="BA150" i="28" s="1"/>
  <c r="K31" i="9"/>
  <c r="U104" i="25" s="1"/>
  <c r="U103" i="25" s="1"/>
  <c r="C5" i="33"/>
  <c r="BS138" i="28"/>
  <c r="BS148" i="28" s="1"/>
  <c r="BS150" i="28" s="1"/>
  <c r="AD138" i="28"/>
  <c r="AD148" i="28" s="1"/>
  <c r="AD150" i="28" s="1"/>
  <c r="R138" i="28"/>
  <c r="R148" i="28" s="1"/>
  <c r="R150" i="28" s="1"/>
  <c r="AM138" i="28"/>
  <c r="AM148" i="28" s="1"/>
  <c r="AM150" i="28" s="1"/>
  <c r="S138" i="28"/>
  <c r="S148" i="28" s="1"/>
  <c r="S150" i="28" s="1"/>
  <c r="AP138" i="28"/>
  <c r="AP148" i="28" s="1"/>
  <c r="AP150" i="28" s="1"/>
  <c r="BR138" i="28"/>
  <c r="BR148" i="28" s="1"/>
  <c r="BR150" i="28" s="1"/>
  <c r="T138" i="28"/>
  <c r="T148" i="28" s="1"/>
  <c r="T150" i="28" s="1"/>
  <c r="AX138" i="28"/>
  <c r="AX148" i="28" s="1"/>
  <c r="AX150" i="28" s="1"/>
  <c r="BB138" i="28"/>
  <c r="BB148" i="28" s="1"/>
  <c r="BB150" i="28" s="1"/>
  <c r="E143" i="28"/>
  <c r="AC138" i="28"/>
  <c r="AC148" i="28" s="1"/>
  <c r="AC150" i="28" s="1"/>
  <c r="AY138" i="28"/>
  <c r="AY148" i="28" s="1"/>
  <c r="AY150" i="28" s="1"/>
  <c r="BL138" i="28"/>
  <c r="BL148" i="28" s="1"/>
  <c r="BL150" i="28" s="1"/>
  <c r="AW138" i="28"/>
  <c r="AW148" i="28" s="1"/>
  <c r="AW150" i="28" s="1"/>
  <c r="BC138" i="28"/>
  <c r="BC148" i="28" s="1"/>
  <c r="BC150" i="28" s="1"/>
  <c r="E145" i="28"/>
  <c r="O138" i="28"/>
  <c r="O148" i="28" s="1"/>
  <c r="O150" i="28" s="1"/>
  <c r="BF138" i="28"/>
  <c r="BF148" i="28" s="1"/>
  <c r="BF150" i="28" s="1"/>
  <c r="BH138" i="28"/>
  <c r="BH148" i="28" s="1"/>
  <c r="BH150" i="28" s="1"/>
  <c r="K32" i="9" l="1"/>
  <c r="V104" i="25" s="1"/>
  <c r="V103" i="25" s="1"/>
  <c r="AJ36" i="28"/>
  <c r="BB36" i="28"/>
  <c r="F7" i="33"/>
  <c r="F9" i="33" s="1"/>
  <c r="G9" i="33" s="1"/>
  <c r="AL36" i="28"/>
  <c r="AR36" i="28"/>
  <c r="T36" i="28"/>
  <c r="I149" i="28"/>
  <c r="I150" i="28"/>
  <c r="I151" i="28" s="1"/>
  <c r="AX36" i="28"/>
  <c r="AW36" i="28"/>
  <c r="BA36" i="28"/>
  <c r="BN36" i="28"/>
  <c r="BF36" i="28"/>
  <c r="BS36" i="28"/>
  <c r="BL36" i="28"/>
  <c r="S36" i="28"/>
  <c r="AA36" i="28"/>
  <c r="AI36" i="28"/>
  <c r="BR36" i="28"/>
  <c r="AY36" i="28"/>
  <c r="AM36" i="28"/>
  <c r="BP36" i="28"/>
  <c r="Z36" i="28"/>
  <c r="AO36" i="28"/>
  <c r="AB36" i="28"/>
  <c r="AG36" i="28"/>
  <c r="AE36" i="28"/>
  <c r="O36" i="28"/>
  <c r="AC36" i="28"/>
  <c r="R36" i="28"/>
  <c r="AT36" i="28"/>
  <c r="BH36" i="28"/>
  <c r="AD36" i="28"/>
  <c r="X36" i="28"/>
  <c r="AP36" i="28"/>
  <c r="BC36" i="28"/>
  <c r="E138" i="28"/>
  <c r="J148" i="28" l="1"/>
  <c r="J149" i="28" s="1"/>
  <c r="G8" i="33"/>
  <c r="J150" i="28" l="1"/>
  <c r="K148" i="28"/>
  <c r="K150" i="28" s="1"/>
  <c r="K149" i="28" l="1"/>
  <c r="K36" i="28"/>
  <c r="J36" i="28"/>
  <c r="J151" i="28"/>
  <c r="K151" i="28" s="1"/>
  <c r="L148" i="28" l="1"/>
  <c r="L149" i="28" s="1"/>
  <c r="L121" i="28" l="1"/>
  <c r="M148" i="28"/>
  <c r="M150" i="28" s="1"/>
  <c r="L150" i="28"/>
  <c r="BZ149" i="28" l="1"/>
  <c r="M36" i="28"/>
  <c r="L36" i="28"/>
  <c r="BZ151" i="28"/>
  <c r="L151" i="28"/>
  <c r="M151" i="28" s="1"/>
  <c r="N151" i="28" s="1"/>
  <c r="O151" i="28" s="1"/>
  <c r="P151" i="28" s="1"/>
  <c r="Q151" i="28" s="1"/>
  <c r="R151" i="28" s="1"/>
  <c r="S151" i="28" s="1"/>
  <c r="T151" i="28" s="1"/>
  <c r="U151" i="28" s="1"/>
  <c r="V151" i="28" s="1"/>
  <c r="W151" i="28" s="1"/>
  <c r="X151" i="28" s="1"/>
  <c r="Y151" i="28" s="1"/>
  <c r="Z151" i="28" s="1"/>
  <c r="AA151" i="28" s="1"/>
  <c r="AB151" i="28" s="1"/>
  <c r="AC151" i="28" s="1"/>
  <c r="AD151" i="28" s="1"/>
  <c r="AE151" i="28" s="1"/>
  <c r="AF151" i="28" s="1"/>
  <c r="AG151" i="28" s="1"/>
  <c r="AH151" i="28" s="1"/>
  <c r="AI151" i="28" s="1"/>
  <c r="AJ151" i="28" s="1"/>
  <c r="AK151" i="28" s="1"/>
  <c r="AL151" i="28" s="1"/>
  <c r="AM151" i="28" s="1"/>
  <c r="AN151" i="28" s="1"/>
  <c r="AO151" i="28" s="1"/>
  <c r="AP151" i="28" s="1"/>
  <c r="AQ151" i="28" s="1"/>
  <c r="AR151" i="28" s="1"/>
  <c r="AS151" i="28" s="1"/>
  <c r="AT151" i="28" s="1"/>
  <c r="AU151" i="28" s="1"/>
  <c r="AV151" i="28" s="1"/>
  <c r="AW151" i="28" s="1"/>
  <c r="AX151" i="28" s="1"/>
  <c r="AY151" i="28" s="1"/>
  <c r="AZ151" i="28" s="1"/>
  <c r="BA151" i="28" s="1"/>
  <c r="BB151" i="28" s="1"/>
  <c r="BC151" i="28" s="1"/>
  <c r="BD151" i="28" s="1"/>
  <c r="BE151" i="28" s="1"/>
  <c r="BF151" i="28" s="1"/>
  <c r="BG151" i="28" s="1"/>
  <c r="BH151" i="28" s="1"/>
  <c r="BI151" i="28" s="1"/>
  <c r="BJ151" i="28" s="1"/>
  <c r="BK151" i="28" s="1"/>
  <c r="BL151" i="28" s="1"/>
  <c r="BM151" i="28" s="1"/>
  <c r="BN151" i="28" s="1"/>
  <c r="BO151" i="28" s="1"/>
  <c r="BP151" i="28" s="1"/>
  <c r="BQ151" i="28" s="1"/>
  <c r="BR151" i="28" s="1"/>
  <c r="BS151" i="28" s="1"/>
  <c r="BT151" i="28" s="1"/>
  <c r="BU151" i="28" s="1"/>
  <c r="BV151" i="28" s="1"/>
  <c r="BW151" i="28" s="1"/>
  <c r="BX151" i="28" s="1"/>
  <c r="M149" i="28"/>
  <c r="L122" i="28"/>
  <c r="M121" i="28" l="1"/>
  <c r="M122" i="28" s="1"/>
  <c r="N149" i="28"/>
  <c r="M158" i="28"/>
  <c r="N158" i="28" l="1"/>
  <c r="N105" i="28" s="1"/>
  <c r="M105" i="28"/>
  <c r="N121" i="28"/>
  <c r="N122" i="28" s="1"/>
  <c r="O149" i="28"/>
  <c r="O158" i="28" l="1"/>
  <c r="O105" i="28" s="1"/>
  <c r="O121" i="28"/>
  <c r="O122" i="28" s="1"/>
  <c r="P149" i="28"/>
  <c r="P158" i="28" l="1"/>
  <c r="Q149" i="28"/>
  <c r="P121" i="28"/>
  <c r="P122" i="28" s="1"/>
  <c r="Q158" i="28" l="1"/>
  <c r="Q105" i="28" s="1"/>
  <c r="R149" i="28"/>
  <c r="Q121" i="28"/>
  <c r="Q122" i="28" s="1"/>
  <c r="P105" i="28"/>
  <c r="R158" i="28" l="1"/>
  <c r="S149" i="28"/>
  <c r="R121" i="28"/>
  <c r="R122" i="28" s="1"/>
  <c r="S158" i="28" l="1"/>
  <c r="S105" i="28" s="1"/>
  <c r="T149" i="28"/>
  <c r="S121" i="28"/>
  <c r="S122" i="28" s="1"/>
  <c r="R105" i="28"/>
  <c r="T158" i="28" l="1"/>
  <c r="U149" i="28"/>
  <c r="T121" i="28"/>
  <c r="T122" i="28" s="1"/>
  <c r="U158" i="28" l="1"/>
  <c r="U105" i="28" s="1"/>
  <c r="U121" i="28"/>
  <c r="U122" i="28" s="1"/>
  <c r="V149" i="28"/>
  <c r="T105" i="28"/>
  <c r="V158" i="28" l="1"/>
  <c r="V105" i="28" s="1"/>
  <c r="V121" i="28"/>
  <c r="V122" i="28" s="1"/>
  <c r="W149" i="28"/>
  <c r="W158" i="28" l="1"/>
  <c r="W105" i="28" s="1"/>
  <c r="X149" i="28"/>
  <c r="W121" i="28"/>
  <c r="W122" i="28" s="1"/>
  <c r="X158" i="28" l="1"/>
  <c r="X105" i="28" s="1"/>
  <c r="Y149" i="28"/>
  <c r="X121" i="28"/>
  <c r="X122" i="28" s="1"/>
  <c r="Y158" i="28" l="1"/>
  <c r="Y105" i="28" s="1"/>
  <c r="Y121" i="28"/>
  <c r="Y122" i="28" s="1"/>
  <c r="Z149" i="28"/>
  <c r="Z158" i="28" l="1"/>
  <c r="Z105" i="28" s="1"/>
  <c r="AA149" i="28"/>
  <c r="Z121" i="28"/>
  <c r="Z122" i="28" s="1"/>
  <c r="AA158" i="28" l="1"/>
  <c r="AA105" i="28" s="1"/>
  <c r="AB149" i="28"/>
  <c r="AA121" i="28"/>
  <c r="AA122" i="28" s="1"/>
  <c r="AB158" i="28" l="1"/>
  <c r="AB105" i="28" s="1"/>
  <c r="AC149" i="28"/>
  <c r="AB121" i="28"/>
  <c r="AB122" i="28" s="1"/>
  <c r="AC158" i="28" l="1"/>
  <c r="AC105" i="28" s="1"/>
  <c r="AD149" i="28"/>
  <c r="AC121" i="28"/>
  <c r="AC122" i="28" s="1"/>
  <c r="AD158" i="28" l="1"/>
  <c r="AD105" i="28" s="1"/>
  <c r="AE149" i="28"/>
  <c r="AD121" i="28"/>
  <c r="AD122" i="28" s="1"/>
  <c r="AE158" i="28" l="1"/>
  <c r="AE105" i="28" s="1"/>
  <c r="AE121" i="28"/>
  <c r="AE122" i="28" s="1"/>
  <c r="AF149" i="28"/>
  <c r="AF158" i="28" l="1"/>
  <c r="AF105" i="28" s="1"/>
  <c r="AF121" i="28"/>
  <c r="AF122" i="28" s="1"/>
  <c r="AG149" i="28"/>
  <c r="AG158" i="28" l="1"/>
  <c r="AG105" i="28" s="1"/>
  <c r="AH149" i="28"/>
  <c r="AG121" i="28"/>
  <c r="AG122" i="28" s="1"/>
  <c r="AH158" i="28" l="1"/>
  <c r="AH105" i="28" s="1"/>
  <c r="AH121" i="28"/>
  <c r="AH122" i="28" s="1"/>
  <c r="AI149" i="28"/>
  <c r="AI158" i="28" l="1"/>
  <c r="AI105" i="28" s="1"/>
  <c r="AI121" i="28"/>
  <c r="AI122" i="28" s="1"/>
  <c r="AJ149" i="28"/>
  <c r="AJ158" i="28" l="1"/>
  <c r="AJ105" i="28" s="1"/>
  <c r="AK149" i="28"/>
  <c r="AJ121" i="28"/>
  <c r="AJ122" i="28" s="1"/>
  <c r="AK158" i="28" l="1"/>
  <c r="AK105" i="28" s="1"/>
  <c r="AK121" i="28"/>
  <c r="AK122" i="28" s="1"/>
  <c r="AL149" i="28"/>
  <c r="AL158" i="28" l="1"/>
  <c r="AL105" i="28" s="1"/>
  <c r="AL121" i="28"/>
  <c r="AL122" i="28" s="1"/>
  <c r="AM149" i="28"/>
  <c r="AM158" i="28" l="1"/>
  <c r="AM105" i="28" s="1"/>
  <c r="AN149" i="28"/>
  <c r="AM121" i="28"/>
  <c r="AM122" i="28" s="1"/>
  <c r="AN158" i="28" l="1"/>
  <c r="AN105" i="28" s="1"/>
  <c r="AN121" i="28"/>
  <c r="AN122" i="28" s="1"/>
  <c r="AO149" i="28"/>
  <c r="AO158" i="28" l="1"/>
  <c r="AO105" i="28" s="1"/>
  <c r="AO121" i="28"/>
  <c r="AO122" i="28" s="1"/>
  <c r="AP149" i="28"/>
  <c r="AP158" i="28" l="1"/>
  <c r="AP105" i="28" s="1"/>
  <c r="AP121" i="28"/>
  <c r="AP122" i="28" s="1"/>
  <c r="AQ149" i="28"/>
  <c r="AQ158" i="28" l="1"/>
  <c r="AQ121" i="28"/>
  <c r="AQ122" i="28" s="1"/>
  <c r="AR149" i="28"/>
  <c r="AR121" i="28" l="1"/>
  <c r="AR122" i="28" s="1"/>
  <c r="AS149" i="28"/>
  <c r="AQ105" i="28"/>
  <c r="BZ105" i="28" s="1"/>
  <c r="E158" i="28"/>
  <c r="E105" i="28" s="1"/>
  <c r="E90" i="25" s="1"/>
  <c r="AA90" i="25" l="1"/>
  <c r="G90" i="25"/>
  <c r="CA105" i="28"/>
  <c r="F105" i="28" s="1"/>
  <c r="AS121" i="28"/>
  <c r="AS122" i="28" s="1"/>
  <c r="AT149" i="28"/>
  <c r="AU149" i="28" l="1"/>
  <c r="AT121" i="28"/>
  <c r="AT122" i="28" s="1"/>
  <c r="AC90" i="25"/>
  <c r="AD90" i="25" s="1"/>
  <c r="AU121" i="28" l="1"/>
  <c r="AU122" i="28" s="1"/>
  <c r="AV149" i="28"/>
  <c r="AV121" i="28" l="1"/>
  <c r="AV122" i="28" s="1"/>
  <c r="AW149" i="28"/>
  <c r="AW121" i="28" l="1"/>
  <c r="AW122" i="28" s="1"/>
  <c r="AX149" i="28"/>
  <c r="AX121" i="28" l="1"/>
  <c r="AX122" i="28" s="1"/>
  <c r="AY149" i="28"/>
  <c r="AY121" i="28" l="1"/>
  <c r="AY122" i="28" s="1"/>
  <c r="AZ149" i="28"/>
  <c r="AZ121" i="28" l="1"/>
  <c r="AZ122" i="28" s="1"/>
  <c r="BA149" i="28"/>
  <c r="BA121" i="28" l="1"/>
  <c r="BA122" i="28" s="1"/>
  <c r="BB149" i="28"/>
  <c r="BC149" i="28" l="1"/>
  <c r="BB121" i="28"/>
  <c r="BB122" i="28" s="1"/>
  <c r="BC121" i="28" l="1"/>
  <c r="BC122" i="28" s="1"/>
  <c r="BD149" i="28"/>
  <c r="BD121" i="28" l="1"/>
  <c r="BD122" i="28" s="1"/>
  <c r="BE149" i="28"/>
  <c r="BE121" i="28" l="1"/>
  <c r="BE122" i="28" s="1"/>
  <c r="BF149" i="28"/>
  <c r="BF121" i="28" l="1"/>
  <c r="BF122" i="28" s="1"/>
  <c r="BG149" i="28"/>
  <c r="BG121" i="28" l="1"/>
  <c r="BG122" i="28" s="1"/>
  <c r="BH149" i="28"/>
  <c r="BH121" i="28" l="1"/>
  <c r="BH122" i="28" s="1"/>
  <c r="BI149" i="28"/>
  <c r="BI121" i="28" l="1"/>
  <c r="BI122" i="28" s="1"/>
  <c r="BJ149" i="28"/>
  <c r="BJ121" i="28" l="1"/>
  <c r="BJ122" i="28" s="1"/>
  <c r="BK149" i="28"/>
  <c r="BK121" i="28" l="1"/>
  <c r="BK122" i="28" s="1"/>
  <c r="BL149" i="28"/>
  <c r="BL121" i="28" l="1"/>
  <c r="BL122" i="28" s="1"/>
  <c r="BM149" i="28"/>
  <c r="BM121" i="28" l="1"/>
  <c r="BM122" i="28" s="1"/>
  <c r="BN149" i="28"/>
  <c r="BN121" i="28" l="1"/>
  <c r="BN122" i="28" s="1"/>
  <c r="BO149" i="28"/>
  <c r="BO121" i="28" l="1"/>
  <c r="BO122" i="28" s="1"/>
  <c r="BP149" i="28"/>
  <c r="BQ149" i="28" l="1"/>
  <c r="BP121" i="28"/>
  <c r="BP122" i="28" s="1"/>
  <c r="BQ121" i="28" l="1"/>
  <c r="BQ122" i="28" s="1"/>
  <c r="BR149" i="28"/>
  <c r="BR121" i="28" l="1"/>
  <c r="BR122" i="28" s="1"/>
  <c r="BS149" i="28"/>
  <c r="BS121" i="28" l="1"/>
  <c r="BS122" i="28" s="1"/>
  <c r="BT149" i="28"/>
  <c r="BU149" i="28" l="1"/>
  <c r="BT121" i="28"/>
  <c r="BT122" i="28" s="1"/>
  <c r="BU121" i="28" l="1"/>
  <c r="CA149" i="28" l="1"/>
  <c r="CB149" i="28" s="1"/>
  <c r="BV148" i="28" s="1"/>
  <c r="E121" i="28"/>
  <c r="B137" i="28" s="1"/>
  <c r="BU122" i="28"/>
  <c r="BV123" i="28" l="1"/>
  <c r="BV149" i="28"/>
  <c r="BW149" i="28" s="1"/>
  <c r="BX149" i="28" s="1"/>
  <c r="BV124" i="28" l="1"/>
  <c r="BV161" i="28" l="1"/>
  <c r="BV162" i="28" s="1"/>
  <c r="E124" i="28"/>
  <c r="BW123" i="28"/>
  <c r="BV128" i="28"/>
  <c r="BV166" i="28"/>
  <c r="BW124" i="28" l="1"/>
  <c r="BV129" i="28"/>
  <c r="E129" i="28" l="1"/>
  <c r="BV171" i="28"/>
  <c r="BV133" i="28"/>
  <c r="BX123" i="28"/>
  <c r="BW166" i="28"/>
  <c r="BW128" i="28"/>
  <c r="BV167" i="28" l="1"/>
  <c r="BV155" i="28" s="1"/>
  <c r="BV134" i="28"/>
  <c r="E123" i="28"/>
  <c r="BX124" i="28"/>
  <c r="BW129" i="28"/>
  <c r="BX166" i="28" l="1"/>
  <c r="BX128" i="28"/>
  <c r="BX129" i="28" s="1"/>
  <c r="BD161" i="28"/>
  <c r="BD162" i="28" s="1"/>
  <c r="E134" i="28"/>
  <c r="BV176" i="28"/>
  <c r="BW133" i="28"/>
  <c r="BW171" i="28"/>
  <c r="E155" i="28"/>
  <c r="E100" i="28" s="1"/>
  <c r="E85" i="25" s="1"/>
  <c r="BV100" i="28"/>
  <c r="BZ100" i="28" s="1"/>
  <c r="CA100" i="28" l="1"/>
  <c r="F100" i="28" s="1"/>
  <c r="BW134" i="28"/>
  <c r="V44" i="25"/>
  <c r="AA85" i="25"/>
  <c r="G85" i="25"/>
  <c r="BX171" i="28"/>
  <c r="BV172" i="28" s="1"/>
  <c r="BV156" i="28" s="1"/>
  <c r="E128" i="28"/>
  <c r="BV168" i="28"/>
  <c r="BX169" i="28"/>
  <c r="AC85" i="25" l="1"/>
  <c r="AD85" i="25" s="1"/>
  <c r="V46" i="25"/>
  <c r="V45" i="25"/>
  <c r="BW176" i="28"/>
  <c r="E156" i="28"/>
  <c r="E102" i="28" s="1"/>
  <c r="E87" i="25" s="1"/>
  <c r="BV102" i="28"/>
  <c r="BZ102" i="28" s="1"/>
  <c r="BX133" i="28"/>
  <c r="BX174" i="28"/>
  <c r="BV173" i="28"/>
  <c r="CA102" i="28" l="1"/>
  <c r="F102" i="28" s="1"/>
  <c r="W44" i="25"/>
  <c r="AA87" i="25"/>
  <c r="G87" i="25"/>
  <c r="E133" i="28"/>
  <c r="E135" i="28" s="1"/>
  <c r="CA151" i="28"/>
  <c r="BX134" i="28"/>
  <c r="BX176" i="28" s="1"/>
  <c r="BV177" i="28" s="1"/>
  <c r="BV157" i="28" s="1"/>
  <c r="BV104" i="28" l="1"/>
  <c r="BZ104" i="28" s="1"/>
  <c r="E157" i="28"/>
  <c r="E104" i="28" s="1"/>
  <c r="E89" i="25" s="1"/>
  <c r="J53" i="25" s="1"/>
  <c r="E53" i="25" s="1"/>
  <c r="BX179" i="28"/>
  <c r="AC87" i="25"/>
  <c r="AD87" i="25" s="1"/>
  <c r="BV178" i="28"/>
  <c r="W45" i="25"/>
  <c r="W46" i="25"/>
  <c r="AA89" i="25" l="1"/>
  <c r="G89" i="25"/>
  <c r="G95" i="25" s="1"/>
  <c r="E95" i="25"/>
  <c r="CA104" i="28"/>
  <c r="F104" i="28" s="1"/>
  <c r="C119" i="25" l="1"/>
  <c r="E69" i="28"/>
  <c r="AK33" i="25"/>
  <c r="AL33" i="25" s="1"/>
  <c r="E60" i="25"/>
  <c r="G18" i="35"/>
  <c r="H18" i="35" s="1"/>
  <c r="G53" i="25"/>
  <c r="AA53" i="25"/>
  <c r="E96" i="25"/>
  <c r="AC89" i="25"/>
  <c r="AC95" i="25" s="1"/>
  <c r="U39" i="25" s="1"/>
  <c r="AA95" i="25"/>
  <c r="S39" i="25" s="1"/>
  <c r="H27" i="25" l="1"/>
  <c r="H55" i="25"/>
  <c r="H88" i="25"/>
  <c r="H74" i="25"/>
  <c r="H24" i="25"/>
  <c r="H67" i="25"/>
  <c r="H62" i="25"/>
  <c r="H58" i="25"/>
  <c r="H56" i="25"/>
  <c r="H80" i="25"/>
  <c r="H91" i="25"/>
  <c r="H42" i="25"/>
  <c r="H69" i="25"/>
  <c r="H52" i="25"/>
  <c r="H68" i="25"/>
  <c r="H71" i="25"/>
  <c r="H39" i="25"/>
  <c r="H35" i="25"/>
  <c r="H46" i="25"/>
  <c r="H70" i="25"/>
  <c r="H61" i="25"/>
  <c r="H79" i="25"/>
  <c r="H94" i="25"/>
  <c r="H34" i="25"/>
  <c r="H47" i="25"/>
  <c r="H64" i="25"/>
  <c r="H37" i="25"/>
  <c r="H40" i="25"/>
  <c r="H23" i="25"/>
  <c r="H43" i="25"/>
  <c r="H33" i="25"/>
  <c r="H57" i="25"/>
  <c r="H44" i="25"/>
  <c r="H29" i="25"/>
  <c r="J25" i="9"/>
  <c r="H77" i="25"/>
  <c r="H72" i="25"/>
  <c r="H28" i="25"/>
  <c r="H26" i="25"/>
  <c r="H86" i="25"/>
  <c r="H81" i="25"/>
  <c r="H63" i="25"/>
  <c r="H84" i="25"/>
  <c r="H66" i="25"/>
  <c r="H48" i="25"/>
  <c r="H30" i="25"/>
  <c r="H83" i="25"/>
  <c r="H49" i="25"/>
  <c r="H50" i="25"/>
  <c r="H51" i="25"/>
  <c r="H31" i="25"/>
  <c r="H78" i="25"/>
  <c r="H65" i="25"/>
  <c r="H75" i="25"/>
  <c r="H92" i="25"/>
  <c r="H82" i="25"/>
  <c r="H41" i="25"/>
  <c r="H38" i="25"/>
  <c r="H54" i="25"/>
  <c r="H25" i="25"/>
  <c r="H76" i="25"/>
  <c r="H32" i="25"/>
  <c r="H59" i="25"/>
  <c r="H73" i="25"/>
  <c r="H36" i="25"/>
  <c r="H45" i="25"/>
  <c r="H96" i="25"/>
  <c r="AK28" i="25"/>
  <c r="E97" i="25"/>
  <c r="G13" i="35"/>
  <c r="D47" i="9"/>
  <c r="D52" i="9" s="1"/>
  <c r="C120" i="25"/>
  <c r="D119" i="25" s="1"/>
  <c r="H90" i="25"/>
  <c r="H85" i="25"/>
  <c r="H87" i="25"/>
  <c r="H89" i="25"/>
  <c r="AC53" i="25"/>
  <c r="AD53" i="25" s="1"/>
  <c r="AA60" i="25"/>
  <c r="S35" i="25" s="1"/>
  <c r="G60" i="25"/>
  <c r="G96" i="25" s="1"/>
  <c r="G97" i="25" s="1"/>
  <c r="G98" i="25" s="1"/>
  <c r="H60" i="25"/>
  <c r="C116" i="25"/>
  <c r="H53" i="25"/>
  <c r="AM69" i="28"/>
  <c r="AR69" i="28"/>
  <c r="BF69" i="28"/>
  <c r="BD69" i="28"/>
  <c r="AY69" i="28"/>
  <c r="BN69" i="28"/>
  <c r="AN69" i="28"/>
  <c r="AO69" i="28"/>
  <c r="AF69" i="28"/>
  <c r="BQ69" i="28"/>
  <c r="AX69" i="28"/>
  <c r="AV69" i="28"/>
  <c r="BI69" i="28"/>
  <c r="BO69" i="28"/>
  <c r="BR69" i="28"/>
  <c r="N69" i="28"/>
  <c r="AK69" i="28"/>
  <c r="X69" i="28"/>
  <c r="AB69" i="28"/>
  <c r="Q69" i="28"/>
  <c r="BL69" i="28"/>
  <c r="AC69" i="28"/>
  <c r="L69" i="28"/>
  <c r="AT69" i="28"/>
  <c r="AU69" i="28"/>
  <c r="AW69" i="28"/>
  <c r="AJ69" i="28"/>
  <c r="AS69" i="28"/>
  <c r="BC69" i="28"/>
  <c r="W69" i="28"/>
  <c r="S69" i="28"/>
  <c r="BE69" i="28"/>
  <c r="BU69" i="28"/>
  <c r="BX69" i="28"/>
  <c r="BK69" i="28"/>
  <c r="BB69" i="28"/>
  <c r="BH69" i="28"/>
  <c r="O69" i="28"/>
  <c r="M69" i="28"/>
  <c r="V69" i="28"/>
  <c r="AZ69" i="28"/>
  <c r="AE69" i="28"/>
  <c r="BP69" i="28"/>
  <c r="BT69" i="28"/>
  <c r="P69" i="28"/>
  <c r="T69" i="28"/>
  <c r="AA69" i="28"/>
  <c r="BG69" i="28"/>
  <c r="U69" i="28"/>
  <c r="AD69" i="28"/>
  <c r="BA69" i="28"/>
  <c r="AH69" i="28"/>
  <c r="BS69" i="28"/>
  <c r="AQ69" i="28"/>
  <c r="Y69" i="28"/>
  <c r="BM69" i="28"/>
  <c r="AI69" i="28"/>
  <c r="AP69" i="28"/>
  <c r="AL69" i="28"/>
  <c r="R69" i="28"/>
  <c r="BJ69" i="28"/>
  <c r="Z69" i="28"/>
  <c r="AG69" i="28"/>
  <c r="K69" i="28"/>
  <c r="K110" i="28" s="1"/>
  <c r="E110" i="28"/>
  <c r="E113" i="28" s="1"/>
  <c r="BV69" i="28"/>
  <c r="BV110" i="28" s="1"/>
  <c r="BV115" i="28" s="1"/>
  <c r="BW69" i="28"/>
  <c r="BW110" i="28" s="1"/>
  <c r="BW115" i="28" s="1"/>
  <c r="J69" i="28"/>
  <c r="H95" i="25"/>
  <c r="AD89" i="25"/>
  <c r="AD95" i="25" s="1"/>
  <c r="V39" i="25"/>
  <c r="D116" i="25" l="1"/>
  <c r="G29" i="35"/>
  <c r="G20" i="35"/>
  <c r="H13" i="35"/>
  <c r="H20" i="35" s="1"/>
  <c r="H21" i="35" s="1"/>
  <c r="E98" i="25"/>
  <c r="CA113" i="28"/>
  <c r="F113" i="28" s="1"/>
  <c r="AK35" i="25"/>
  <c r="AP24" i="25"/>
  <c r="AO26" i="25" s="1"/>
  <c r="AL26" i="25" s="1"/>
  <c r="AL27" i="25" s="1"/>
  <c r="AL28" i="25"/>
  <c r="AL35" i="25" s="1"/>
  <c r="AD60" i="25"/>
  <c r="AD96" i="25" s="1"/>
  <c r="AC60" i="25"/>
  <c r="U35" i="25" s="1"/>
  <c r="U40" i="25" s="1"/>
  <c r="AA96" i="25"/>
  <c r="Z97" i="25" s="1"/>
  <c r="AB97" i="25" s="1"/>
  <c r="J110" i="28"/>
  <c r="BZ69" i="28"/>
  <c r="CA69" i="28" s="1"/>
  <c r="F69" i="28" s="1"/>
  <c r="S40" i="25"/>
  <c r="P7" i="10" s="1"/>
  <c r="P12" i="10" s="1"/>
  <c r="P13" i="10" s="1"/>
  <c r="K18" i="10" s="1"/>
  <c r="P18" i="10" s="1"/>
  <c r="K115" i="28"/>
  <c r="D117" i="25"/>
  <c r="D114" i="25"/>
  <c r="D115" i="25"/>
  <c r="D118" i="25"/>
  <c r="D113" i="25"/>
  <c r="D120" i="25"/>
  <c r="D112" i="25"/>
  <c r="C121" i="25"/>
  <c r="C122" i="25" s="1"/>
  <c r="AL36" i="25" l="1"/>
  <c r="AC96" i="25"/>
  <c r="AC97" i="25" s="1"/>
  <c r="AE97" i="25" s="1"/>
  <c r="AK36" i="25"/>
  <c r="AK37" i="25"/>
  <c r="Q18" i="10"/>
  <c r="S18" i="10"/>
  <c r="S32" i="10"/>
  <c r="S33" i="10" s="1"/>
  <c r="V35" i="25"/>
  <c r="V40" i="25" s="1"/>
  <c r="T53" i="25" s="1"/>
  <c r="W104" i="25"/>
  <c r="S59" i="25"/>
  <c r="T59" i="25" s="1"/>
  <c r="F4" i="33"/>
  <c r="D48" i="9"/>
  <c r="D51" i="9" s="1"/>
  <c r="D54" i="9" s="1"/>
  <c r="T52" i="25"/>
  <c r="AL37" i="25"/>
  <c r="J113" i="28"/>
  <c r="K113" i="28" s="1"/>
  <c r="J111" i="28"/>
  <c r="J115" i="28"/>
  <c r="J116" i="28" s="1"/>
  <c r="G21" i="35"/>
  <c r="G22" i="35"/>
  <c r="W52" i="25" l="1"/>
  <c r="V52" i="25"/>
  <c r="T54" i="25"/>
  <c r="U52" i="25" s="1"/>
  <c r="G28" i="35"/>
  <c r="G23" i="35"/>
  <c r="G27" i="35"/>
  <c r="G26" i="35"/>
  <c r="K111" i="28"/>
  <c r="R20" i="9"/>
  <c r="S20" i="9" s="1"/>
  <c r="R14" i="9"/>
  <c r="S14" i="9" s="1"/>
  <c r="T14" i="9" s="1"/>
  <c r="R13" i="9"/>
  <c r="S13" i="9" s="1"/>
  <c r="T13" i="9" s="1"/>
  <c r="R16" i="9"/>
  <c r="S16" i="9" s="1"/>
  <c r="R22" i="9"/>
  <c r="S22" i="9" s="1"/>
  <c r="R23" i="9"/>
  <c r="S23" i="9" s="1"/>
  <c r="R12" i="9"/>
  <c r="S12" i="9" s="1"/>
  <c r="T12" i="9" s="1"/>
  <c r="R17" i="9"/>
  <c r="S17" i="9" s="1"/>
  <c r="R8" i="9"/>
  <c r="S8" i="9" s="1"/>
  <c r="T8" i="9" s="1"/>
  <c r="R21" i="9"/>
  <c r="S21" i="9" s="1"/>
  <c r="R15" i="9"/>
  <c r="S15" i="9" s="1"/>
  <c r="T15" i="9" s="1"/>
  <c r="R10" i="9"/>
  <c r="S10" i="9" s="1"/>
  <c r="T10" i="9" s="1"/>
  <c r="R18" i="9"/>
  <c r="S18" i="9" s="1"/>
  <c r="R11" i="9"/>
  <c r="S11" i="9" s="1"/>
  <c r="T11" i="9" s="1"/>
  <c r="R9" i="9"/>
  <c r="S9" i="9" s="1"/>
  <c r="T9" i="9" s="1"/>
  <c r="R19" i="9"/>
  <c r="S19" i="9" s="1"/>
  <c r="R7" i="9"/>
  <c r="S7" i="9" s="1"/>
  <c r="T7" i="9" s="1"/>
  <c r="G10" i="33"/>
  <c r="G11" i="33" s="1"/>
  <c r="D10" i="33"/>
  <c r="D11" i="33" s="1"/>
  <c r="F10" i="33"/>
  <c r="F11" i="33" s="1"/>
  <c r="K116" i="28"/>
  <c r="AP26" i="25"/>
  <c r="AK39" i="25"/>
  <c r="T20" i="9" l="1"/>
  <c r="U20" i="9" s="1"/>
  <c r="AG20" i="9" s="1"/>
  <c r="T18" i="9"/>
  <c r="Z18" i="9" s="1"/>
  <c r="T19" i="9"/>
  <c r="V19" i="9" s="1"/>
  <c r="AC19" i="9" s="1"/>
  <c r="Z9" i="9"/>
  <c r="X9" i="9"/>
  <c r="AD9" i="9" s="1"/>
  <c r="Z13" i="9"/>
  <c r="X13" i="9"/>
  <c r="AD13" i="9" s="1"/>
  <c r="Z11" i="9"/>
  <c r="X11" i="9"/>
  <c r="AD11" i="9" s="1"/>
  <c r="Z8" i="9"/>
  <c r="X8" i="9"/>
  <c r="AD8" i="9" s="1"/>
  <c r="Z15" i="9"/>
  <c r="X15" i="9"/>
  <c r="AD15" i="9" s="1"/>
  <c r="Z14" i="9"/>
  <c r="X14" i="9"/>
  <c r="AD14" i="9" s="1"/>
  <c r="Z10" i="9"/>
  <c r="X10" i="9"/>
  <c r="AD10" i="9" s="1"/>
  <c r="Z12" i="9"/>
  <c r="X12" i="9"/>
  <c r="AD12" i="9" s="1"/>
  <c r="X20" i="9"/>
  <c r="AD20" i="9" s="1"/>
  <c r="Z20" i="9"/>
  <c r="X7" i="9"/>
  <c r="AD7" i="9" s="1"/>
  <c r="Z7" i="9"/>
  <c r="X18" i="9"/>
  <c r="AD18" i="9" s="1"/>
  <c r="U9" i="9"/>
  <c r="V9" i="9"/>
  <c r="AC9" i="9" s="1"/>
  <c r="U10" i="9"/>
  <c r="V10" i="9"/>
  <c r="AC10" i="9" s="1"/>
  <c r="U15" i="9"/>
  <c r="V15" i="9"/>
  <c r="AC15" i="9" s="1"/>
  <c r="U11" i="9"/>
  <c r="V11" i="9"/>
  <c r="AC11" i="9" s="1"/>
  <c r="L38" i="28"/>
  <c r="L43" i="28" s="1"/>
  <c r="T21" i="9"/>
  <c r="U12" i="9"/>
  <c r="V12" i="9"/>
  <c r="AC12" i="9" s="1"/>
  <c r="U8" i="9"/>
  <c r="V8" i="9"/>
  <c r="AC8" i="9" s="1"/>
  <c r="T17" i="9"/>
  <c r="T23" i="9"/>
  <c r="U14" i="9"/>
  <c r="V14" i="9"/>
  <c r="AC14" i="9" s="1"/>
  <c r="V7" i="9"/>
  <c r="U7" i="9"/>
  <c r="T22" i="9"/>
  <c r="V13" i="9"/>
  <c r="AC13" i="9" s="1"/>
  <c r="U13" i="9"/>
  <c r="F13" i="33"/>
  <c r="G13" i="33"/>
  <c r="T16" i="9"/>
  <c r="V18" i="9" l="1"/>
  <c r="AC18" i="9" s="1"/>
  <c r="V20" i="9"/>
  <c r="AC20" i="9" s="1"/>
  <c r="U19" i="9"/>
  <c r="AG19" i="9" s="1"/>
  <c r="Z19" i="9"/>
  <c r="AH19" i="9" s="1"/>
  <c r="X19" i="9"/>
  <c r="AD19" i="9" s="1"/>
  <c r="U18" i="9"/>
  <c r="AG18" i="9" s="1"/>
  <c r="AE18" i="9"/>
  <c r="AH18" i="9"/>
  <c r="X16" i="9"/>
  <c r="AD16" i="9" s="1"/>
  <c r="Z16" i="9"/>
  <c r="AH20" i="9"/>
  <c r="AE20" i="9"/>
  <c r="AE14" i="9"/>
  <c r="AH14" i="9"/>
  <c r="AE11" i="9"/>
  <c r="AH11" i="9"/>
  <c r="Z21" i="9"/>
  <c r="X21" i="9"/>
  <c r="AD21" i="9" s="1"/>
  <c r="AE15" i="9"/>
  <c r="AH15" i="9"/>
  <c r="Z23" i="9"/>
  <c r="X23" i="9"/>
  <c r="AD23" i="9" s="1"/>
  <c r="AH8" i="9"/>
  <c r="AE8" i="9"/>
  <c r="AH7" i="9"/>
  <c r="AE7" i="9"/>
  <c r="Z17" i="9"/>
  <c r="X17" i="9"/>
  <c r="AD17" i="9" s="1"/>
  <c r="AE12" i="9"/>
  <c r="AH12" i="9"/>
  <c r="AE13" i="9"/>
  <c r="AH13" i="9"/>
  <c r="X22" i="9"/>
  <c r="AD22" i="9" s="1"/>
  <c r="Z22" i="9"/>
  <c r="AH10" i="9"/>
  <c r="AE10" i="9"/>
  <c r="AH9" i="9"/>
  <c r="AE9" i="9"/>
  <c r="L110" i="28"/>
  <c r="U16" i="9"/>
  <c r="AG16" i="9" s="1"/>
  <c r="V16" i="9"/>
  <c r="AC16" i="9" s="1"/>
  <c r="U23" i="9"/>
  <c r="AG23" i="9" s="1"/>
  <c r="V23" i="9"/>
  <c r="AC23" i="9" s="1"/>
  <c r="U22" i="9"/>
  <c r="AG22" i="9" s="1"/>
  <c r="V22" i="9"/>
  <c r="AC22" i="9" s="1"/>
  <c r="U17" i="9"/>
  <c r="AG17" i="9" s="1"/>
  <c r="V17" i="9"/>
  <c r="AC17" i="9" s="1"/>
  <c r="V21" i="9"/>
  <c r="AC21" i="9" s="1"/>
  <c r="U21" i="9"/>
  <c r="AG21" i="9" s="1"/>
  <c r="AC7" i="9"/>
  <c r="W20" i="9"/>
  <c r="W18" i="9"/>
  <c r="W23" i="9"/>
  <c r="W17" i="9"/>
  <c r="W21" i="9"/>
  <c r="W22" i="9"/>
  <c r="W19" i="9"/>
  <c r="AE19" i="9" l="1"/>
  <c r="AE17" i="9"/>
  <c r="AH17" i="9"/>
  <c r="AH16" i="9"/>
  <c r="AE16" i="9"/>
  <c r="AE22" i="9"/>
  <c r="AH22" i="9"/>
  <c r="AE23" i="9"/>
  <c r="AH23" i="9"/>
  <c r="AH21" i="9"/>
  <c r="AE21" i="9"/>
  <c r="L115" i="28"/>
  <c r="L116" i="28" s="1"/>
  <c r="L113" i="28"/>
  <c r="L111" i="28"/>
  <c r="M38" i="28" l="1"/>
  <c r="M43" i="28" s="1"/>
  <c r="M110" i="28" l="1"/>
  <c r="M115" i="28" l="1"/>
  <c r="M116" i="28" s="1"/>
  <c r="M113" i="28"/>
  <c r="M111" i="28"/>
  <c r="N38" i="28" l="1"/>
  <c r="N43" i="28" s="1"/>
  <c r="N110" i="28" l="1"/>
  <c r="N115" i="28" l="1"/>
  <c r="N116" i="28" s="1"/>
  <c r="N111" i="28"/>
  <c r="N113" i="28"/>
  <c r="F15" i="33" l="1"/>
  <c r="G15" i="33"/>
  <c r="N117" i="28"/>
  <c r="O38" i="28"/>
  <c r="O43" i="28" s="1"/>
  <c r="O110" i="28" l="1"/>
  <c r="O115" i="28" l="1"/>
  <c r="O116" i="28" s="1"/>
  <c r="O113" i="28"/>
  <c r="O111" i="28"/>
  <c r="O117" i="28" l="1"/>
  <c r="P38" i="28"/>
  <c r="P43" i="28" s="1"/>
  <c r="P110" i="28" l="1"/>
  <c r="P115" i="28" l="1"/>
  <c r="P116" i="28" s="1"/>
  <c r="P111" i="28"/>
  <c r="P113" i="28"/>
  <c r="Q38" i="28" l="1"/>
  <c r="Q43" i="28" s="1"/>
  <c r="Q110" i="28" s="1"/>
  <c r="P117" i="28"/>
  <c r="Q115" i="28" l="1"/>
  <c r="Q116" i="28" s="1"/>
  <c r="Q113" i="28"/>
  <c r="Q111" i="28"/>
  <c r="Q117" i="28" l="1"/>
  <c r="R38" i="28"/>
  <c r="R43" i="28" s="1"/>
  <c r="R110" i="28" s="1"/>
  <c r="R113" i="28" s="1"/>
  <c r="R115" i="28" l="1"/>
  <c r="R116" i="28" s="1"/>
  <c r="R111" i="28"/>
  <c r="R117" i="28" l="1"/>
  <c r="S38" i="28"/>
  <c r="S43" i="28" s="1"/>
  <c r="S110" i="28" s="1"/>
  <c r="S115" i="28" l="1"/>
  <c r="S116" i="28" s="1"/>
  <c r="S113" i="28"/>
  <c r="S111" i="28"/>
  <c r="S117" i="28" l="1"/>
  <c r="T38" i="28"/>
  <c r="T43" i="28" s="1"/>
  <c r="T110" i="28" s="1"/>
  <c r="T115" i="28" l="1"/>
  <c r="T116" i="28" s="1"/>
  <c r="T111" i="28"/>
  <c r="T113" i="28"/>
  <c r="T117" i="28" l="1"/>
  <c r="U38" i="28"/>
  <c r="U43" i="28" s="1"/>
  <c r="U110" i="28" s="1"/>
  <c r="U115" i="28" l="1"/>
  <c r="U116" i="28" s="1"/>
  <c r="U113" i="28"/>
  <c r="U111" i="28"/>
  <c r="U117" i="28" l="1"/>
  <c r="V38" i="28"/>
  <c r="V43" i="28" s="1"/>
  <c r="V110" i="28" s="1"/>
  <c r="V115" i="28" l="1"/>
  <c r="V116" i="28" s="1"/>
  <c r="V111" i="28"/>
  <c r="V113" i="28"/>
  <c r="W38" i="28" l="1"/>
  <c r="W43" i="28" s="1"/>
  <c r="W110" i="28" s="1"/>
  <c r="V117" i="28"/>
  <c r="W115" i="28" l="1"/>
  <c r="W116" i="28" s="1"/>
  <c r="W113" i="28"/>
  <c r="W111" i="28"/>
  <c r="W117" i="28" l="1"/>
  <c r="X38" i="28"/>
  <c r="X43" i="28" s="1"/>
  <c r="X110" i="28" s="1"/>
  <c r="X111" i="28" s="1"/>
  <c r="X113" i="28" l="1"/>
  <c r="X115" i="28"/>
  <c r="X116" i="28" s="1"/>
  <c r="X117" i="28" l="1"/>
  <c r="Y38" i="28"/>
  <c r="Y43" i="28" s="1"/>
  <c r="Y110" i="28" s="1"/>
  <c r="Y113" i="28" s="1"/>
  <c r="Y115" i="28" l="1"/>
  <c r="Y116" i="28" s="1"/>
  <c r="Y111" i="28"/>
  <c r="Z38" i="28" l="1"/>
  <c r="Z43" i="28" s="1"/>
  <c r="Z110" i="28" s="1"/>
  <c r="Y117" i="28"/>
  <c r="Z115" i="28" l="1"/>
  <c r="Z116" i="28" s="1"/>
  <c r="Z113" i="28"/>
  <c r="Z111" i="28"/>
  <c r="Z117" i="28" l="1"/>
  <c r="AA38" i="28"/>
  <c r="AA43" i="28" s="1"/>
  <c r="AA110" i="28" s="1"/>
  <c r="AA115" i="28" l="1"/>
  <c r="AA116" i="28" s="1"/>
  <c r="AA111" i="28"/>
  <c r="AA113" i="28"/>
  <c r="AA117" i="28" l="1"/>
  <c r="AB38" i="28"/>
  <c r="AB43" i="28" s="1"/>
  <c r="AB110" i="28" s="1"/>
  <c r="AB115" i="28" l="1"/>
  <c r="AB116" i="28" s="1"/>
  <c r="AB113" i="28"/>
  <c r="AB111" i="28"/>
  <c r="AC38" i="28" l="1"/>
  <c r="AC43" i="28" s="1"/>
  <c r="AC110" i="28" s="1"/>
  <c r="AB117" i="28"/>
  <c r="AC115" i="28" l="1"/>
  <c r="AC116" i="28" s="1"/>
  <c r="AC111" i="28"/>
  <c r="AC113" i="28"/>
  <c r="AC117" i="28" l="1"/>
  <c r="AD38" i="28"/>
  <c r="AD43" i="28" s="1"/>
  <c r="AD110" i="28" s="1"/>
  <c r="AD115" i="28" l="1"/>
  <c r="AD116" i="28" s="1"/>
  <c r="AD113" i="28"/>
  <c r="AD111" i="28"/>
  <c r="AD117" i="28" l="1"/>
  <c r="AE38" i="28"/>
  <c r="AE43" i="28" s="1"/>
  <c r="AE110" i="28" s="1"/>
  <c r="AE115" i="28" l="1"/>
  <c r="AE116" i="28" s="1"/>
  <c r="AE111" i="28"/>
  <c r="AE113" i="28"/>
  <c r="AF38" i="28" l="1"/>
  <c r="AF43" i="28" s="1"/>
  <c r="AF110" i="28" s="1"/>
  <c r="AE117" i="28"/>
  <c r="AF115" i="28" l="1"/>
  <c r="AF116" i="28" s="1"/>
  <c r="AF113" i="28"/>
  <c r="AF111" i="28"/>
  <c r="AF117" i="28" l="1"/>
  <c r="AG38" i="28"/>
  <c r="AG43" i="28" s="1"/>
  <c r="AG110" i="28" s="1"/>
  <c r="AG115" i="28" l="1"/>
  <c r="AG116" i="28" s="1"/>
  <c r="AG111" i="28"/>
  <c r="AG113" i="28"/>
  <c r="AG117" i="28" l="1"/>
  <c r="AH38" i="28"/>
  <c r="AH43" i="28" s="1"/>
  <c r="AH110" i="28" s="1"/>
  <c r="AH115" i="28" l="1"/>
  <c r="AH116" i="28" s="1"/>
  <c r="AH113" i="28"/>
  <c r="AH111" i="28"/>
  <c r="AH117" i="28" l="1"/>
  <c r="AI38" i="28"/>
  <c r="AI43" i="28" s="1"/>
  <c r="AI110" i="28" s="1"/>
  <c r="AI115" i="28" l="1"/>
  <c r="AI116" i="28" s="1"/>
  <c r="AI111" i="28"/>
  <c r="AI113" i="28"/>
  <c r="AI117" i="28" l="1"/>
  <c r="AJ38" i="28"/>
  <c r="AJ43" i="28" s="1"/>
  <c r="AJ110" i="28" s="1"/>
  <c r="AJ115" i="28" l="1"/>
  <c r="AJ116" i="28" s="1"/>
  <c r="AJ113" i="28"/>
  <c r="AJ111" i="28"/>
  <c r="AJ117" i="28" l="1"/>
  <c r="AK38" i="28"/>
  <c r="AK43" i="28" s="1"/>
  <c r="AK110" i="28" s="1"/>
  <c r="AK115" i="28" l="1"/>
  <c r="AK116" i="28" s="1"/>
  <c r="AK111" i="28"/>
  <c r="AK113" i="28"/>
  <c r="AL38" i="28" l="1"/>
  <c r="AL43" i="28" s="1"/>
  <c r="AL110" i="28" s="1"/>
  <c r="AK117" i="28"/>
  <c r="AL115" i="28" l="1"/>
  <c r="AL116" i="28" s="1"/>
  <c r="AL113" i="28"/>
  <c r="AL111" i="28"/>
  <c r="AM38" i="28" l="1"/>
  <c r="AM43" i="28" s="1"/>
  <c r="AM110" i="28" s="1"/>
  <c r="AL117" i="28"/>
  <c r="AM115" i="28" l="1"/>
  <c r="AM116" i="28" s="1"/>
  <c r="AM111" i="28"/>
  <c r="AM113" i="28"/>
  <c r="AM117" i="28" l="1"/>
  <c r="AN38" i="28"/>
  <c r="AN43" i="28" s="1"/>
  <c r="AN110" i="28" s="1"/>
  <c r="AN115" i="28" l="1"/>
  <c r="AN116" i="28" s="1"/>
  <c r="AN113" i="28"/>
  <c r="AN111" i="28"/>
  <c r="AO38" i="28" l="1"/>
  <c r="AO43" i="28" s="1"/>
  <c r="AO110" i="28" s="1"/>
  <c r="AN117" i="28"/>
  <c r="AO115" i="28" l="1"/>
  <c r="AO116" i="28" s="1"/>
  <c r="AO111" i="28"/>
  <c r="AO113" i="28"/>
  <c r="AO117" i="28" l="1"/>
  <c r="AP38" i="28"/>
  <c r="AP43" i="28" s="1"/>
  <c r="AP110" i="28" s="1"/>
  <c r="AP115" i="28" l="1"/>
  <c r="AP116" i="28" s="1"/>
  <c r="AP113" i="28"/>
  <c r="AP111" i="28"/>
  <c r="AP117" i="28" l="1"/>
  <c r="AQ38" i="28"/>
  <c r="AQ43" i="28" s="1"/>
  <c r="AQ110" i="28" s="1"/>
  <c r="AQ115" i="28" l="1"/>
  <c r="AQ116" i="28" s="1"/>
  <c r="AQ111" i="28"/>
  <c r="AQ113" i="28"/>
  <c r="AR38" i="28" l="1"/>
  <c r="AR43" i="28" s="1"/>
  <c r="AR110" i="28" s="1"/>
  <c r="AQ117" i="28"/>
  <c r="AR115" i="28" l="1"/>
  <c r="AR116" i="28" s="1"/>
  <c r="AR113" i="28"/>
  <c r="AR111" i="28"/>
  <c r="AS38" i="28" l="1"/>
  <c r="AS43" i="28" s="1"/>
  <c r="AS110" i="28" s="1"/>
  <c r="AR117" i="28"/>
  <c r="AS115" i="28" l="1"/>
  <c r="AS116" i="28" s="1"/>
  <c r="AS111" i="28"/>
  <c r="AS113" i="28"/>
  <c r="AS117" i="28" l="1"/>
  <c r="AT38" i="28"/>
  <c r="AT43" i="28" s="1"/>
  <c r="AT110" i="28" s="1"/>
  <c r="AT115" i="28" l="1"/>
  <c r="AT116" i="28" s="1"/>
  <c r="AT113" i="28"/>
  <c r="AT111" i="28"/>
  <c r="AU38" i="28" l="1"/>
  <c r="AU43" i="28" s="1"/>
  <c r="AU110" i="28" s="1"/>
  <c r="AT117" i="28"/>
  <c r="AU115" i="28" l="1"/>
  <c r="AU116" i="28" s="1"/>
  <c r="AU111" i="28"/>
  <c r="AU113" i="28"/>
  <c r="AU117" i="28" l="1"/>
  <c r="AV38" i="28"/>
  <c r="AV43" i="28" s="1"/>
  <c r="AV110" i="28" s="1"/>
  <c r="AV115" i="28" l="1"/>
  <c r="AV116" i="28" s="1"/>
  <c r="AV113" i="28"/>
  <c r="AV111" i="28"/>
  <c r="AV117" i="28" l="1"/>
  <c r="AW38" i="28"/>
  <c r="AW43" i="28" s="1"/>
  <c r="AW110" i="28" s="1"/>
  <c r="K118" i="28"/>
  <c r="AW115" i="28" l="1"/>
  <c r="AW116" i="28" s="1"/>
  <c r="AW111" i="28"/>
  <c r="AW113" i="28"/>
  <c r="AX38" i="28" l="1"/>
  <c r="AX43" i="28" s="1"/>
  <c r="AX110" i="28" s="1"/>
  <c r="AW117" i="28"/>
  <c r="AX115" i="28" l="1"/>
  <c r="AX116" i="28" s="1"/>
  <c r="AX113" i="28"/>
  <c r="AX111" i="28"/>
  <c r="AX117" i="28" l="1"/>
  <c r="AY38" i="28"/>
  <c r="AY43" i="28" s="1"/>
  <c r="AY110" i="28" s="1"/>
  <c r="AY115" i="28" l="1"/>
  <c r="AY116" i="28" s="1"/>
  <c r="AY111" i="28"/>
  <c r="AY113" i="28"/>
  <c r="AY117" i="28" l="1"/>
  <c r="AZ38" i="28"/>
  <c r="AZ43" i="28" s="1"/>
  <c r="AZ110" i="28" s="1"/>
  <c r="AZ115" i="28" l="1"/>
  <c r="AZ116" i="28" s="1"/>
  <c r="AZ113" i="28"/>
  <c r="AZ111" i="28"/>
  <c r="BA38" i="28" l="1"/>
  <c r="BA43" i="28" s="1"/>
  <c r="BA110" i="28" s="1"/>
  <c r="AZ117" i="28"/>
  <c r="BA115" i="28" l="1"/>
  <c r="BA116" i="28" s="1"/>
  <c r="BA111" i="28"/>
  <c r="BA113" i="28"/>
  <c r="BB38" i="28" l="1"/>
  <c r="BB43" i="28" s="1"/>
  <c r="BB110" i="28" s="1"/>
  <c r="BA117" i="28"/>
  <c r="BB115" i="28" l="1"/>
  <c r="BB116" i="28" s="1"/>
  <c r="BB113" i="28"/>
  <c r="BB111" i="28"/>
  <c r="BB117" i="28" l="1"/>
  <c r="BC38" i="28"/>
  <c r="BC43" i="28" s="1"/>
  <c r="BC110" i="28" s="1"/>
  <c r="BC115" i="28" l="1"/>
  <c r="BC116" i="28" s="1"/>
  <c r="BC111" i="28"/>
  <c r="BC113" i="28"/>
  <c r="BD38" i="28" l="1"/>
  <c r="BD43" i="28" s="1"/>
  <c r="BD110" i="28" s="1"/>
  <c r="BC117" i="28"/>
  <c r="BD115" i="28" l="1"/>
  <c r="BD116" i="28" s="1"/>
  <c r="BD113" i="28"/>
  <c r="BD111" i="28"/>
  <c r="BE38" i="28" l="1"/>
  <c r="BE43" i="28" s="1"/>
  <c r="BE110" i="28" s="1"/>
  <c r="BD117" i="28"/>
  <c r="BE115" i="28" l="1"/>
  <c r="BE116" i="28" s="1"/>
  <c r="BE111" i="28"/>
  <c r="BE113" i="28"/>
  <c r="BF38" i="28" l="1"/>
  <c r="BF43" i="28" s="1"/>
  <c r="BF110" i="28" s="1"/>
  <c r="BE117" i="28"/>
  <c r="BF115" i="28" l="1"/>
  <c r="BF116" i="28" s="1"/>
  <c r="BF113" i="28"/>
  <c r="BF111" i="28"/>
  <c r="BG38" i="28" l="1"/>
  <c r="BG43" i="28" s="1"/>
  <c r="BG110" i="28" s="1"/>
  <c r="BF117" i="28"/>
  <c r="BG115" i="28" l="1"/>
  <c r="BG116" i="28" s="1"/>
  <c r="BG111" i="28"/>
  <c r="BG113" i="28"/>
  <c r="BG117" i="28" l="1"/>
  <c r="BH38" i="28"/>
  <c r="BH43" i="28" s="1"/>
  <c r="BH110" i="28" s="1"/>
  <c r="BH115" i="28" l="1"/>
  <c r="BH116" i="28" s="1"/>
  <c r="BH113" i="28"/>
  <c r="BH111" i="28"/>
  <c r="BI38" i="28" l="1"/>
  <c r="BI43" i="28" s="1"/>
  <c r="BI110" i="28" s="1"/>
  <c r="BH117" i="28"/>
  <c r="BI115" i="28" l="1"/>
  <c r="BI116" i="28" s="1"/>
  <c r="BI111" i="28"/>
  <c r="BI113" i="28"/>
  <c r="BJ38" i="28" l="1"/>
  <c r="BJ43" i="28" s="1"/>
  <c r="BJ110" i="28" s="1"/>
  <c r="BI117" i="28"/>
  <c r="BJ115" i="28" l="1"/>
  <c r="BJ116" i="28" s="1"/>
  <c r="BJ113" i="28"/>
  <c r="BJ111" i="28"/>
  <c r="BK38" i="28" l="1"/>
  <c r="BK43" i="28" s="1"/>
  <c r="BK110" i="28" s="1"/>
  <c r="BJ117" i="28"/>
  <c r="BK115" i="28" l="1"/>
  <c r="BK116" i="28" s="1"/>
  <c r="BK111" i="28"/>
  <c r="BK113" i="28"/>
  <c r="BK117" i="28" l="1"/>
  <c r="BL38" i="28"/>
  <c r="BL43" i="28" s="1"/>
  <c r="BL110" i="28" s="1"/>
  <c r="BL115" i="28" l="1"/>
  <c r="BL116" i="28" s="1"/>
  <c r="BL113" i="28"/>
  <c r="BL111" i="28"/>
  <c r="BM38" i="28" l="1"/>
  <c r="BM43" i="28" s="1"/>
  <c r="BM110" i="28" s="1"/>
  <c r="BL117" i="28"/>
  <c r="BM115" i="28" l="1"/>
  <c r="BM116" i="28" s="1"/>
  <c r="BM111" i="28"/>
  <c r="BM113" i="28"/>
  <c r="BN38" i="28" l="1"/>
  <c r="BN43" i="28" s="1"/>
  <c r="BN110" i="28" s="1"/>
  <c r="BM117" i="28"/>
  <c r="BN115" i="28" l="1"/>
  <c r="BN116" i="28" s="1"/>
  <c r="BN113" i="28"/>
  <c r="BN111" i="28"/>
  <c r="BO38" i="28" l="1"/>
  <c r="BO43" i="28" s="1"/>
  <c r="BO110" i="28" s="1"/>
  <c r="BN117" i="28"/>
  <c r="BO115" i="28" l="1"/>
  <c r="BO116" i="28" s="1"/>
  <c r="BO111" i="28"/>
  <c r="BO113" i="28"/>
  <c r="BP38" i="28" l="1"/>
  <c r="BP43" i="28" s="1"/>
  <c r="BP110" i="28" s="1"/>
  <c r="BO117" i="28"/>
  <c r="BP115" i="28" l="1"/>
  <c r="BP116" i="28" s="1"/>
  <c r="BP113" i="28"/>
  <c r="BP111" i="28"/>
  <c r="BQ38" i="28" l="1"/>
  <c r="BQ43" i="28" s="1"/>
  <c r="BQ110" i="28" s="1"/>
  <c r="BP117" i="28"/>
  <c r="BQ115" i="28" l="1"/>
  <c r="BQ116" i="28" s="1"/>
  <c r="BQ111" i="28"/>
  <c r="BQ113" i="28"/>
  <c r="BR38" i="28" l="1"/>
  <c r="BR43" i="28" s="1"/>
  <c r="BR110" i="28" s="1"/>
  <c r="BQ117" i="28"/>
  <c r="BR115" i="28" l="1"/>
  <c r="BR116" i="28" s="1"/>
  <c r="BR113" i="28"/>
  <c r="BR111" i="28"/>
  <c r="BS38" i="28" l="1"/>
  <c r="BS43" i="28" s="1"/>
  <c r="BS110" i="28" s="1"/>
  <c r="BR117" i="28"/>
  <c r="BS115" i="28" l="1"/>
  <c r="BS116" i="28" s="1"/>
  <c r="BS111" i="28"/>
  <c r="BS113" i="28"/>
  <c r="BS117" i="28" l="1"/>
  <c r="BT38" i="28"/>
  <c r="BT43" i="28" s="1"/>
  <c r="BT110" i="28" s="1"/>
  <c r="BT115" i="28" l="1"/>
  <c r="BT116" i="28" s="1"/>
  <c r="BT113" i="28"/>
  <c r="BT111" i="28"/>
  <c r="BU38" i="28" l="1"/>
  <c r="BU43" i="28" s="1"/>
  <c r="BT117" i="28"/>
  <c r="BU110" i="28" l="1"/>
  <c r="BX43" i="28"/>
  <c r="BX110" i="28" l="1"/>
  <c r="BZ43" i="28"/>
  <c r="CA43" i="28" s="1"/>
  <c r="F43" i="28" s="1"/>
  <c r="BU115" i="28"/>
  <c r="BU116" i="28" s="1"/>
  <c r="BU113" i="28"/>
  <c r="BV113" i="28" s="1"/>
  <c r="BW113" i="28" s="1"/>
  <c r="BU111" i="28"/>
  <c r="BV111" i="28" s="1"/>
  <c r="BW111" i="28" s="1"/>
  <c r="BX111" i="28" l="1"/>
  <c r="BZ111" i="28" s="1"/>
  <c r="BX113" i="28"/>
  <c r="CA114" i="28" s="1"/>
  <c r="BV116" i="28"/>
  <c r="BV38" i="28"/>
  <c r="BU117" i="28"/>
  <c r="J118" i="28"/>
  <c r="W68" i="25" s="1"/>
  <c r="CB44" i="28"/>
  <c r="CD44" i="28" s="1"/>
  <c r="CD45" i="28" s="1"/>
  <c r="BX115" i="28"/>
  <c r="BZ110" i="28"/>
  <c r="G14" i="33" l="1"/>
  <c r="F14" i="33"/>
  <c r="CA110" i="28"/>
  <c r="F110" i="28" s="1"/>
  <c r="BZ112" i="28"/>
  <c r="BZ113" i="28"/>
  <c r="BW38" i="28"/>
  <c r="BW116" i="28"/>
  <c r="BV117" i="28"/>
  <c r="CA111" i="28"/>
  <c r="F111" i="28" s="1"/>
  <c r="BX116" i="28" l="1"/>
  <c r="BW117" i="28"/>
  <c r="BX38" i="28"/>
  <c r="BX117" i="28" l="1"/>
  <c r="E117" i="28" s="1"/>
  <c r="CA117" i="2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HanaDT</author>
    <author>A2022</author>
  </authors>
  <commentList>
    <comment ref="G39" authorId="0" shapeId="0" xr:uid="{00000000-0006-0000-0600-000001000000}">
      <text>
        <r>
          <rPr>
            <b/>
            <sz val="9"/>
            <color indexed="81"/>
            <rFont val="Tahoma"/>
            <family val="2"/>
          </rPr>
          <t>HanaDT:</t>
        </r>
        <r>
          <rPr>
            <sz val="9"/>
            <color indexed="81"/>
            <rFont val="Tahoma"/>
            <family val="2"/>
          </rPr>
          <t xml:space="preserve">
</t>
        </r>
        <r>
          <rPr>
            <sz val="9"/>
            <color indexed="81"/>
            <rFont val="돋움"/>
            <family val="3"/>
            <charset val="129"/>
          </rPr>
          <t>위탁자</t>
        </r>
        <r>
          <rPr>
            <sz val="9"/>
            <color indexed="81"/>
            <rFont val="Tahoma"/>
            <family val="2"/>
          </rPr>
          <t xml:space="preserve"> </t>
        </r>
        <r>
          <rPr>
            <sz val="9"/>
            <color indexed="81"/>
            <rFont val="돋움"/>
            <family val="3"/>
            <charset val="129"/>
          </rPr>
          <t>에쿼티</t>
        </r>
      </text>
    </comment>
    <comment ref="D120" authorId="1" shapeId="0" xr:uid="{00000000-0006-0000-0600-000002000000}">
      <text>
        <r>
          <rPr>
            <b/>
            <sz val="11"/>
            <color indexed="81"/>
            <rFont val="돋움"/>
            <family val="3"/>
            <charset val="129"/>
          </rPr>
          <t>일시</t>
        </r>
        <r>
          <rPr>
            <b/>
            <sz val="11"/>
            <color indexed="81"/>
            <rFont val="Tahoma"/>
            <family val="2"/>
          </rPr>
          <t xml:space="preserve"> </t>
        </r>
        <r>
          <rPr>
            <b/>
            <sz val="11"/>
            <color indexed="81"/>
            <rFont val="돋움"/>
            <family val="3"/>
            <charset val="129"/>
          </rPr>
          <t>인출</t>
        </r>
      </text>
    </comment>
    <comment ref="E120" authorId="1" shapeId="0" xr:uid="{00000000-0006-0000-0600-000003000000}">
      <text>
        <r>
          <rPr>
            <b/>
            <sz val="12"/>
            <color indexed="81"/>
            <rFont val="돋움"/>
            <family val="3"/>
            <charset val="129"/>
          </rPr>
          <t>한도인출</t>
        </r>
      </text>
    </comment>
    <comment ref="K125" authorId="0" shapeId="0" xr:uid="{00000000-0006-0000-0600-000004000000}">
      <text>
        <r>
          <rPr>
            <b/>
            <sz val="14"/>
            <color indexed="81"/>
            <rFont val="Tahoma"/>
            <family val="2"/>
          </rPr>
          <t xml:space="preserve">Tr.B </t>
        </r>
        <r>
          <rPr>
            <b/>
            <sz val="14"/>
            <color indexed="81"/>
            <rFont val="돋움"/>
            <family val="3"/>
            <charset val="129"/>
          </rPr>
          <t>한도</t>
        </r>
        <r>
          <rPr>
            <b/>
            <sz val="14"/>
            <color indexed="81"/>
            <rFont val="Tahoma"/>
            <family val="2"/>
          </rPr>
          <t xml:space="preserve"> </t>
        </r>
        <r>
          <rPr>
            <b/>
            <sz val="14"/>
            <color indexed="81"/>
            <rFont val="돋움"/>
            <family val="3"/>
            <charset val="129"/>
          </rPr>
          <t>금액</t>
        </r>
        <r>
          <rPr>
            <b/>
            <sz val="14"/>
            <color indexed="81"/>
            <rFont val="Tahoma"/>
            <family val="2"/>
          </rPr>
          <t xml:space="preserve"> </t>
        </r>
        <r>
          <rPr>
            <b/>
            <sz val="14"/>
            <color indexed="81"/>
            <rFont val="돋움"/>
            <family val="3"/>
            <charset val="129"/>
          </rPr>
          <t>입력</t>
        </r>
      </text>
    </comment>
    <comment ref="K130" authorId="0" shapeId="0" xr:uid="{00000000-0006-0000-0600-000005000000}">
      <text>
        <r>
          <rPr>
            <b/>
            <sz val="12"/>
            <color indexed="81"/>
            <rFont val="Tahoma"/>
            <family val="2"/>
          </rPr>
          <t xml:space="preserve">Tr.C </t>
        </r>
        <r>
          <rPr>
            <b/>
            <sz val="12"/>
            <color indexed="81"/>
            <rFont val="돋움"/>
            <family val="3"/>
            <charset val="129"/>
          </rPr>
          <t>한도금액</t>
        </r>
        <r>
          <rPr>
            <b/>
            <sz val="12"/>
            <color indexed="81"/>
            <rFont val="Tahoma"/>
            <family val="2"/>
          </rPr>
          <t xml:space="preserve"> </t>
        </r>
        <r>
          <rPr>
            <b/>
            <sz val="12"/>
            <color indexed="81"/>
            <rFont val="돋움"/>
            <family val="3"/>
            <charset val="129"/>
          </rPr>
          <t>입력</t>
        </r>
      </text>
    </comment>
  </commentList>
</comments>
</file>

<file path=xl/sharedStrings.xml><?xml version="1.0" encoding="utf-8"?>
<sst xmlns="http://schemas.openxmlformats.org/spreadsheetml/2006/main" count="2005" uniqueCount="1649">
  <si>
    <t>사업명 :</t>
    <phoneticPr fontId="4" type="noConversion"/>
  </si>
  <si>
    <t>작성자</t>
    <phoneticPr fontId="4" type="noConversion"/>
  </si>
  <si>
    <t xml:space="preserve">주소지 : </t>
    <phoneticPr fontId="4" type="noConversion"/>
  </si>
  <si>
    <t>작성일</t>
    <phoneticPr fontId="4" type="noConversion"/>
  </si>
  <si>
    <t>최종수정일</t>
    <phoneticPr fontId="4" type="noConversion"/>
  </si>
  <si>
    <t>토지개요</t>
  </si>
  <si>
    <t>건축면적</t>
    <phoneticPr fontId="4" type="noConversion"/>
  </si>
  <si>
    <t>주용도</t>
    <phoneticPr fontId="4" type="noConversion"/>
  </si>
  <si>
    <t>사업계획</t>
    <phoneticPr fontId="4" type="noConversion"/>
  </si>
  <si>
    <t>준비기간</t>
    <phoneticPr fontId="4" type="noConversion"/>
  </si>
  <si>
    <t>연면적</t>
    <phoneticPr fontId="4" type="noConversion"/>
  </si>
  <si>
    <t>지상</t>
    <phoneticPr fontId="4" type="noConversion"/>
  </si>
  <si>
    <t>구조</t>
    <phoneticPr fontId="4" type="noConversion"/>
  </si>
  <si>
    <t>공사기간</t>
    <phoneticPr fontId="4" type="noConversion"/>
  </si>
  <si>
    <t>지하</t>
    <phoneticPr fontId="4" type="noConversion"/>
  </si>
  <si>
    <t>규모</t>
  </si>
  <si>
    <t>지역지구</t>
    <phoneticPr fontId="4" type="noConversion"/>
  </si>
  <si>
    <t>계</t>
    <phoneticPr fontId="4" type="noConversion"/>
  </si>
  <si>
    <t>세대수</t>
    <phoneticPr fontId="4" type="noConversion"/>
  </si>
  <si>
    <t>공사비지급</t>
    <phoneticPr fontId="4" type="noConversion"/>
  </si>
  <si>
    <t>건폐율</t>
    <phoneticPr fontId="4" type="noConversion"/>
  </si>
  <si>
    <t>법정</t>
    <phoneticPr fontId="4" type="noConversion"/>
  </si>
  <si>
    <t>이용현황</t>
    <phoneticPr fontId="4" type="noConversion"/>
  </si>
  <si>
    <t>용적률</t>
    <phoneticPr fontId="4" type="noConversion"/>
  </si>
  <si>
    <t>계획</t>
    <phoneticPr fontId="4" type="noConversion"/>
  </si>
  <si>
    <t>구분</t>
    <phoneticPr fontId="4" type="noConversion"/>
  </si>
  <si>
    <t>금액</t>
    <phoneticPr fontId="4" type="noConversion"/>
  </si>
  <si>
    <t>합계</t>
    <phoneticPr fontId="4" type="noConversion"/>
  </si>
  <si>
    <t>상가</t>
    <phoneticPr fontId="4" type="noConversion"/>
  </si>
  <si>
    <t>항목</t>
    <phoneticPr fontId="4" type="noConversion"/>
  </si>
  <si>
    <t>비고</t>
    <phoneticPr fontId="4" type="noConversion"/>
  </si>
  <si>
    <t>토지비</t>
    <phoneticPr fontId="4" type="noConversion"/>
  </si>
  <si>
    <t>공사비</t>
    <phoneticPr fontId="4" type="noConversion"/>
  </si>
  <si>
    <t>신탁보수</t>
    <phoneticPr fontId="4" type="noConversion"/>
  </si>
  <si>
    <t>토지비</t>
  </si>
  <si>
    <t>공사비</t>
  </si>
  <si>
    <t>토지비제외</t>
    <phoneticPr fontId="4" type="noConversion"/>
  </si>
  <si>
    <t>금 액</t>
  </si>
  <si>
    <t>건축비</t>
  </si>
  <si>
    <t>소계</t>
    <phoneticPr fontId="14" type="noConversion"/>
  </si>
  <si>
    <t>제세공과금</t>
  </si>
  <si>
    <t>기타</t>
  </si>
  <si>
    <t>신탁기간</t>
    <phoneticPr fontId="4" type="noConversion"/>
  </si>
  <si>
    <t>책임준공기간</t>
    <phoneticPr fontId="4" type="noConversion"/>
  </si>
  <si>
    <t>수입</t>
    <phoneticPr fontId="4" type="noConversion"/>
  </si>
  <si>
    <t>비율(%)</t>
    <phoneticPr fontId="4" type="noConversion"/>
  </si>
  <si>
    <t>소계</t>
    <phoneticPr fontId="4" type="noConversion"/>
  </si>
  <si>
    <t>주차대수</t>
    <phoneticPr fontId="4" type="noConversion"/>
  </si>
  <si>
    <t>부가세</t>
    <phoneticPr fontId="4" type="noConversion"/>
  </si>
  <si>
    <t>합계</t>
  </si>
  <si>
    <t>토지면적</t>
    <phoneticPr fontId="4" type="noConversion"/>
  </si>
  <si>
    <t>토지가격</t>
    <phoneticPr fontId="4" type="noConversion"/>
  </si>
  <si>
    <t>평당가격</t>
    <phoneticPr fontId="4" type="noConversion"/>
  </si>
  <si>
    <t>면적</t>
    <phoneticPr fontId="4" type="noConversion"/>
  </si>
  <si>
    <t>취득세 등</t>
    <phoneticPr fontId="4" type="noConversion"/>
  </si>
  <si>
    <t>토지비 등</t>
    <phoneticPr fontId="4" type="noConversion"/>
  </si>
  <si>
    <t>제세공과금</t>
    <phoneticPr fontId="4" type="noConversion"/>
  </si>
  <si>
    <t>구분</t>
  </si>
  <si>
    <t>기타비용</t>
  </si>
  <si>
    <t>기타비용</t>
    <phoneticPr fontId="4" type="noConversion"/>
  </si>
  <si>
    <t xml:space="preserve"> 공사비 등 </t>
    <phoneticPr fontId="4" type="noConversion"/>
  </si>
  <si>
    <t>설계비</t>
    <phoneticPr fontId="4" type="noConversion"/>
  </si>
  <si>
    <t>감리비</t>
    <phoneticPr fontId="4" type="noConversion"/>
  </si>
  <si>
    <t>지구단위</t>
    <phoneticPr fontId="4" type="noConversion"/>
  </si>
  <si>
    <t>교통영향평가</t>
    <phoneticPr fontId="4" type="noConversion"/>
  </si>
  <si>
    <t>설계</t>
  </si>
  <si>
    <t>용역비 등</t>
    <phoneticPr fontId="4" type="noConversion"/>
  </si>
  <si>
    <t>CM용역</t>
    <phoneticPr fontId="4" type="noConversion"/>
  </si>
  <si>
    <t>학교용지부담금</t>
    <phoneticPr fontId="4" type="noConversion"/>
  </si>
  <si>
    <t>농지보전부담금</t>
    <phoneticPr fontId="4" type="noConversion"/>
  </si>
  <si>
    <t>상하수도분담금</t>
    <phoneticPr fontId="4" type="noConversion"/>
  </si>
  <si>
    <t>매입부가세</t>
    <phoneticPr fontId="4" type="noConversion"/>
  </si>
  <si>
    <t>부가세납부</t>
    <phoneticPr fontId="4" type="noConversion"/>
  </si>
  <si>
    <t>재산세</t>
    <phoneticPr fontId="4" type="noConversion"/>
  </si>
  <si>
    <t>분양비용</t>
  </si>
  <si>
    <t>분양비용</t>
    <phoneticPr fontId="4" type="noConversion"/>
  </si>
  <si>
    <t>M/H설치비</t>
    <phoneticPr fontId="4" type="noConversion"/>
  </si>
  <si>
    <t>M/H운영비</t>
    <phoneticPr fontId="4" type="noConversion"/>
  </si>
  <si>
    <t>M/H임차료</t>
    <phoneticPr fontId="4" type="noConversion"/>
  </si>
  <si>
    <t>예비비</t>
    <phoneticPr fontId="4" type="noConversion"/>
  </si>
  <si>
    <t>시행사운영비</t>
    <phoneticPr fontId="4" type="noConversion"/>
  </si>
  <si>
    <t>입주관리비</t>
    <phoneticPr fontId="4" type="noConversion"/>
  </si>
  <si>
    <t>금용비용</t>
    <phoneticPr fontId="4" type="noConversion"/>
  </si>
  <si>
    <t>보존등기비</t>
    <phoneticPr fontId="4" type="noConversion"/>
  </si>
  <si>
    <t>금액</t>
    <phoneticPr fontId="4" type="noConversion"/>
  </si>
  <si>
    <t>인입공사비</t>
    <phoneticPr fontId="4" type="noConversion"/>
  </si>
  <si>
    <t>미술장식품설치</t>
    <phoneticPr fontId="4" type="noConversion"/>
  </si>
  <si>
    <t>이익금</t>
    <phoneticPr fontId="4" type="noConversion"/>
  </si>
  <si>
    <t>비고</t>
  </si>
  <si>
    <t>비고</t>
    <phoneticPr fontId="4" type="noConversion"/>
  </si>
  <si>
    <t>기간(적용율)</t>
    <phoneticPr fontId="4" type="noConversion"/>
  </si>
  <si>
    <t>1식</t>
    <phoneticPr fontId="4" type="noConversion"/>
  </si>
  <si>
    <t>비율(%)</t>
    <phoneticPr fontId="4" type="noConversion"/>
  </si>
  <si>
    <t>분양수수료(상가)</t>
    <phoneticPr fontId="4" type="noConversion"/>
  </si>
  <si>
    <t>PF대출 부대비용</t>
  </si>
  <si>
    <t>분양률</t>
  </si>
  <si>
    <t>총사업비</t>
  </si>
  <si>
    <t>Equity</t>
  </si>
  <si>
    <t>분양불사업비</t>
  </si>
  <si>
    <t>(분양불내역)</t>
  </si>
  <si>
    <t>토지</t>
  </si>
  <si>
    <t>-</t>
  </si>
  <si>
    <t>관련</t>
  </si>
  <si>
    <t>분(부담금)</t>
  </si>
  <si>
    <t>금융비용</t>
  </si>
  <si>
    <t>합 계</t>
  </si>
  <si>
    <t>CM용역</t>
    <phoneticPr fontId="20" type="noConversion"/>
  </si>
  <si>
    <t>준공필수
사업비</t>
    <phoneticPr fontId="4" type="noConversion"/>
  </si>
  <si>
    <t>사업비 확보내역</t>
    <phoneticPr fontId="4" type="noConversion"/>
  </si>
  <si>
    <t>□ 분양수입금 납부스케줄</t>
    <phoneticPr fontId="4" type="noConversion"/>
  </si>
  <si>
    <t>계약금</t>
  </si>
  <si>
    <t>중도금</t>
  </si>
  <si>
    <t>잔금</t>
  </si>
  <si>
    <t>□ 분양수입금 배분비율</t>
    <phoneticPr fontId="4" type="noConversion"/>
  </si>
  <si>
    <t>상환비율</t>
  </si>
  <si>
    <t>사용승인전(계약금 및 중도금)</t>
  </si>
  <si>
    <t>대출금상환</t>
    <phoneticPr fontId="4" type="noConversion"/>
  </si>
  <si>
    <t>사업비조달</t>
    <phoneticPr fontId="4" type="noConversion"/>
  </si>
  <si>
    <t xml:space="preserve">사용승인후(잔금) </t>
  </si>
  <si>
    <t xml:space="preserve">(단, 대주가 인정하는 필수사업비는 제외) </t>
  </si>
  <si>
    <t>계약금</t>
    <phoneticPr fontId="14" type="noConversion"/>
  </si>
  <si>
    <t xml:space="preserve">□ 분양수입금 </t>
    <phoneticPr fontId="4" type="noConversion"/>
  </si>
  <si>
    <t>구 분</t>
  </si>
  <si>
    <t xml:space="preserve">□ 분양률에 따른 민감도 분석 </t>
    <phoneticPr fontId="4" type="noConversion"/>
  </si>
  <si>
    <t>분양수입금</t>
  </si>
  <si>
    <t>대출잔액</t>
  </si>
  <si>
    <t>합계</t>
    <phoneticPr fontId="14" type="noConversion"/>
  </si>
  <si>
    <t>미분양액</t>
    <phoneticPr fontId="14" type="noConversion"/>
  </si>
  <si>
    <t>LTV</t>
  </si>
  <si>
    <t>준공후</t>
    <phoneticPr fontId="14" type="noConversion"/>
  </si>
  <si>
    <t>상가</t>
    <phoneticPr fontId="14" type="noConversion"/>
  </si>
  <si>
    <t>Tr.A</t>
  </si>
  <si>
    <t>Tr.B</t>
  </si>
  <si>
    <t>Tr.C</t>
  </si>
  <si>
    <t>PF대출금</t>
  </si>
  <si>
    <t>필수사업비부족분</t>
  </si>
  <si>
    <t>분양불 사업비</t>
  </si>
  <si>
    <t>공사비 확보율</t>
    <phoneticPr fontId="4" type="noConversion"/>
  </si>
  <si>
    <t>선순위</t>
    <phoneticPr fontId="4" type="noConversion"/>
  </si>
  <si>
    <t>중순위</t>
    <phoneticPr fontId="4" type="noConversion"/>
  </si>
  <si>
    <t>후순위</t>
    <phoneticPr fontId="4" type="noConversion"/>
  </si>
  <si>
    <t>Cash - In</t>
  </si>
  <si>
    <t>Cash - Out</t>
  </si>
  <si>
    <t>소계 (A)</t>
  </si>
  <si>
    <t>소계 (C)</t>
  </si>
  <si>
    <t>(A÷C)</t>
  </si>
  <si>
    <t>(A÷B)</t>
  </si>
  <si>
    <t>총사업비 
확보율</t>
    <phoneticPr fontId="4" type="noConversion"/>
  </si>
  <si>
    <t>준공필수
사업비확보율</t>
    <phoneticPr fontId="4" type="noConversion"/>
  </si>
  <si>
    <t>지출</t>
    <phoneticPr fontId="4" type="noConversion"/>
  </si>
  <si>
    <t>매출총액</t>
    <phoneticPr fontId="4" type="noConversion"/>
  </si>
  <si>
    <t>전체사업비</t>
    <phoneticPr fontId="4" type="noConversion"/>
  </si>
  <si>
    <t>PF대출금총액</t>
    <phoneticPr fontId="4" type="noConversion"/>
  </si>
  <si>
    <t>토지비PF</t>
    <phoneticPr fontId="4" type="noConversion"/>
  </si>
  <si>
    <t>토지비-Equity</t>
    <phoneticPr fontId="4" type="noConversion"/>
  </si>
  <si>
    <t>분양연동사업비</t>
    <phoneticPr fontId="4" type="noConversion"/>
  </si>
  <si>
    <t>중도금이자, 분양대행수수료, 입주관리비</t>
    <phoneticPr fontId="4" type="noConversion"/>
  </si>
  <si>
    <t>건축비PF</t>
    <phoneticPr fontId="4" type="noConversion"/>
  </si>
  <si>
    <t>신탁보수(A)</t>
    <phoneticPr fontId="4" type="noConversion"/>
  </si>
  <si>
    <t>Equity</t>
    <phoneticPr fontId="4" type="noConversion"/>
  </si>
  <si>
    <t>직접공사비(B)</t>
    <phoneticPr fontId="4" type="noConversion"/>
  </si>
  <si>
    <t xml:space="preserve">후순위 공사비 포함 </t>
    <phoneticPr fontId="4" type="noConversion"/>
  </si>
  <si>
    <t>Equity1</t>
    <phoneticPr fontId="4" type="noConversion"/>
  </si>
  <si>
    <t>사업비(C)</t>
    <phoneticPr fontId="4" type="noConversion"/>
  </si>
  <si>
    <t>토지비, 분양불 제외</t>
    <phoneticPr fontId="4" type="noConversion"/>
  </si>
  <si>
    <t>Equity2</t>
    <phoneticPr fontId="4" type="noConversion"/>
  </si>
  <si>
    <t>사업비</t>
    <phoneticPr fontId="4" type="noConversion"/>
  </si>
  <si>
    <t>준공필수사업비
(B+C)</t>
    <phoneticPr fontId="4" type="noConversion"/>
  </si>
  <si>
    <t>준공필수
사업비
(토지비제외)
[A]</t>
    <phoneticPr fontId="4" type="noConversion"/>
  </si>
  <si>
    <t>확보사업비[E=B+C-D]</t>
    <phoneticPr fontId="4" type="noConversion"/>
  </si>
  <si>
    <t>책임준공
위험액
[F=A-E]</t>
    <phoneticPr fontId="4" type="noConversion"/>
  </si>
  <si>
    <t>확보율
[F/A]
(토지비제외)</t>
    <phoneticPr fontId="4" type="noConversion"/>
  </si>
  <si>
    <t>신탁보수대비
책임준공위험액</t>
    <phoneticPr fontId="4" type="noConversion"/>
  </si>
  <si>
    <t>Equity[B]</t>
    <phoneticPr fontId="4" type="noConversion"/>
  </si>
  <si>
    <t>PF[C]</t>
    <phoneticPr fontId="4" type="noConversion"/>
  </si>
  <si>
    <t>토지비[D]</t>
    <phoneticPr fontId="4" type="noConversion"/>
  </si>
  <si>
    <t>2) 전체 사업비에서 ①토지비, ②분양대행수수료, 중도금이자 등 분양률에 연동하여 발생하는 사업비, ③신탁보수를 제외한 금액</t>
    <phoneticPr fontId="4" type="noConversion"/>
  </si>
  <si>
    <t>3) 위탁자 Equity, PF대출금, 사업비 담보물 등 사업비 용도로 확보된 금액에서 토지비를 제외한 금액</t>
    <phoneticPr fontId="4" type="noConversion"/>
  </si>
  <si>
    <t>4) 분양분에 대한 기 수납 및 장래 수납 예정 분양수입금 총액 중 사업비 용도로 배분하도록 약정한 금액</t>
    <phoneticPr fontId="4" type="noConversion"/>
  </si>
  <si>
    <t>(단위: 천원)</t>
    <phoneticPr fontId="4" type="noConversion"/>
  </si>
  <si>
    <t>계약금(10%)</t>
    <phoneticPr fontId="4" type="noConversion"/>
  </si>
  <si>
    <t>중도금(60%/40%)</t>
    <phoneticPr fontId="4" type="noConversion"/>
  </si>
  <si>
    <t>계약금+중도금 합계금액</t>
    <phoneticPr fontId="4" type="noConversion"/>
  </si>
  <si>
    <t>(A)</t>
    <phoneticPr fontId="4" type="noConversion"/>
  </si>
  <si>
    <t>책임준공위험액</t>
    <phoneticPr fontId="4" type="noConversion"/>
  </si>
  <si>
    <t>[C]</t>
    <phoneticPr fontId="4" type="noConversion"/>
  </si>
  <si>
    <t>준공필수사업비
100%확보분양률(%)</t>
    <phoneticPr fontId="4" type="noConversion"/>
  </si>
  <si>
    <t>(D)=(C)/(B)</t>
    <phoneticPr fontId="4" type="noConversion"/>
  </si>
  <si>
    <t>평가항목</t>
  </si>
  <si>
    <t>평가기준</t>
  </si>
  <si>
    <t>배점</t>
  </si>
  <si>
    <t>당사업</t>
  </si>
  <si>
    <t>비교사업</t>
  </si>
  <si>
    <t>환경</t>
  </si>
  <si>
    <t>조망권</t>
  </si>
  <si>
    <t>개방감, 일조, 채광</t>
  </si>
  <si>
    <t>분석</t>
  </si>
  <si>
    <t>지형여건</t>
  </si>
  <si>
    <t>평탄정도, 남북고저, 남향</t>
  </si>
  <si>
    <t>소음원 등</t>
  </si>
  <si>
    <t>차량, 주변소음, 기피시설</t>
  </si>
  <si>
    <t>지역여건</t>
  </si>
  <si>
    <t>주거선호도</t>
  </si>
  <si>
    <t>교육여건</t>
  </si>
  <si>
    <t>선호학군, 도보학군</t>
  </si>
  <si>
    <t>교통여건</t>
  </si>
  <si>
    <t>접근성, 도로여건, 역세권</t>
  </si>
  <si>
    <t>편의여건</t>
  </si>
  <si>
    <t>쇼핑, 의료, 공무, 공원</t>
  </si>
  <si>
    <t>상품</t>
  </si>
  <si>
    <t>마감수준</t>
  </si>
  <si>
    <t>고급마감재, 시공품질, 에너지절감, 층간소음방지</t>
  </si>
  <si>
    <t>평면구성</t>
  </si>
  <si>
    <t>BAY, 설계평가, 동선, 적정평형</t>
  </si>
  <si>
    <t>당 사업지 전실 복층형 설계</t>
  </si>
  <si>
    <t>부대시설</t>
  </si>
  <si>
    <t>커뮤니티, 근생시설, 주차장, 첨단설비, 보안</t>
  </si>
  <si>
    <t>단지규모</t>
  </si>
  <si>
    <t>세대수, 층수</t>
  </si>
  <si>
    <t>단지배치</t>
  </si>
  <si>
    <t xml:space="preserve">남향배치, 조경, 용적률, 단지설계 </t>
  </si>
  <si>
    <t>용적율 48%(비교사업지 43%)</t>
    <phoneticPr fontId="4" type="noConversion"/>
  </si>
  <si>
    <t>브랜드파워</t>
  </si>
  <si>
    <t>시공사 등 인지도, 신뢰도</t>
  </si>
  <si>
    <t>시장</t>
  </si>
  <si>
    <t>발전가능성</t>
  </si>
  <si>
    <t>발전중심, 이격정도, 호재, 투자가치</t>
  </si>
  <si>
    <t>공급적시성</t>
  </si>
  <si>
    <t>경쟁여부, 입주시점, 건축년도, 수급여건</t>
  </si>
  <si>
    <t>호매실남측 권역 최초 공급</t>
  </si>
  <si>
    <t>부동산지표</t>
  </si>
  <si>
    <t>공급시점 거래량, 매매지수</t>
  </si>
  <si>
    <t>타사업장(평당가)</t>
  </si>
  <si>
    <t>비교지수</t>
    <phoneticPr fontId="4" type="noConversion"/>
  </si>
  <si>
    <t>산출가격</t>
  </si>
  <si>
    <t>전용면적기준</t>
  </si>
  <si>
    <t>계약면적기준</t>
  </si>
  <si>
    <t xml:space="preserve">실사용면적기준 </t>
    <phoneticPr fontId="4" type="noConversion"/>
  </si>
  <si>
    <t>80%이상</t>
    <phoneticPr fontId="4" type="noConversion"/>
  </si>
  <si>
    <t>750%이하</t>
    <phoneticPr fontId="4" type="noConversion"/>
  </si>
  <si>
    <t>PF대출기간</t>
    <phoneticPr fontId="4" type="noConversion"/>
  </si>
  <si>
    <t>(공사+6개월)</t>
    <phoneticPr fontId="4" type="noConversion"/>
  </si>
  <si>
    <t>(B-A)/매출액</t>
    <phoneticPr fontId="4" type="noConversion"/>
  </si>
  <si>
    <t>조달금액</t>
  </si>
  <si>
    <t>준공필수사업비[B]</t>
  </si>
  <si>
    <t>부족액[C]=[A]-[B]</t>
  </si>
  <si>
    <t>PF대출금액 [A]</t>
  </si>
  <si>
    <t>사업비</t>
  </si>
  <si>
    <t>비고</t>
    <phoneticPr fontId="4" type="noConversion"/>
  </si>
  <si>
    <t>(계약금+중도금)의 20%금액</t>
    <phoneticPr fontId="4" type="noConversion"/>
  </si>
  <si>
    <t>(B)=(A)*20%</t>
    <phoneticPr fontId="4" type="noConversion"/>
  </si>
  <si>
    <t>□ 사업비 확보내역</t>
    <phoneticPr fontId="4" type="noConversion"/>
  </si>
  <si>
    <t xml:space="preserve">   - 고시근거 : 소득세법 제99조 1항 1호 나목</t>
    <phoneticPr fontId="14" type="noConversion"/>
  </si>
  <si>
    <t xml:space="preserve">                       상속세및증여세법 61조 1항 2호</t>
    <phoneticPr fontId="14" type="noConversion"/>
  </si>
  <si>
    <t xml:space="preserve">   - 산식 : ㎡당 금액 × 평가대상 건물의 면적(㎡)</t>
    <phoneticPr fontId="4" type="noConversion"/>
  </si>
  <si>
    <t xml:space="preserve">   - ㎡당 금액 : 건물신축가격기준액×구조지수×용도지수×위치지수×경과연수별잔가율× 개별건물의 특성에 따른 조정율</t>
    <phoneticPr fontId="4" type="noConversion"/>
  </si>
  <si>
    <t>■ 과세표준 및 납부부가세 산출</t>
    <phoneticPr fontId="4" type="noConversion"/>
  </si>
  <si>
    <t>건물신축가격기준액(2015.01.01)</t>
    <phoneticPr fontId="14" type="noConversion"/>
  </si>
  <si>
    <t>[단위 :㎡, 천원]</t>
    <phoneticPr fontId="14" type="noConversion"/>
  </si>
  <si>
    <t>구분</t>
    <phoneticPr fontId="14" type="noConversion"/>
  </si>
  <si>
    <t>개별공시지가</t>
    <phoneticPr fontId="14" type="noConversion"/>
  </si>
  <si>
    <t>구조지수</t>
    <phoneticPr fontId="14" type="noConversion"/>
  </si>
  <si>
    <t>용도지수</t>
    <phoneticPr fontId="14" type="noConversion"/>
  </si>
  <si>
    <t>위치지수</t>
    <phoneticPr fontId="14" type="noConversion"/>
  </si>
  <si>
    <t>경과년수
잔가율</t>
    <phoneticPr fontId="14" type="noConversion"/>
  </si>
  <si>
    <t>㎡당 금액</t>
    <phoneticPr fontId="14" type="noConversion"/>
  </si>
  <si>
    <t>구조지수</t>
    <phoneticPr fontId="4" type="noConversion"/>
  </si>
  <si>
    <t>번호</t>
  </si>
  <si>
    <t>구    조    별</t>
  </si>
  <si>
    <t>지수</t>
  </si>
  <si>
    <t>도시형생활주택</t>
  </si>
  <si>
    <t>  통나무조</t>
  </si>
  <si>
    <t>오피스텔</t>
    <phoneticPr fontId="14" type="noConversion"/>
  </si>
  <si>
    <t>  철골․철골철근 콘크리트조</t>
  </si>
  <si>
    <t>근생시설</t>
    <phoneticPr fontId="14" type="noConversion"/>
  </si>
  <si>
    <t>  철근콘크리트조, 석조, P.C조, 목구조</t>
  </si>
  <si>
    <t>  연와조, 시멘트벽돌조, 황토조, 철골조, 스틸하우스조</t>
  </si>
  <si>
    <t>  보강콘크리트조, 목조, 철골조 중 조립식 패널</t>
    <phoneticPr fontId="14" type="noConversion"/>
  </si>
  <si>
    <t>면적</t>
    <phoneticPr fontId="14" type="noConversion"/>
  </si>
  <si>
    <t>기준시가</t>
    <phoneticPr fontId="14" type="noConversion"/>
  </si>
  <si>
    <t>비율</t>
    <phoneticPr fontId="14" type="noConversion"/>
  </si>
  <si>
    <t>비고</t>
    <phoneticPr fontId="14" type="noConversion"/>
  </si>
  <si>
    <t>  시멘트블럭조</t>
  </si>
  <si>
    <t>토지비</t>
    <phoneticPr fontId="14" type="noConversion"/>
  </si>
  <si>
    <t>  경량철골조</t>
  </si>
  <si>
    <t>건축비</t>
    <phoneticPr fontId="14" type="noConversion"/>
  </si>
  <si>
    <t>  철파이프조, 석회및흙벽돌조, 돌담및토담조</t>
  </si>
  <si>
    <t>부가세</t>
    <phoneticPr fontId="14" type="noConversion"/>
  </si>
  <si>
    <t>위치지수</t>
    <phoneticPr fontId="4" type="noConversion"/>
  </si>
  <si>
    <t>합계</t>
    <phoneticPr fontId="14" type="noConversion"/>
  </si>
  <si>
    <t>건물 부속토지의 ㎡당 개별공시지가</t>
  </si>
  <si>
    <t>50,000원 미만</t>
  </si>
  <si>
    <t>오피스텔과세</t>
    <phoneticPr fontId="14" type="noConversion"/>
  </si>
  <si>
    <t>면적</t>
    <phoneticPr fontId="14" type="noConversion"/>
  </si>
  <si>
    <t>㎡당 금액</t>
    <phoneticPr fontId="14" type="noConversion"/>
  </si>
  <si>
    <t>기준시가</t>
    <phoneticPr fontId="14" type="noConversion"/>
  </si>
  <si>
    <t>비율</t>
    <phoneticPr fontId="14" type="noConversion"/>
  </si>
  <si>
    <t>비고</t>
    <phoneticPr fontId="14" type="noConversion"/>
  </si>
  <si>
    <t>50,000원 이상～200,000원 미만</t>
  </si>
  <si>
    <t>토지비</t>
    <phoneticPr fontId="14" type="noConversion"/>
  </si>
  <si>
    <t>200,000원 이상～500,000원 미만</t>
  </si>
  <si>
    <t>건축비</t>
    <phoneticPr fontId="14" type="noConversion"/>
  </si>
  <si>
    <t>500,000원 이상～800,000원 미만</t>
  </si>
  <si>
    <t>소계</t>
    <phoneticPr fontId="14" type="noConversion"/>
  </si>
  <si>
    <t>800,000원 이상～1,200,000원 미만</t>
  </si>
  <si>
    <t>부가세</t>
    <phoneticPr fontId="14" type="noConversion"/>
  </si>
  <si>
    <t>1,200,000원 이상～2,000,000원 미만</t>
  </si>
  <si>
    <t>합계</t>
    <phoneticPr fontId="14" type="noConversion"/>
  </si>
  <si>
    <t>2,000,000원 이상～3,000,000원 미만</t>
  </si>
  <si>
    <t>3,000,000원 이상～5,000,000원 미만</t>
  </si>
  <si>
    <t>근생시설과세</t>
    <phoneticPr fontId="14" type="noConversion"/>
  </si>
  <si>
    <t>5,000,000원 이상～7,000,000원 미만</t>
  </si>
  <si>
    <t>7,000,000원 이상～10,000,000원 미만</t>
  </si>
  <si>
    <t>10,000,000원 이상～30,000,000원 미만</t>
    <phoneticPr fontId="14" type="noConversion"/>
  </si>
  <si>
    <t>30,000,000원 이상</t>
    <phoneticPr fontId="14" type="noConversion"/>
  </si>
  <si>
    <t>용도지수</t>
    <phoneticPr fontId="4" type="noConversion"/>
  </si>
  <si>
    <t>용   도</t>
  </si>
  <si>
    <t>대    상    건    물</t>
  </si>
  <si>
    <t>도시형생활주택면세합계</t>
  </si>
  <si>
    <t>Ⅰ</t>
  </si>
  <si>
    <t>주거용
건  물</t>
    <phoneticPr fontId="14" type="noConversion"/>
  </si>
  <si>
    <t>주거시설</t>
  </si>
  <si>
    <t>∘도시형생활주택</t>
  </si>
  <si>
    <t>∘단독주택</t>
  </si>
  <si>
    <t>∘다중주택, 다가구주택, 연립주택, 다세대주택, 기숙사 등 기타 주거용건물</t>
  </si>
  <si>
    <t>Ⅱ</t>
  </si>
  <si>
    <t>상업용
및
업무용
건  물</t>
    <phoneticPr fontId="14" type="noConversion"/>
  </si>
  <si>
    <t>숙박시설</t>
  </si>
  <si>
    <t>∘관광호텔(특1․2등급):관광진흥법상 관광숙박시설</t>
  </si>
  <si>
    <t>∘호텔(공중위생법상 일반숙박시설을 말한다)</t>
  </si>
  <si>
    <t>∘관광호텔(1등급이하),수상관광호텔,한국전통호텔, 가족호텔 및 휴양콘도미니엄, 펜션(관광진흥법상 관광편의시설)</t>
    <phoneticPr fontId="14" type="noConversion"/>
  </si>
  <si>
    <t>∘여관</t>
  </si>
  <si>
    <t>총 합 계</t>
    <phoneticPr fontId="14" type="noConversion"/>
  </si>
  <si>
    <t>∘여인숙</t>
  </si>
  <si>
    <t>판매시설</t>
    <phoneticPr fontId="14" type="noConversion"/>
  </si>
  <si>
    <t>∘백화점</t>
  </si>
  <si>
    <t>∘소매점 중 대형점(할인점, 전문점으로서 매장면적이 3,000㎡이상인 것), 쇼핑센터</t>
  </si>
  <si>
    <t>∘도매시장(도매위주 매장면적이 3,000㎡이상인 것)</t>
  </si>
  <si>
    <t>∘일반상점(수퍼마켓과 일용품 소매점으로서 바닥면적 합계가 1,000㎡이상～3,000㎡미만인 것)</t>
  </si>
  <si>
    <t>∘위에 열거되지 않은 기타 판매 및 영업시설</t>
  </si>
  <si>
    <t>운수시설</t>
    <phoneticPr fontId="14" type="noConversion"/>
  </si>
  <si>
    <t>∘운수시설:여객자동차터미널 및 화물터미널, 철도역사, 공항시설, 항만시설 및 종합여객시설</t>
  </si>
  <si>
    <t>공동주택 과세</t>
    <phoneticPr fontId="4" type="noConversion"/>
  </si>
  <si>
    <t>건축연면적</t>
    <phoneticPr fontId="14" type="noConversion"/>
  </si>
  <si>
    <t>분양가격</t>
    <phoneticPr fontId="14" type="noConversion"/>
  </si>
  <si>
    <t>위락시설</t>
  </si>
  <si>
    <t>∘단란주점(제2종근린생활시설에 해당되는 것은 제외)</t>
  </si>
  <si>
    <t>∘주점영업(유흥주점과 유사한 것 포함)</t>
  </si>
  <si>
    <t>∘관광진흥법에 의한 유원시설업의 시설 기타 이와 유사한 것(제2종근린생활시설에 해당되는 것은 제외)</t>
  </si>
  <si>
    <t>∘투전기업소 및 카지노업소</t>
  </si>
  <si>
    <t>합   계</t>
    <phoneticPr fontId="14" type="noConversion"/>
  </si>
  <si>
    <t>∘무도장</t>
  </si>
  <si>
    <t>∘주점영업(영세간이 주점 등)</t>
    <phoneticPr fontId="14" type="noConversion"/>
  </si>
  <si>
    <t>오피스텔 과세</t>
    <phoneticPr fontId="14" type="noConversion"/>
  </si>
  <si>
    <t>∘무도학원</t>
  </si>
  <si>
    <t>토지비</t>
    <phoneticPr fontId="14" type="noConversion"/>
  </si>
  <si>
    <t>문 화 및
집회시설
종교시설</t>
    <phoneticPr fontId="14" type="noConversion"/>
  </si>
  <si>
    <t>∘예식장(제2종근린생활시설에 해당되는 것은 제외)</t>
  </si>
  <si>
    <t>∘동물원, 식물원, 수족관</t>
  </si>
  <si>
    <t>∘교회ㆍ성당ㆍ사찰ㆍ기도원ㆍ수도원ㆍ수녀원ㆍ제실ㆍ사당 등 종교집회장과 종교집회장내 납골당으로서 제2종근린생활시설에 해당하지 아니하는 것</t>
  </si>
  <si>
    <t>∘극장, 영화관, 연예장, 음악당, 서커스장 등공연장으로서 제2종근린생활시설에 해당하지 아니하는 것</t>
  </si>
  <si>
    <t>∘공회당, 회의장, 마권장외발매소, 마권전화투표소 등 집회장으로서 제2종근린생활시설에 해당하지 아니하는 것</t>
  </si>
  <si>
    <t>근생시설 과세</t>
    <phoneticPr fontId="14" type="noConversion"/>
  </si>
  <si>
    <t>∘관람장(경마장ㆍ자동차경기장 기타 이와 유사한 것 및 체육관ㆍ운동장으로서 관람석의 바닥면적의 합계액이 1,000㎡이상인 것)</t>
  </si>
  <si>
    <t>∘박물관, 미술관, 과학관, 기념관, 산업전시장, 박람회장 등 전시장</t>
  </si>
  <si>
    <t>운동시설</t>
  </si>
  <si>
    <t>∘골프하우스, 실내골프장, 수영장, 볼링장, 스케이트장</t>
  </si>
  <si>
    <t>∘실내운동시설(탁구장, 체육도장, 테니스장, 체력단련장, 에어로빅장, 당구장, 실내낚시터, 골프연습장 등)으로서 제2종근린생활시설에 해당하지 아니하는 것</t>
  </si>
  <si>
    <t>∘체육관(관람석이 없거나 관람석의 바닥면적이 1,000㎡미만인 것)</t>
  </si>
  <si>
    <t>∘실외운동시설(육상ㆍ구기ㆍ볼링ㆍ수영ㆍ스케이트ㆍ로울러스케이트ㆍ승마ㆍ사격ㆍ궁도ㆍ골프장 등)의 운동장과 이에 부수되는 건축물로서 관람석이 없거나 관람석의 바닥면적의 합계액이 1,000㎡미만인 것</t>
  </si>
  <si>
    <t>도시형생활주택 면세</t>
  </si>
  <si>
    <t>의료시설</t>
  </si>
  <si>
    <t>∘종합병원</t>
  </si>
  <si>
    <t>∘일반병원, 치과병원, 한방병원, 정신병원, 요양소, 격리병원(전염병원, 마약진료소 등)</t>
  </si>
  <si>
    <t>∘장례식장(종합병원 부속 장례식장 포함)</t>
  </si>
  <si>
    <t>업무시설</t>
  </si>
  <si>
    <t>∘오피스텔, 금융업소로서 제2종근린생활시설에 해당하지 아니하는 것</t>
  </si>
  <si>
    <t>∘사무소, 신문사 등으로서 제2종근린생활시설에 해당하지 아니하는 업무시설</t>
  </si>
  <si>
    <t>방송통신
시설</t>
    <phoneticPr fontId="14" type="noConversion"/>
  </si>
  <si>
    <t>∘방송국(방송프로그램제작시설 및 송신ㆍ수신ㆍ중계시설을 포함)</t>
  </si>
  <si>
    <t>∘전신전화국</t>
  </si>
  <si>
    <t>∘촬영소</t>
  </si>
  <si>
    <t>∘통신용시설</t>
  </si>
  <si>
    <t>관광휴게시    설</t>
    <phoneticPr fontId="4" type="noConversion"/>
  </si>
  <si>
    <t>∘야외음악당, 야외극장, 어린이회관</t>
  </si>
  <si>
    <t>∘관망탑, 휴게소</t>
  </si>
  <si>
    <t>∘공원ㆍ유원지, 관광지에 부수되는 시설</t>
  </si>
  <si>
    <t>매출부가세</t>
    <phoneticPr fontId="14" type="noConversion"/>
  </si>
  <si>
    <t>매입세</t>
    <phoneticPr fontId="14" type="noConversion"/>
  </si>
  <si>
    <t>매입세공제</t>
    <phoneticPr fontId="14" type="noConversion"/>
  </si>
  <si>
    <t>매입세불공제</t>
    <phoneticPr fontId="14" type="noConversion"/>
  </si>
  <si>
    <t>납부(환급)부가세</t>
    <phoneticPr fontId="14" type="noConversion"/>
  </si>
  <si>
    <t>교육연구 및 노유자시설</t>
    <phoneticPr fontId="14" type="noConversion"/>
  </si>
  <si>
    <t>∘학교, 교육원, 직업훈련소, 학원(자동차 및 무도학원 제외), 연구소, 도서관, 아동관련시설 및 노인복지시설, 기타 사회복지시설 및 근로복지시설</t>
    <phoneticPr fontId="14" type="noConversion"/>
  </si>
  <si>
    <t>소  계</t>
    <phoneticPr fontId="14" type="noConversion"/>
  </si>
  <si>
    <t>∘ 아동관련시설(제1종근린생활시설에 해당하는 것은
제외) 및 노인복지시설, 기타 사회복지시설 및
근로복지시설</t>
    <phoneticPr fontId="14" type="noConversion"/>
  </si>
  <si>
    <t>공사매입</t>
    <phoneticPr fontId="14" type="noConversion"/>
  </si>
  <si>
    <t>수련시설</t>
    <phoneticPr fontId="14" type="noConversion"/>
  </si>
  <si>
    <t>∘청소년수련관, 청소년문화의집, 유스호스텔, 청소년수련원, 청소년야영장, 기타 이와 유사한 것</t>
  </si>
  <si>
    <t>일반매입</t>
    <phoneticPr fontId="14" type="noConversion"/>
  </si>
  <si>
    <t>근린생활
시    설</t>
    <phoneticPr fontId="14" type="noConversion"/>
  </si>
  <si>
    <t>∘일반목욕장으로서 바닥면적의 합계가 3,000㎡이상인 것</t>
  </si>
  <si>
    <t>공통매입</t>
    <phoneticPr fontId="14" type="noConversion"/>
  </si>
  <si>
    <t>∘일반목욕장으로서 바닥면적의 합계가 1,000㎡이상～3,000㎡미만인 것</t>
  </si>
  <si>
    <t>∘일반목욕장으로서 바닥면적의 합계가 1,000㎡미만인 것</t>
  </si>
  <si>
    <t>공사매입 : 직접공사비, 간접공사비(미술품장식비 제외), 외주용역비(설계, 감리, 지구단위 등)</t>
    <phoneticPr fontId="4" type="noConversion"/>
  </si>
  <si>
    <t>∘제1종․제2종 근린생활시설</t>
  </si>
  <si>
    <t>일반매입 : 외주용역비(교평, 환경, 문화재 등), M/H공사비, 미술품장식비</t>
    <phoneticPr fontId="4" type="noConversion"/>
  </si>
  <si>
    <t>  -슈퍼마켓과 일용품 소매점으로서 바닥면적 합계가 1,000㎡미만인 것</t>
  </si>
  <si>
    <t>공통매입 : 토지비, 사후관리비, 사업비, 분양비용(M/H공사비 제외), 금융비용</t>
    <phoneticPr fontId="4" type="noConversion"/>
  </si>
  <si>
    <t>  -일반음식점, 휴게음식점, 기원, 서점</t>
  </si>
  <si>
    <t>  -이용원, 미용원, 세탁소(공장부설 세탁소는 제외)</t>
  </si>
  <si>
    <t>(*) 공사매입의 경우 면세사업분은 VAT매입세액을 면세로 처리하므로 발생한 매입세액은 전액 과세사업분임</t>
    <phoneticPr fontId="4" type="noConversion"/>
  </si>
  <si>
    <t>  -의원,치과의원,한의원,침술원,접골원,조산소</t>
  </si>
  <si>
    <t xml:space="preserve">    -테니스장․체력단련장․에어로빅장․볼링장․당구장․실내낚시터․골프연습장․탁구장․체육도장으로서 바닥면적 합계가 500㎡미만인 것</t>
    <phoneticPr fontId="4" type="noConversion"/>
  </si>
  <si>
    <t>  -종교집회장･공연장이나 비디오물감상실･비디오물소극장으로서 바닥면적 합계가 300㎡미만인 것</t>
  </si>
  <si>
    <t>  -금융업소, 사무소, 부동산중개업소, 결혼상담소 등 소개업소, 출판사 등으로서 바닥면적 합계가 500㎡미만인 것</t>
  </si>
  <si>
    <t>  -제조업소, 수리점, 세탁소 등으로서 바닥면적 합계가 500㎡미만인 것</t>
  </si>
  <si>
    <t>  -게임제공업소, 멀티미디어문화컨텐츠설비제공업소, 복합유통제공업소로서 바닥면적 합계가 500㎡미만인 것</t>
  </si>
  <si>
    <t>  -사진관, 표구점, 학원(바닥면적 합계가 500㎡미만인 것에 한하며, 자동차학원 및 무도학원은 제외), 장의사, 동물병원, 독서실, 총포판매소 등</t>
  </si>
  <si>
    <t>  -단란주점으로서 바닥면적 합계가 150㎡미만인 것</t>
  </si>
  <si>
    <t>  -의약품도매점 및 자동차영업소로서 바닥면적 합계가 1,000㎡미만인 것</t>
  </si>
  <si>
    <t>  -안마시술소, 노래연습장</t>
  </si>
  <si>
    <t>  -위에 열거되지 않은 기타 제1종․제2종 근린생활시설</t>
  </si>
  <si>
    <t>묘지관련
시    설</t>
    <phoneticPr fontId="14" type="noConversion"/>
  </si>
  <si>
    <t>∘화장장</t>
  </si>
  <si>
    <t>∘납골당(문화및집회시설에 해당하는 것 제외)</t>
  </si>
  <si>
    <t>∘묘지에 부수되는 건축물</t>
  </si>
  <si>
    <t>Ⅲ</t>
  </si>
  <si>
    <t>산업용
및기타
특수용
건  물</t>
    <phoneticPr fontId="14" type="noConversion"/>
  </si>
  <si>
    <t>공    장</t>
    <phoneticPr fontId="14" type="noConversion"/>
  </si>
  <si>
    <t>∘냉동공장</t>
  </si>
  <si>
    <t>∘반도체 및 평면디스플레이 공장</t>
  </si>
  <si>
    <t>∘도시형생활주택형공장</t>
  </si>
  <si>
    <t>∘발전소</t>
  </si>
  <si>
    <t>∘기타 물품의 제조․가공․수리에 계속적으로 이용되는 건축물로서 제2종근린생활시설, 위험물저장 및 처리시설, 자동차관련시설, 분뇨 및 쓰레기처리시설 등으로 따로 분류되지 아니한 것</t>
  </si>
  <si>
    <t>창고시설</t>
  </si>
  <si>
    <t>∘냉동창고</t>
  </si>
  <si>
    <t>∘냉장창고</t>
  </si>
  <si>
    <t>∘냉동․냉장창고외의 창고, 하역장</t>
  </si>
  <si>
    <t>위 험 물
저 장 및
처리시설</t>
    <phoneticPr fontId="14" type="noConversion"/>
  </si>
  <si>
    <t>∘주유소(기계식세차설비 포함) 및 석유판매소</t>
  </si>
  <si>
    <t>∘액화석유가스충전소,위험물제조소,위험물저장소,액화가스취급소,액화가스판매소, 유독물보관․저장시설,고압가스충전․저장소,기타 위험물저장 및 처리시설</t>
  </si>
  <si>
    <t>∘주유소의 캐노피</t>
  </si>
  <si>
    <t>분 뇨 및
쓰 레 기
처리시설</t>
    <phoneticPr fontId="14" type="noConversion"/>
  </si>
  <si>
    <t>∘분뇨․폐기물처리시설</t>
  </si>
  <si>
    <t>∘고물상</t>
  </si>
  <si>
    <t>∘폐기물재활용시설</t>
  </si>
  <si>
    <t>자 동 차
관련시설</t>
    <phoneticPr fontId="14" type="noConversion"/>
  </si>
  <si>
    <t>∘자동차매매장, 운전학원․정비학원</t>
  </si>
  <si>
    <t>∘주차장,세차장,폐차장,검사장,정비공장, 차고 및 주기장</t>
  </si>
  <si>
    <t>동․식물
관련시설</t>
    <phoneticPr fontId="14" type="noConversion"/>
  </si>
  <si>
    <t>∘축사(양잠․양봉․양어시설 및 부화장 포함)</t>
  </si>
  <si>
    <t>∘가축시설(가축용운동시설, 인공수정센터, 관리사, 가축용창고, 가축시장, 동물검역소, 실험동물사육시설 등)</t>
  </si>
  <si>
    <t>∘도축장, 도계장, 버섯재배사, 종묘배양시설, 화초 및 분재등의 온실</t>
  </si>
  <si>
    <t>∘기타 식물관련시설(동․식물원 제외)</t>
  </si>
  <si>
    <t>Ⅳ</t>
  </si>
  <si>
    <t>기계식주차전용빌딩</t>
  </si>
  <si>
    <t>․기준시가 = 5,000,000원×경과연수별잔가율(내용연수:20년)×주차대수</t>
    <phoneticPr fontId="14" type="noConversion"/>
  </si>
  <si>
    <t>간접공사비 산출내역</t>
    <phoneticPr fontId="4" type="noConversion"/>
  </si>
  <si>
    <t>인입공사비-1
(전력(기)분담금)</t>
    <phoneticPr fontId="82" type="noConversion"/>
  </si>
  <si>
    <t>■ 단지밖의 기간시설로 부터 단지경계까지 설치하는 전기인입 공사비 및 부담금</t>
    <phoneticPr fontId="82" type="noConversion"/>
  </si>
  <si>
    <t>■ 기본공사비 + 거리공사비의 합으로 산정함</t>
    <phoneticPr fontId="82" type="noConversion"/>
  </si>
  <si>
    <t xml:space="preserve">  ※. 공사는 가공공급(공중공급)과 지중공급(지하매설) 방식 있음(대부분 지중공급 사용-지중공급 단가적용)</t>
    <phoneticPr fontId="82" type="noConversion"/>
  </si>
  <si>
    <t>■ 지급시기 및 비율 : 인입신청시 50%(착공시), 준공시 50%</t>
    <phoneticPr fontId="82" type="noConversion"/>
  </si>
  <si>
    <t>■ 산정방식(VAT포함) : 기본공사비 : ((세대수×세대당 전기용량(3KW))+상가전기용량) × 단가(1KW당)</t>
    <phoneticPr fontId="82" type="noConversion"/>
  </si>
  <si>
    <t xml:space="preserve">                               거리공사비 : 초과 신설거리(기본거리(지중공급시 50M) 초과)  × 단가(1M당)</t>
    <phoneticPr fontId="4" type="noConversion"/>
  </si>
  <si>
    <t>■ 산정금액                                                                                                                     1. 기본공사비
                                                                                                                                       2. 거리공사비</t>
    <phoneticPr fontId="82" type="noConversion"/>
  </si>
  <si>
    <t>인입공사비-2
(상수도원인자분담금)</t>
    <phoneticPr fontId="82" type="noConversion"/>
  </si>
  <si>
    <t>■ 수도공사에 관해 그 비용발생 원인 제공자가 부담하는 비용</t>
    <phoneticPr fontId="82" type="noConversion"/>
  </si>
  <si>
    <t>■ 상수도 부담금(서울기준) = 급수공사비(계약연면적×1.8천원) + 시설분담금(세대수×327천원)</t>
    <phoneticPr fontId="82" type="noConversion"/>
  </si>
  <si>
    <t xml:space="preserve">   ※ 계약연면적(㎡)=공동주택세대당 전용면적 합계 + 부대복리시설 연면적</t>
    <phoneticPr fontId="82" type="noConversion"/>
  </si>
  <si>
    <t xml:space="preserve">   ※ 통상 공동주택 단위세대는 15mm구경의 배관 사용(분담금액 327천원)</t>
    <phoneticPr fontId="82" type="noConversion"/>
  </si>
  <si>
    <t>■ 지급시기 및 비율 : 인입신청시 100%(착공시)</t>
    <phoneticPr fontId="82" type="noConversion"/>
  </si>
  <si>
    <t>■ 산정금액</t>
    <phoneticPr fontId="82" type="noConversion"/>
  </si>
  <si>
    <t>인입공사비-3
(하수도원인자분담금)</t>
    <phoneticPr fontId="82" type="noConversion"/>
  </si>
  <si>
    <t>■ 단지밖의 기간시설로 부터 단지경계까지 공용하수도를 설치하는 인입공사비 및 원인자부담금</t>
    <phoneticPr fontId="82" type="noConversion"/>
  </si>
  <si>
    <t>■ 산정방식 : 세대수 × 세대당 원인자부담금 단가</t>
    <phoneticPr fontId="82" type="noConversion"/>
  </si>
  <si>
    <t xml:space="preserve">  ※ 세대당 단가 = 배수량 Ton당 약 1,000천원(지자체 하수과 문의) × 세대당 인원수(약 3.5인/세대)</t>
    <phoneticPr fontId="82" type="noConversion"/>
  </si>
  <si>
    <t xml:space="preserve">                         × 일일 배수량(주거시설-0.2Ton/인)</t>
    <phoneticPr fontId="82" type="noConversion"/>
  </si>
  <si>
    <t xml:space="preserve">■ 산정금액 </t>
    <phoneticPr fontId="82" type="noConversion"/>
  </si>
  <si>
    <t>인입공사비-4
(도시가스시설분담금)</t>
    <phoneticPr fontId="82" type="noConversion"/>
  </si>
  <si>
    <t>■ 도시가스인입 공사비 및 부담금(단지내 정압조정실이 있는 경우는 단지내까지)</t>
    <phoneticPr fontId="82" type="noConversion"/>
  </si>
  <si>
    <t>■ 시설공사비 + 시설분담금으로 이루어짐</t>
    <phoneticPr fontId="82" type="noConversion"/>
  </si>
  <si>
    <t>■ 시설공사비 : 400천원/m, 시설분담금 : 세대별 보일러 등급에 따라 다름</t>
    <phoneticPr fontId="82" type="noConversion"/>
  </si>
  <si>
    <t>■ 20~30평형대 : G2.5모델 4등급 적용(세대당 약 82.5천원) / 40 ~ 60평형대 중반 : G4모델 6등급(세대당 약 112.5천원)</t>
    <phoneticPr fontId="82" type="noConversion"/>
  </si>
  <si>
    <t xml:space="preserve">   60평형대 중반 이상 : G6모델 10등급(세대당 약 172.5천원) / 상가 16등급 이상 적용(약 262.5천원)</t>
    <phoneticPr fontId="82" type="noConversion"/>
  </si>
  <si>
    <t>■ 지급시기 및 비율 : 계약시 약 50%, 시설공사 착공시 약 50%</t>
    <phoneticPr fontId="82" type="noConversion"/>
  </si>
  <si>
    <t>■ 산정금액                                                                                                                    1. 20~30평형대
                                                                                                                                      2. 40~60평형대
                                                                                                                                      3. 상가</t>
    <phoneticPr fontId="82" type="noConversion"/>
  </si>
  <si>
    <t>인입공사비-5
(지역난방공사비부담금)</t>
    <phoneticPr fontId="82" type="noConversion"/>
  </si>
  <si>
    <t>■ 지역난방의무 사용지역 또는 신축시 지역난방을 공급받고자 할 경우의 공사비 및 부담금</t>
    <phoneticPr fontId="82" type="noConversion"/>
  </si>
  <si>
    <t>■ 산정방식 : 공동주택 전용면적 합계(㎡) × 14.04천원/㎡, 업무용은 열공급규정 참조</t>
    <phoneticPr fontId="82" type="noConversion"/>
  </si>
  <si>
    <t>■ 지급시기 및 비율 : 계약시 20%, 중간시점 50%, 열공급시점 30%</t>
    <phoneticPr fontId="82" type="noConversion"/>
  </si>
  <si>
    <t>인입공사비 총계</t>
    <phoneticPr fontId="4" type="noConversion"/>
  </si>
  <si>
    <t>미술품 장식비</t>
    <phoneticPr fontId="4" type="noConversion"/>
  </si>
  <si>
    <t>■근거법 : 문화예술진흥법 및 동법 시행령</t>
    <phoneticPr fontId="85" type="noConversion"/>
  </si>
  <si>
    <t>■설치대상</t>
    <phoneticPr fontId="85" type="noConversion"/>
  </si>
  <si>
    <t>① 아래 명기된 건축물로서 연면적 10,000㎡ 이상인 것</t>
    <phoneticPr fontId="85" type="noConversion"/>
  </si>
  <si>
    <t>② 공동주택, 제1/2종 근린생활시설, 문화및 집회시설, 병원</t>
    <phoneticPr fontId="85" type="noConversion"/>
  </si>
  <si>
    <t xml:space="preserve">    업무시설, 숙박시설, 우락시설, 방송국, 전신전화국 및 촬영소</t>
    <phoneticPr fontId="85" type="noConversion"/>
  </si>
  <si>
    <t>■표준건축비</t>
    <phoneticPr fontId="85" type="noConversion"/>
  </si>
  <si>
    <t>■지급시기 : 계약시 30%, 미술품 설치 완료시 70%</t>
    <phoneticPr fontId="4" type="noConversion"/>
  </si>
  <si>
    <t>■사용승인 이전까지 설치계획 승인 완료 해야함</t>
    <phoneticPr fontId="4" type="noConversion"/>
  </si>
  <si>
    <t>■연면적</t>
    <phoneticPr fontId="85" type="noConversion"/>
  </si>
  <si>
    <t>→ 건축물 각층의 바닥면적합-주차장,기계실,전기실,변전실,발전실 및 공조실</t>
    <phoneticPr fontId="85" type="noConversion"/>
  </si>
  <si>
    <t>■부과율(서울은 0.1%)</t>
    <phoneticPr fontId="85" type="noConversion"/>
  </si>
  <si>
    <t>부과율 기준표</t>
    <phoneticPr fontId="4" type="noConversion"/>
  </si>
  <si>
    <t>표준건축비</t>
    <phoneticPr fontId="85" type="noConversion"/>
  </si>
  <si>
    <t>천원/㎡</t>
    <phoneticPr fontId="85" type="noConversion"/>
  </si>
  <si>
    <t>공동주택</t>
    <phoneticPr fontId="85" type="noConversion"/>
  </si>
  <si>
    <t>0.1%~0.7% (지자체 조례로 정함)</t>
    <phoneticPr fontId="85" type="noConversion"/>
  </si>
  <si>
    <t>주거연면적</t>
    <phoneticPr fontId="85" type="noConversion"/>
  </si>
  <si>
    <t>㎡</t>
    <phoneticPr fontId="85" type="noConversion"/>
  </si>
  <si>
    <t>비주거</t>
    <phoneticPr fontId="85" type="noConversion"/>
  </si>
  <si>
    <t>0.5%~0.7% (지자체 조례로 정함)</t>
    <phoneticPr fontId="85" type="noConversion"/>
  </si>
  <si>
    <t>주거제외면적</t>
    <phoneticPr fontId="85" type="noConversion"/>
  </si>
  <si>
    <t>(시군구외)</t>
    <phoneticPr fontId="85" type="noConversion"/>
  </si>
  <si>
    <t>1만~2만㎡</t>
    <phoneticPr fontId="85" type="noConversion"/>
  </si>
  <si>
    <t>주거부과율</t>
    <phoneticPr fontId="85" type="noConversion"/>
  </si>
  <si>
    <t>2만㎡이상</t>
    <phoneticPr fontId="85" type="noConversion"/>
  </si>
  <si>
    <t>연면적2만㎡까지 0.7%</t>
    <phoneticPr fontId="85" type="noConversion"/>
  </si>
  <si>
    <t>비주거연면적</t>
    <phoneticPr fontId="85" type="noConversion"/>
  </si>
  <si>
    <t>㎡</t>
    <phoneticPr fontId="85" type="noConversion"/>
  </si>
  <si>
    <t>연면적2만㎡초과분 0.5%</t>
    <phoneticPr fontId="85" type="noConversion"/>
  </si>
  <si>
    <t>비주거제외면적</t>
    <phoneticPr fontId="85" type="noConversion"/>
  </si>
  <si>
    <t>■계산식→ 연면적 × 부과율 × 표준건축비</t>
    <phoneticPr fontId="85" type="noConversion"/>
  </si>
  <si>
    <t>비주거부과율</t>
    <phoneticPr fontId="85" type="noConversion"/>
  </si>
  <si>
    <t>■산정금액</t>
    <phoneticPr fontId="4" type="noConversion"/>
  </si>
  <si>
    <t>부과금액</t>
    <phoneticPr fontId="85" type="noConversion"/>
  </si>
  <si>
    <t>천원</t>
    <phoneticPr fontId="85" type="noConversion"/>
  </si>
  <si>
    <t>각종부담금 산출내역</t>
    <phoneticPr fontId="4" type="noConversion"/>
  </si>
  <si>
    <t>과밀부담금</t>
    <phoneticPr fontId="82" type="noConversion"/>
  </si>
  <si>
    <t>■ "수도권정비계획법"에 의거 대통령이 정하는 과밀억제구역내 과밀부담금 부과(현재는 서울지역만 부과)</t>
    <phoneticPr fontId="82" type="noConversion"/>
  </si>
  <si>
    <r>
      <t xml:space="preserve">■ 부과대상 : </t>
    </r>
    <r>
      <rPr>
        <b/>
        <sz val="9"/>
        <rFont val="현대 able Regular"/>
        <family val="3"/>
        <charset val="129"/>
      </rPr>
      <t>업무용</t>
    </r>
    <r>
      <rPr>
        <sz val="9"/>
        <rFont val="현대 able Regular"/>
        <family val="3"/>
        <charset val="129"/>
      </rPr>
      <t xml:space="preserve"> 25,000㎡이상 해당면적, </t>
    </r>
    <r>
      <rPr>
        <b/>
        <sz val="9"/>
        <rFont val="현대 able Regular"/>
        <family val="3"/>
        <charset val="129"/>
      </rPr>
      <t>판매용</t>
    </r>
    <r>
      <rPr>
        <sz val="9"/>
        <rFont val="현대 able Regular"/>
        <family val="3"/>
        <charset val="129"/>
      </rPr>
      <t xml:space="preserve"> 15,000㎡이상 해당면적, 복합용 건축물 25,000㎡이상 해당면적(주택 해당없음)</t>
    </r>
    <phoneticPr fontId="14" type="noConversion"/>
  </si>
  <si>
    <t xml:space="preserve">- ① 주차장+5000 = 기준면적이하 : (기준면적-주차장-5000)*표준건축비*5%+(건축연면적-기준면적)*건축비*10% </t>
    <phoneticPr fontId="14" type="noConversion"/>
  </si>
  <si>
    <t>- ② 주차장+5000 = 기준면적초과 : (신축면적-주차장-5000)*표준건축비*10%</t>
    <phoneticPr fontId="14" type="noConversion"/>
  </si>
  <si>
    <t xml:space="preserve">      (5000㎡는 기초공제면적/공공청사는 1,000㎡)</t>
    <phoneticPr fontId="4" type="noConversion"/>
  </si>
  <si>
    <t xml:space="preserve">      단, 복합용 건축물의 경우 산정면적&lt;기준면적인 경우 기준면적대신 산정면적 사용</t>
    <phoneticPr fontId="4" type="noConversion"/>
  </si>
  <si>
    <t>■ 도정법상의 도시정비사업(도심재개발) 관련 건축물은 50% 감면</t>
    <phoneticPr fontId="14" type="noConversion"/>
  </si>
  <si>
    <t>■ 지급시기 및 납부 : 건축허가일(또는 신고일) 부과 - 사용승인일 또는 임시사용승인일까지 납부</t>
    <phoneticPr fontId="82" type="noConversion"/>
  </si>
  <si>
    <t>업무용</t>
    <phoneticPr fontId="4" type="noConversion"/>
  </si>
  <si>
    <t>판매용</t>
    <phoneticPr fontId="4" type="noConversion"/>
  </si>
  <si>
    <t>복합용</t>
    <phoneticPr fontId="4" type="noConversion"/>
  </si>
  <si>
    <t>■ 산정금액</t>
    <phoneticPr fontId="82" type="noConversion"/>
  </si>
  <si>
    <t>기준면적</t>
    <phoneticPr fontId="4" type="noConversion"/>
  </si>
  <si>
    <t>산정면적</t>
    <phoneticPr fontId="4" type="noConversion"/>
  </si>
  <si>
    <t>주차장면적</t>
    <phoneticPr fontId="4" type="noConversion"/>
  </si>
  <si>
    <t>과밀부담금부과를 위한 표준건축비(국토교통부 고시 2015년도)</t>
    <phoneticPr fontId="4" type="noConversion"/>
  </si>
  <si>
    <t>신축면적</t>
    <phoneticPr fontId="4" type="noConversion"/>
  </si>
  <si>
    <t>2015년</t>
    <phoneticPr fontId="4" type="noConversion"/>
  </si>
  <si>
    <t>표준건축비</t>
    <phoneticPr fontId="4" type="noConversion"/>
  </si>
  <si>
    <t>과밀부담금</t>
    <phoneticPr fontId="4" type="noConversion"/>
  </si>
  <si>
    <t>서울지역 이외로 부담금 없음</t>
    <phoneticPr fontId="4" type="noConversion"/>
  </si>
  <si>
    <t>학교용지부담금</t>
    <phoneticPr fontId="82" type="noConversion"/>
  </si>
  <si>
    <t>■"학교용지 확보 등에 관한 특례법"에 의해 학교용지확보 등에 관한 특례법에 의해 학교용지확보가 불가능할 경우, 개발사업자 부담</t>
    <phoneticPr fontId="14" type="noConversion"/>
  </si>
  <si>
    <t>■ 100세대 규모 이상의 개발사업을 시행할 경우 적용(착공시 부담)</t>
    <phoneticPr fontId="14" type="noConversion"/>
  </si>
  <si>
    <t>■ 산정방식</t>
    <phoneticPr fontId="82" type="noConversion"/>
  </si>
  <si>
    <t xml:space="preserve">    - 공동주택 : 세대별 공동주택분양가의 0.8%</t>
    <phoneticPr fontId="14" type="noConversion"/>
  </si>
  <si>
    <t xml:space="preserve">    - 단독주택 건축을 위한 토지 : 단독주택지분양가격의 1.4%</t>
    <phoneticPr fontId="14" type="noConversion"/>
  </si>
  <si>
    <t>■ 산정금액</t>
    <phoneticPr fontId="82" type="noConversion"/>
  </si>
  <si>
    <t>공동주택분양가</t>
    <phoneticPr fontId="4" type="noConversion"/>
  </si>
  <si>
    <t>부담비율</t>
    <phoneticPr fontId="4" type="noConversion"/>
  </si>
  <si>
    <t>광역교통시설부담금</t>
    <phoneticPr fontId="82" type="noConversion"/>
  </si>
  <si>
    <t>■ 대도시권광역교통관리에관한특별법 제11조</t>
    <phoneticPr fontId="82" type="noConversion"/>
  </si>
  <si>
    <t xml:space="preserve">  - 수도권 : 서울시, 인천시, 경기도</t>
    <phoneticPr fontId="4" type="noConversion"/>
  </si>
  <si>
    <t>구분</t>
    <phoneticPr fontId="85" type="noConversion"/>
  </si>
  <si>
    <t>주거전용면적</t>
    <phoneticPr fontId="85" type="noConversion"/>
  </si>
  <si>
    <t>천원/㎡</t>
    <phoneticPr fontId="85" type="noConversion"/>
  </si>
  <si>
    <t xml:space="preserve">  - 부산.울산권 : 부산, 울산 및 경남 양산·김해·진해시</t>
    <phoneticPr fontId="82" type="noConversion"/>
  </si>
  <si>
    <t>5층이하</t>
    <phoneticPr fontId="85" type="noConversion"/>
  </si>
  <si>
    <t>40㎡ 이하</t>
  </si>
  <si>
    <t xml:space="preserve">  - 대구권 : 대구,경북 경산·영천·군위·청도·고령·성주·칠곡, 경남 창녕</t>
    <phoneticPr fontId="82" type="noConversion"/>
  </si>
  <si>
    <t>40㎡ 초과-50㎡ 이하</t>
    <phoneticPr fontId="85" type="noConversion"/>
  </si>
  <si>
    <t xml:space="preserve">  - 광주권 : 광주, 전남 나주시·담양·화순·함평·장성군</t>
    <phoneticPr fontId="82" type="noConversion"/>
  </si>
  <si>
    <t>50㎡ 초과-60㎡ 이하</t>
    <phoneticPr fontId="85" type="noConversion"/>
  </si>
  <si>
    <t xml:space="preserve">  - 대전권 : 대전, 충남 공주·논산·계룡시·금산·연기군, 충북 청주시·보은·청원·옥천군</t>
    <phoneticPr fontId="82" type="noConversion"/>
  </si>
  <si>
    <t>60㎡ 초과</t>
  </si>
  <si>
    <t>■ 부과대상 : 택지조성사업 및 주택건설사업(재개발, 재건축 포함한 주택건설, 주상복합사업)</t>
    <phoneticPr fontId="82" type="noConversion"/>
  </si>
  <si>
    <t>6-10층 이하</t>
    <phoneticPr fontId="85" type="noConversion"/>
  </si>
  <si>
    <t>■ 75% 감면 대상 : 도시계획구역내에서 시행하는 주택재개발, 재건축 사업 / 50% 감면 대상 : 주택재개발, 재건축사업 및 도시지역 내의 부과대상사업</t>
    <phoneticPr fontId="82" type="noConversion"/>
  </si>
  <si>
    <t>40㎡ 초과-50㎡ 이하</t>
    <phoneticPr fontId="85" type="noConversion"/>
  </si>
  <si>
    <t xml:space="preserve">    - 주상복합 : 주택이외의 시설(오피스텔, 근린생활시설)은 비부과</t>
    <phoneticPr fontId="82" type="noConversion"/>
  </si>
  <si>
    <t>50㎡ 초과-60㎡ 이하</t>
    <phoneticPr fontId="85" type="noConversion"/>
  </si>
  <si>
    <t>■ 면제 대상 : 주거환경개선사업 아파트 / 전용 85㎡이하 임대주택(5년 이상 임대)</t>
    <phoneticPr fontId="82" type="noConversion"/>
  </si>
  <si>
    <t>■ 지급시기 및 비율 : 사업승인 받은날로부터 60일 이내 부과 - 부과로부터 60일 이내 납부(준공시까지 분납가능)</t>
    <phoneticPr fontId="82" type="noConversion"/>
  </si>
  <si>
    <t>11-20층 이하</t>
    <phoneticPr fontId="85" type="noConversion"/>
  </si>
  <si>
    <t>■ 산정방식 : 수 도 권 : 지상층연면적 × 표준건축비 × 부과율 4% - 공제액(진입도로가 아닌 철도 및 국도, 지방도의 건설 또는 개량비용)</t>
    <phoneticPr fontId="82" type="noConversion"/>
  </si>
  <si>
    <t>40㎡ 초과-50㎡ 이하</t>
    <phoneticPr fontId="85" type="noConversion"/>
  </si>
  <si>
    <t xml:space="preserve">                  대도시권 : 지상층연면적 × 표준건축비 × 부과율 2% - 공제액(진입도로가 아닌 철도 및 국도, 지방도의 건설 또는 개량비용)</t>
    <phoneticPr fontId="14" type="noConversion"/>
  </si>
  <si>
    <t>부과지역 아님</t>
    <phoneticPr fontId="4" type="noConversion"/>
  </si>
  <si>
    <t>50㎡ 초과-60㎡ 이하</t>
    <phoneticPr fontId="85" type="noConversion"/>
  </si>
  <si>
    <t>■ 산정금액</t>
    <phoneticPr fontId="82" type="noConversion"/>
  </si>
  <si>
    <t>지상층연면적</t>
    <phoneticPr fontId="4" type="noConversion"/>
  </si>
  <si>
    <t>표준건축비</t>
    <phoneticPr fontId="4" type="noConversion"/>
  </si>
  <si>
    <t>부과율</t>
    <phoneticPr fontId="4" type="noConversion"/>
  </si>
  <si>
    <t>공제액</t>
    <phoneticPr fontId="4" type="noConversion"/>
  </si>
  <si>
    <t>21층 이상</t>
    <phoneticPr fontId="85" type="noConversion"/>
  </si>
  <si>
    <t>개발부담금</t>
    <phoneticPr fontId="82" type="noConversion"/>
  </si>
  <si>
    <t>■ 개발이익환수에 관한 법률' 제5조 1항(주택단지조성) 및 10항(지목변경 수반되는 개발사업)/재건축 아파트 등</t>
    <phoneticPr fontId="82" type="noConversion"/>
  </si>
  <si>
    <t>■ 대상 : 택지개발, 공업단지조성, 도심지 재개발, 유통단지 조성, 지목변경사업 등 사업 중 기준면적 초과 사업</t>
    <phoneticPr fontId="82" type="noConversion"/>
  </si>
  <si>
    <t>개발부담금 산정 기준</t>
    <phoneticPr fontId="4" type="noConversion"/>
  </si>
  <si>
    <t>■ 기준면적</t>
    <phoneticPr fontId="82" type="noConversion"/>
  </si>
  <si>
    <t>년도</t>
    <phoneticPr fontId="4" type="noConversion"/>
  </si>
  <si>
    <t>공시지가</t>
    <phoneticPr fontId="4" type="noConversion"/>
  </si>
  <si>
    <t>상승률</t>
    <phoneticPr fontId="4" type="noConversion"/>
  </si>
  <si>
    <t>평균상승률</t>
    <phoneticPr fontId="4" type="noConversion"/>
  </si>
  <si>
    <t>정상지가상승분</t>
    <phoneticPr fontId="4" type="noConversion"/>
  </si>
  <si>
    <t>은행이자율</t>
    <phoneticPr fontId="4" type="noConversion"/>
  </si>
  <si>
    <t xml:space="preserve">  - 특별시, 광역시 : 부지면적 200평(660㎡) 이상 / 그 외 지역(그린벨트 제외) 300평(990㎡) 이상</t>
    <phoneticPr fontId="82" type="noConversion"/>
  </si>
  <si>
    <t xml:space="preserve">  - 도시계획구역 외 지역 및 그린벨트 1,650㎡이상</t>
    <phoneticPr fontId="82" type="noConversion"/>
  </si>
  <si>
    <t>■ 산정방식 : [((종료시점지가-개시시점지가-정상지가상승분)×사업면적)-개발비용] × 부담률(25%)</t>
    <phoneticPr fontId="14" type="noConversion"/>
  </si>
  <si>
    <t xml:space="preserve">  - 종료시점지가 : 평균지가상승률로 예측, 정상지가상승분 : 시군구의 월평균 지가변동률과 정기예금이자율(6%) 중 높은률 적용</t>
    <phoneticPr fontId="4" type="noConversion"/>
  </si>
  <si>
    <t xml:space="preserve">  - 사업면적 : 지목변경이 수반되는 해당지역의 면적, 개발비용 : 토지조성 관련비용(순공사비의 5%정도로 일단 계산)</t>
    <phoneticPr fontId="4" type="noConversion"/>
  </si>
  <si>
    <t>■ 부과대상-토지소유자 / 납부의무자 : 준공시 토지소유자</t>
    <phoneticPr fontId="82" type="noConversion"/>
  </si>
  <si>
    <t>■ 지급시기 및 납부 : 부과일로부터 6개월 이내 납부</t>
    <phoneticPr fontId="82" type="noConversion"/>
  </si>
  <si>
    <t>■ 개발비용은 토목공사비(순공사비) 및 이와 연관된 설계, 조사,관리비(기부채납액(시프트 포함), 각종부담금 등 포함)</t>
    <phoneticPr fontId="82" type="noConversion"/>
  </si>
  <si>
    <t>사업개시시점지가</t>
    <phoneticPr fontId="4" type="noConversion"/>
  </si>
  <si>
    <t>대상면적</t>
    <phoneticPr fontId="4" type="noConversion"/>
  </si>
  <si>
    <t>개발비용</t>
    <phoneticPr fontId="4" type="noConversion"/>
  </si>
  <si>
    <t>부과율</t>
    <phoneticPr fontId="4" type="noConversion"/>
  </si>
  <si>
    <t>■ 산정금액</t>
    <phoneticPr fontId="4" type="noConversion"/>
  </si>
  <si>
    <t>사업종료시점지가</t>
    <phoneticPr fontId="4" type="noConversion"/>
  </si>
  <si>
    <t>대상면적 중 기부채납면적</t>
    <phoneticPr fontId="4" type="noConversion"/>
  </si>
  <si>
    <t>기부채납액</t>
    <phoneticPr fontId="4" type="noConversion"/>
  </si>
  <si>
    <t>정상지가상승분</t>
    <phoneticPr fontId="4" type="noConversion"/>
  </si>
  <si>
    <t>교통유발부담금</t>
    <phoneticPr fontId="82" type="noConversion"/>
  </si>
  <si>
    <t>■ 도시교통정비촉진법 : 혼잡을 유발하는 상주인구 10만 이상의 시 중 연면적 1,000㎡이상 시설물에 대하여 부과</t>
    <phoneticPr fontId="82" type="noConversion"/>
  </si>
  <si>
    <t>주요시설 교통유발계수</t>
    <phoneticPr fontId="82" type="noConversion"/>
  </si>
  <si>
    <t>■ 부과기준일 및 의무자 : 매년 7.31일 현재 소유자</t>
    <phoneticPr fontId="82" type="noConversion"/>
  </si>
  <si>
    <t>대분류</t>
    <phoneticPr fontId="82" type="noConversion"/>
  </si>
  <si>
    <t>세분류</t>
    <phoneticPr fontId="82" type="noConversion"/>
  </si>
  <si>
    <t>도시규모</t>
    <phoneticPr fontId="82" type="noConversion"/>
  </si>
  <si>
    <t>■ 납부시기 : 매년 9.16 ~ 9.30</t>
    <phoneticPr fontId="82" type="noConversion"/>
  </si>
  <si>
    <t>100만이상</t>
    <phoneticPr fontId="82" type="noConversion"/>
  </si>
  <si>
    <t>50만~100만</t>
    <phoneticPr fontId="82" type="noConversion"/>
  </si>
  <si>
    <t>30만~50만</t>
    <phoneticPr fontId="82" type="noConversion"/>
  </si>
  <si>
    <t>10만~30만</t>
    <phoneticPr fontId="82" type="noConversion"/>
  </si>
  <si>
    <t>■ 공동주택은 교통유발부담금 대상 아님. 주상복합, 오피스텔은 1,000㎡ 이상일 경우 적용됨(다만 해당하는 건축물은 전체 연면적에 대하여 부과)</t>
    <phoneticPr fontId="82" type="noConversion"/>
  </si>
  <si>
    <t>근생시설</t>
    <phoneticPr fontId="82" type="noConversion"/>
  </si>
  <si>
    <t>슈퍼마켓</t>
    <phoneticPr fontId="82" type="noConversion"/>
  </si>
  <si>
    <t>■ 산정방식 : 전체연면적(제외부지 없음) × 단위부담금(350원(3,000㎡미만), 700원(3,000㎡이상)) × 교통유발 계수(용도별)</t>
    <phoneticPr fontId="82" type="noConversion"/>
  </si>
  <si>
    <t>연면적</t>
    <phoneticPr fontId="4" type="noConversion"/>
  </si>
  <si>
    <t>단위부담금(350 또는 700원)</t>
    <phoneticPr fontId="4" type="noConversion"/>
  </si>
  <si>
    <t>교통유발계수</t>
    <phoneticPr fontId="4" type="noConversion"/>
  </si>
  <si>
    <t>공동주택 면제</t>
    <phoneticPr fontId="4" type="noConversion"/>
  </si>
  <si>
    <t>판매시설</t>
    <phoneticPr fontId="82" type="noConversion"/>
  </si>
  <si>
    <t>백화점,쇼핑몰,할인점 등</t>
    <phoneticPr fontId="82" type="noConversion"/>
  </si>
  <si>
    <t>업무시설</t>
    <phoneticPr fontId="82" type="noConversion"/>
  </si>
  <si>
    <t>일반업무시설</t>
    <phoneticPr fontId="82" type="noConversion"/>
  </si>
  <si>
    <t>농지보전부담금</t>
    <phoneticPr fontId="82" type="noConversion"/>
  </si>
  <si>
    <t>■ 농지법 제38조에 의거 전용으로 감소되는 농지(전,답,과수원)를 대체 조성하는데 소요되는 비용을 부과</t>
    <phoneticPr fontId="82" type="noConversion"/>
  </si>
  <si>
    <t>■ 산정방식 : 전용농지의 개별공시지가 × 전용되는 농지면적(㎡) × 30%</t>
    <phoneticPr fontId="82" type="noConversion"/>
  </si>
  <si>
    <t>■ ㎡당 50,000을 초과하는 경우 상한액을 50,000원으로 함(농림수산식품부 고시 제2006-1호(06. 01. 22)</t>
    <phoneticPr fontId="82" type="noConversion"/>
  </si>
  <si>
    <t>■ 수납업무대행 : 한국농어촌공사</t>
    <phoneticPr fontId="4" type="noConversion"/>
  </si>
  <si>
    <t>■ 부과기준일 : 실시계획 승인일. 이후 납입통지를 받은 후 30일 이내 납부</t>
    <phoneticPr fontId="4" type="noConversion"/>
  </si>
  <si>
    <t>전용농지의 개별공시지가</t>
    <phoneticPr fontId="4" type="noConversion"/>
  </si>
  <si>
    <t>전용면적</t>
    <phoneticPr fontId="4" type="noConversion"/>
  </si>
  <si>
    <t>부과비율</t>
    <phoneticPr fontId="4" type="noConversion"/>
  </si>
  <si>
    <t>토지조서 참조</t>
    <phoneticPr fontId="4" type="noConversion"/>
  </si>
  <si>
    <t>토지조서 참조</t>
    <phoneticPr fontId="4" type="noConversion"/>
  </si>
  <si>
    <t>대체산림자원조성비</t>
    <phoneticPr fontId="82" type="noConversion"/>
  </si>
  <si>
    <t>■ 산지관리법 제19조 6항, 시행령 제24조 4항에 의거 사업부지중 지목이 "임"인 토지 형질변경시 부과</t>
    <phoneticPr fontId="82" type="noConversion"/>
  </si>
  <si>
    <t>단위면적당 부과기준 금액</t>
    <phoneticPr fontId="4" type="noConversion"/>
  </si>
  <si>
    <t>■ 산정방식 : 전용되는 산지면적(㎡) × 단위 면적당 금액</t>
    <phoneticPr fontId="82" type="noConversion"/>
  </si>
  <si>
    <t>구 분</t>
    <phoneticPr fontId="82" type="noConversion"/>
  </si>
  <si>
    <t>준보전산지</t>
    <phoneticPr fontId="82" type="noConversion"/>
  </si>
  <si>
    <t>보전산지</t>
    <phoneticPr fontId="82" type="noConversion"/>
  </si>
  <si>
    <t>산지전용제한지역</t>
    <phoneticPr fontId="82" type="noConversion"/>
  </si>
  <si>
    <t>■ 지급시기 : 사업승인 이후 60일 이내 납부</t>
    <phoneticPr fontId="82" type="noConversion"/>
  </si>
  <si>
    <t>기준금액</t>
    <phoneticPr fontId="4" type="noConversion"/>
  </si>
  <si>
    <t>전용면적</t>
    <phoneticPr fontId="4" type="noConversion"/>
  </si>
  <si>
    <t>금 액</t>
    <phoneticPr fontId="82" type="noConversion"/>
  </si>
  <si>
    <t>환경개선부담금</t>
    <phoneticPr fontId="82" type="noConversion"/>
  </si>
  <si>
    <t>■ 환경개선비용부담법 제9조에 의해 점포,사무실,수상건물 등 바닥면적 합계가 160㎡이상인 건물에 부과</t>
    <phoneticPr fontId="82" type="noConversion"/>
  </si>
  <si>
    <t>계수 및 단위금액은 환경개선비용 부담법 시행령 별표 참조</t>
    <phoneticPr fontId="4" type="noConversion"/>
  </si>
  <si>
    <t>■ 대기오염물질 배출시, 수질오염물질 배출시, 자동차 개선부담금 등 3종류로 구성</t>
    <phoneticPr fontId="82" type="noConversion"/>
  </si>
  <si>
    <t>■ 공동주택 및 단독주택, 복합용도 시설물 중 주거용부분은 면제대상임</t>
    <phoneticPr fontId="82" type="noConversion"/>
  </si>
  <si>
    <t>■ 산정방식 : 수질오염물질 배출시 : 용수사용량 × 단위당부과금액 × 오염유발계수 × 지역계수</t>
    <phoneticPr fontId="82" type="noConversion"/>
  </si>
  <si>
    <t xml:space="preserve">                  대기오염물질 배출시 : 연료사용량 × 단위당부과금액 × 연료계수 × 지역계수</t>
    <phoneticPr fontId="82" type="noConversion"/>
  </si>
  <si>
    <t>■ 부과기준 및 납부 : 매년 2회 상반기, 하반기분으로 나누어 부과되며 납부는 매년 3월, 9월</t>
    <phoneticPr fontId="82" type="noConversion"/>
  </si>
  <si>
    <t>■ 산식 : 대기오염 개선부담금 + 수질오염 개선부담금</t>
    <phoneticPr fontId="4" type="noConversion"/>
  </si>
  <si>
    <t>■ 산정금액</t>
    <phoneticPr fontId="82" type="noConversion"/>
  </si>
  <si>
    <t>외주용역비 산출내역</t>
    <phoneticPr fontId="4" type="noConversion"/>
  </si>
  <si>
    <t>설계용역비</t>
    <phoneticPr fontId="82" type="noConversion"/>
  </si>
  <si>
    <t>■ 인.허가 및 건축 시공을 위한 설계도면의 작성 / 세대수, 난이도 등에 따라 다소 차등</t>
    <phoneticPr fontId="82" type="noConversion"/>
  </si>
  <si>
    <t>■ 공동주택 : 평당 25천원 ~ 40천원 / 주상복합, 오피스텔 : 평당 50천원 ~ 80천원</t>
    <phoneticPr fontId="82" type="noConversion"/>
  </si>
  <si>
    <t>■ 일반적 지급시기 및 비율 : 계약시20%, 인허가완료시 20%, 착공시 20%, 도면납품시 20%, 골조완료시 10%, 준공시 10%</t>
    <phoneticPr fontId="82" type="noConversion"/>
  </si>
  <si>
    <t>■ 산정금액 : 연면적 × 평당 적용 단가</t>
    <phoneticPr fontId="82" type="noConversion"/>
  </si>
  <si>
    <t>감리용역비</t>
    <phoneticPr fontId="82" type="noConversion"/>
  </si>
  <si>
    <t>■ 건축, 기계, 전기, 통신, 소방 감리용역 수수료(2007년 하반기부터 전기감리 별도 분리됨)</t>
    <phoneticPr fontId="82" type="noConversion"/>
  </si>
  <si>
    <t>■ 최근 들어 감리용역비가 설계용역비를 추월하는 추세에 있음(설계용역비의 110% ~ 120% 수준)</t>
    <phoneticPr fontId="82" type="noConversion"/>
  </si>
  <si>
    <t>■ 지급시기 및 비율 : 약 2~3개월에 1회씩 지급하며, 정율 또는 정액으로 지급되나 기성율에 따라 지급되기도 함.</t>
    <phoneticPr fontId="82" type="noConversion"/>
  </si>
  <si>
    <t>■ 산정금액 : 연면적 × 평당 적용 단가</t>
    <phoneticPr fontId="82" type="noConversion"/>
  </si>
  <si>
    <t>지구단위계획용역비</t>
    <phoneticPr fontId="82" type="noConversion"/>
  </si>
  <si>
    <t>■ 지구단위계획구역 지정 및 지구단위계획 수립 관련 용역수수료</t>
    <phoneticPr fontId="82" type="noConversion"/>
  </si>
  <si>
    <t>■ 일반적 지급시기 및 비율 : 인.허가 이전 지급 완료 / 계약시10%, 용역중간40%, 용역완료시 50%</t>
    <phoneticPr fontId="82" type="noConversion"/>
  </si>
  <si>
    <t>■ 산정금액 : 사업부지 면적(평) × 평당적용단가</t>
    <phoneticPr fontId="82" type="noConversion"/>
  </si>
  <si>
    <t>교통영향평가용역비</t>
    <phoneticPr fontId="82" type="noConversion"/>
  </si>
  <si>
    <t>■ 교통영향평가 대상(주요시설 위주)</t>
    <phoneticPr fontId="4" type="noConversion"/>
  </si>
  <si>
    <t>용도구분</t>
    <phoneticPr fontId="82" type="noConversion"/>
  </si>
  <si>
    <t>시설물의 종류</t>
    <phoneticPr fontId="82" type="noConversion"/>
  </si>
  <si>
    <t>지방교통영향 심의위원회 심의대상</t>
    <phoneticPr fontId="82" type="noConversion"/>
  </si>
  <si>
    <t>주거시설</t>
    <phoneticPr fontId="82" type="noConversion"/>
  </si>
  <si>
    <t>공동주택</t>
    <phoneticPr fontId="82" type="noConversion"/>
  </si>
  <si>
    <t>건축연면적 60,000㎡ 이상</t>
    <phoneticPr fontId="82" type="noConversion"/>
  </si>
  <si>
    <t>업무시설</t>
    <phoneticPr fontId="82" type="noConversion"/>
  </si>
  <si>
    <t>일반업무시설</t>
    <phoneticPr fontId="82" type="noConversion"/>
  </si>
  <si>
    <t>건축연면적 25,000㎡ 이상</t>
    <phoneticPr fontId="82" type="noConversion"/>
  </si>
  <si>
    <t>관람집회시설</t>
    <phoneticPr fontId="82" type="noConversion"/>
  </si>
  <si>
    <t>공연장,집회장 등</t>
    <phoneticPr fontId="82" type="noConversion"/>
  </si>
  <si>
    <t>건축연면적 15,000㎡ 이상</t>
    <phoneticPr fontId="82" type="noConversion"/>
  </si>
  <si>
    <t>판매시설</t>
    <phoneticPr fontId="82" type="noConversion"/>
  </si>
  <si>
    <t>시장,도매센터</t>
    <phoneticPr fontId="82" type="noConversion"/>
  </si>
  <si>
    <t>건축연면적 11,000㎡ 이상</t>
    <phoneticPr fontId="82" type="noConversion"/>
  </si>
  <si>
    <t>백화점,쇼핑센타,대형점</t>
    <phoneticPr fontId="82" type="noConversion"/>
  </si>
  <si>
    <t>건축연면적 6,000㎡ 이상</t>
    <phoneticPr fontId="82" type="noConversion"/>
  </si>
  <si>
    <t>숙박시설</t>
    <phoneticPr fontId="82" type="noConversion"/>
  </si>
  <si>
    <t>호텔,여관,기타관광숙박</t>
    <phoneticPr fontId="82" type="noConversion"/>
  </si>
  <si>
    <t>건축연면적 33,000㎡ 이상</t>
    <phoneticPr fontId="82" type="noConversion"/>
  </si>
  <si>
    <t>근린생활시설</t>
    <phoneticPr fontId="82" type="noConversion"/>
  </si>
  <si>
    <t>1종, 2종 근린생활시설</t>
    <phoneticPr fontId="82" type="noConversion"/>
  </si>
  <si>
    <t>건축연면적 12,000㎡ 이상</t>
    <phoneticPr fontId="82" type="noConversion"/>
  </si>
  <si>
    <t>■ 일반적 지급시기 및 비율: 인.허가 이전 지급 완료 / 계약시10%, 심의완료시50%, 용역완료시40%</t>
    <phoneticPr fontId="82" type="noConversion"/>
  </si>
  <si>
    <t>문화재 지표조사
용역비</t>
    <phoneticPr fontId="82" type="noConversion"/>
  </si>
  <si>
    <t>■ 사업면적 30,000㎡ 이상인 건설공사시 / 3만제곱미터 미만 건설공사중 문화관광부령이 정하는 지역의 건설공사</t>
    <phoneticPr fontId="82" type="noConversion"/>
  </si>
  <si>
    <t>■ 최초 지표조사 실시 후 문화재 출토 가능성 다분할 경우, 시굴(발굴)조사(일부 또는 전체면적) 실시</t>
    <phoneticPr fontId="82" type="noConversion"/>
  </si>
  <si>
    <t>■ 사업계획시(입지선정단계) 해야 함이 원칙이나, 인.허가 이전까지 완료하는 것이 일반적으로 통용됨</t>
    <phoneticPr fontId="82" type="noConversion"/>
  </si>
  <si>
    <t>■ 시굴(발굴)조사 병행시 비용 큰 폭으로 상승(평당 5천원~10천원)</t>
    <phoneticPr fontId="82" type="noConversion"/>
  </si>
  <si>
    <t>■ 지급시기 및 비율 : 지표조사 완료시까지 약 30일 소요</t>
    <phoneticPr fontId="82" type="noConversion"/>
  </si>
  <si>
    <t>■ 산정금액 : 사업부지 면적 30,000㎡ 기준 일식 약 4,000천원 ~ 6,000천원</t>
    <phoneticPr fontId="82" type="noConversion"/>
  </si>
  <si>
    <t>일식</t>
    <phoneticPr fontId="4" type="noConversion"/>
  </si>
  <si>
    <t>지질조사 및
측량용역비</t>
    <phoneticPr fontId="82" type="noConversion"/>
  </si>
  <si>
    <t>■ 사업지 지질조사(시추공) 및 측량 관련 비용/설계비에 포함된 지질조사외 별도 조사비</t>
    <phoneticPr fontId="82" type="noConversion"/>
  </si>
  <si>
    <t>■ 지급시기 및 비율 : 계약시 10%, 용역완료시 90% 지급이 일반적 / 인.허가 완료전 지급</t>
    <phoneticPr fontId="82" type="noConversion"/>
  </si>
  <si>
    <t>■ 산정금액 : 사업부지 면적(평) × 평당적용단가</t>
  </si>
  <si>
    <t>기타비용 산출내역</t>
    <phoneticPr fontId="4" type="noConversion"/>
  </si>
  <si>
    <t>감정평가수수료</t>
    <phoneticPr fontId="82" type="noConversion"/>
  </si>
  <si>
    <t>■ 토지의 가격을 감정하여 그 가액을 기준으로 토지를 담보로 한 대출을 발생시키기 위한 용역</t>
    <phoneticPr fontId="82" type="noConversion"/>
  </si>
  <si>
    <t>감정평가 보수기준</t>
    <phoneticPr fontId="4" type="noConversion"/>
  </si>
  <si>
    <t>■ 지급시기 및 비율 : 계약시 10~20%, 용역완료시 80~90%</t>
    <phoneticPr fontId="82" type="noConversion"/>
  </si>
  <si>
    <t>평가가액</t>
  </si>
  <si>
    <t>수 수 료</t>
  </si>
  <si>
    <t>비    고</t>
  </si>
  <si>
    <t>■ 토지매입(가) 대비 수수료 기준 적용</t>
    <phoneticPr fontId="82" type="noConversion"/>
  </si>
  <si>
    <t>기본보수</t>
    <phoneticPr fontId="14" type="noConversion"/>
  </si>
  <si>
    <t>수수료율</t>
    <phoneticPr fontId="14" type="noConversion"/>
  </si>
  <si>
    <t>■ 산정금액</t>
    <phoneticPr fontId="4" type="noConversion"/>
  </si>
  <si>
    <t xml:space="preserve">    5천 까지</t>
  </si>
  <si>
    <t>* 50% 할증</t>
  </si>
  <si>
    <t xml:space="preserve">    5천 ~    5억까지</t>
  </si>
  <si>
    <t xml:space="preserve"> - 5월이상가격시점소급</t>
  </si>
  <si>
    <t xml:space="preserve">    5억 ~   10억까지</t>
  </si>
  <si>
    <t xml:space="preserve"> - 댐,교량등 특수용도 구축물</t>
  </si>
  <si>
    <t xml:space="preserve">   10억 ~   50억까지</t>
  </si>
  <si>
    <t xml:space="preserve"> - 도서지역소재물건 등</t>
  </si>
  <si>
    <t xml:space="preserve">   50억 ~  100억까지</t>
  </si>
  <si>
    <t xml:space="preserve">  100억 ~  500억까지</t>
  </si>
  <si>
    <t>평가액</t>
    <phoneticPr fontId="4" type="noConversion"/>
  </si>
  <si>
    <t>기본보수</t>
    <phoneticPr fontId="4" type="noConversion"/>
  </si>
  <si>
    <t>수수료율</t>
    <phoneticPr fontId="4" type="noConversion"/>
  </si>
  <si>
    <t>산출수수료</t>
    <phoneticPr fontId="4" type="noConversion"/>
  </si>
  <si>
    <t xml:space="preserve">  500억 ~1,000억까지</t>
  </si>
  <si>
    <t>1,000억 초과</t>
  </si>
  <si>
    <t>법무사수수료</t>
    <phoneticPr fontId="82" type="noConversion"/>
  </si>
  <si>
    <t>■ 지급시기 및 비율 : 토지잔금 지급과 동시에 소유권 이전시 100%</t>
    <phoneticPr fontId="82" type="noConversion"/>
  </si>
  <si>
    <t>법무사 보수기준</t>
    <phoneticPr fontId="4" type="noConversion"/>
  </si>
  <si>
    <t>■산정금액</t>
    <phoneticPr fontId="4" type="noConversion"/>
  </si>
  <si>
    <t>구분</t>
    <phoneticPr fontId="4" type="noConversion"/>
  </si>
  <si>
    <t>과세표준액</t>
    <phoneticPr fontId="4" type="noConversion"/>
  </si>
  <si>
    <t>기본보수</t>
    <phoneticPr fontId="4" type="noConversion"/>
  </si>
  <si>
    <t>누진율</t>
    <phoneticPr fontId="4" type="noConversion"/>
  </si>
  <si>
    <t>누진보수</t>
    <phoneticPr fontId="4" type="noConversion"/>
  </si>
  <si>
    <t>경비</t>
    <phoneticPr fontId="4" type="noConversion"/>
  </si>
  <si>
    <t>산출보수</t>
    <phoneticPr fontId="4" type="noConversion"/>
  </si>
  <si>
    <t>비고</t>
    <phoneticPr fontId="4" type="noConversion"/>
  </si>
  <si>
    <t>토지취득</t>
    <phoneticPr fontId="4" type="noConversion"/>
  </si>
  <si>
    <t>신탁등기</t>
    <phoneticPr fontId="4" type="noConversion"/>
  </si>
  <si>
    <t>총토지대의 130%(예상PF금액)</t>
    <phoneticPr fontId="4" type="noConversion"/>
  </si>
  <si>
    <t>건물보존등기</t>
    <phoneticPr fontId="4" type="noConversion"/>
  </si>
  <si>
    <t>법인설립등기</t>
    <phoneticPr fontId="4" type="noConversion"/>
  </si>
  <si>
    <t>있는 경우 자본금이 과세표준액</t>
    <phoneticPr fontId="4" type="noConversion"/>
  </si>
  <si>
    <t>누진보수 = (과세표준액-한등급아래 기준금액)*누진율</t>
    <phoneticPr fontId="4" type="noConversion"/>
  </si>
  <si>
    <t>신탁수수료</t>
    <phoneticPr fontId="82" type="noConversion"/>
  </si>
  <si>
    <t>■ 담보, 관리.처분, 대리사무 등의 신탁업무를 위한 지급수수료</t>
    <phoneticPr fontId="82" type="noConversion"/>
  </si>
  <si>
    <t>■ 개발신탁 아닐 경우, 대부분 담보신탁 및 향후 입주시 미분양건에 대한 관리.처분신탁 수수료 발생</t>
    <phoneticPr fontId="82" type="noConversion"/>
  </si>
  <si>
    <t>■ 수지표상에는 담보신탁, 대리사무 수수료 및 관리형 개발신탁 적용시 수수료를 책정</t>
    <phoneticPr fontId="82" type="noConversion"/>
  </si>
  <si>
    <t>■ 산정방식 :</t>
    <phoneticPr fontId="82" type="noConversion"/>
  </si>
  <si>
    <t xml:space="preserve"> - 담보신탁 : 수익권증서금액(채권최고액-사업비의 130%) × 0.3~0.5%(규모에 따라 다름)</t>
    <phoneticPr fontId="82" type="noConversion"/>
  </si>
  <si>
    <t xml:space="preserve"> - 대리사무 : 총 매출액의 0.5~0.8%</t>
    <phoneticPr fontId="82" type="noConversion"/>
  </si>
  <si>
    <t xml:space="preserve"> - 관리형 개발신탁 : 총 매출액의 1.0~1.5%(관리형 개발신탁 체결시 대리사무범위 포함됨)</t>
    <phoneticPr fontId="82" type="noConversion"/>
  </si>
  <si>
    <t xml:space="preserve"> - 분양형 관리신탁 : 시멘트벽돌 및 블록조의 건축물 : 연면적 ㎡당 0.6천원</t>
    <phoneticPr fontId="82" type="noConversion"/>
  </si>
  <si>
    <t xml:space="preserve"> - 개발신탁 : 개발보수('설계+감리+공사비'의 3%/공정율에 따라 지급)+분양보수(총 매출액의 1~2%/분양율에 따라 지급)</t>
    <phoneticPr fontId="82" type="noConversion"/>
  </si>
  <si>
    <t>■ 지급시기 및 비율 : PF발생(담보신탁 체결)시-인.허가 완료 후 본 PF시</t>
    <phoneticPr fontId="82" type="noConversion"/>
  </si>
  <si>
    <t>기준금액</t>
    <phoneticPr fontId="4" type="noConversion"/>
  </si>
  <si>
    <t>신탁수수료(선택)</t>
    <phoneticPr fontId="4" type="noConversion"/>
  </si>
  <si>
    <t>■ 담보신탁 수수료</t>
    <phoneticPr fontId="82" type="noConversion"/>
  </si>
  <si>
    <t>(PF금액 또는 수익권증서 금액)</t>
    <phoneticPr fontId="4" type="noConversion"/>
  </si>
  <si>
    <t>■ 대리사무 수수료</t>
    <phoneticPr fontId="82" type="noConversion"/>
  </si>
  <si>
    <t>(총분양수입)</t>
    <phoneticPr fontId="4" type="noConversion"/>
  </si>
  <si>
    <t>■ 개발신탁 수수료(개발보수 + 분양보수)</t>
    <phoneticPr fontId="82" type="noConversion"/>
  </si>
  <si>
    <t>(설계+감리+직접공사비)</t>
    <phoneticPr fontId="4" type="noConversion"/>
  </si>
  <si>
    <t>법인설립비용</t>
    <phoneticPr fontId="85" type="noConversion"/>
  </si>
  <si>
    <t>■ 사업을 위한 별도 법인 설립시 들어가는 비용</t>
    <phoneticPr fontId="4" type="noConversion"/>
  </si>
  <si>
    <t>법인 설립시 쇼요 비용</t>
    <phoneticPr fontId="4" type="noConversion"/>
  </si>
  <si>
    <t>■ PFV사업에 주로 적용됨</t>
    <phoneticPr fontId="4" type="noConversion"/>
  </si>
  <si>
    <t>자본금</t>
    <phoneticPr fontId="85" type="noConversion"/>
  </si>
  <si>
    <t>천원</t>
    <phoneticPr fontId="14" type="noConversion"/>
  </si>
  <si>
    <t>■ 사업금액의 일부를 법인 자본금으로 납입하여 산정</t>
    <phoneticPr fontId="4" type="noConversion"/>
  </si>
  <si>
    <t>법인설립등기</t>
    <phoneticPr fontId="4" type="noConversion"/>
  </si>
  <si>
    <t>금액[단위:천원]</t>
    <phoneticPr fontId="85" type="noConversion"/>
  </si>
  <si>
    <t>■ 산정금액</t>
    <phoneticPr fontId="4" type="noConversion"/>
  </si>
  <si>
    <t>법무사 보수</t>
    <phoneticPr fontId="85" type="noConversion"/>
  </si>
  <si>
    <t>VAT별도</t>
    <phoneticPr fontId="85" type="noConversion"/>
  </si>
  <si>
    <t>등록세</t>
    <phoneticPr fontId="85" type="noConversion"/>
  </si>
  <si>
    <t>설립자본금의</t>
    <phoneticPr fontId="85" type="noConversion"/>
  </si>
  <si>
    <t>교육세</t>
    <phoneticPr fontId="85" type="noConversion"/>
  </si>
  <si>
    <t>등록세의</t>
    <phoneticPr fontId="85" type="noConversion"/>
  </si>
  <si>
    <t>공증료</t>
    <phoneticPr fontId="85" type="noConversion"/>
  </si>
  <si>
    <t>채권할인</t>
    <phoneticPr fontId="85" type="noConversion"/>
  </si>
  <si>
    <t>매입</t>
    <phoneticPr fontId="85" type="noConversion"/>
  </si>
  <si>
    <t>할인율</t>
    <phoneticPr fontId="85" type="noConversion"/>
  </si>
  <si>
    <t>기타</t>
    <phoneticPr fontId="85" type="noConversion"/>
  </si>
  <si>
    <t>합계</t>
    <phoneticPr fontId="85" type="noConversion"/>
  </si>
  <si>
    <t>채권매입비</t>
    <phoneticPr fontId="4" type="noConversion"/>
  </si>
  <si>
    <t>■ 국가 또는 지자체로부터 면허, 허가, 인가를 받거나 등기.등록 신청시 부담</t>
    <phoneticPr fontId="82" type="noConversion"/>
  </si>
  <si>
    <t>■ 공동주택 : 전용면적 × 채권매입액 × 채권할인율</t>
    <phoneticPr fontId="82" type="noConversion"/>
  </si>
  <si>
    <t>■ 주거전용외의 건축물 : 연면적 × 채권매입금액 × 채권할인율</t>
    <phoneticPr fontId="82" type="noConversion"/>
  </si>
  <si>
    <t>■ 주상복합 : 공동주택 부분은 공용면적에 포함되는 부대 및 복리시설을 제외한 연면적 적용함</t>
    <phoneticPr fontId="82" type="noConversion"/>
  </si>
  <si>
    <t>■ 지급시기 : 사업승인시 전액 납부(할인하여 매도)</t>
    <phoneticPr fontId="82" type="noConversion"/>
  </si>
  <si>
    <t>■ 산정금액 1. 토지취득시</t>
    <phoneticPr fontId="4" type="noConversion"/>
  </si>
  <si>
    <t>매입면적</t>
    <phoneticPr fontId="4" type="noConversion"/>
  </si>
  <si>
    <t>시가표준액</t>
    <phoneticPr fontId="4" type="noConversion"/>
  </si>
  <si>
    <t>매입률</t>
    <phoneticPr fontId="4" type="noConversion"/>
  </si>
  <si>
    <t>채권할인율(www.okbond.kr확인)</t>
    <phoneticPr fontId="4" type="noConversion"/>
  </si>
  <si>
    <t>매입율</t>
    <phoneticPr fontId="4" type="noConversion"/>
  </si>
  <si>
    <t>주거전용면적에 따른 채권단가(천원)</t>
    <phoneticPr fontId="4" type="noConversion"/>
  </si>
  <si>
    <t>토지조서 참조</t>
    <phoneticPr fontId="4" type="noConversion"/>
  </si>
  <si>
    <t>토지가격</t>
    <phoneticPr fontId="4" type="noConversion"/>
  </si>
  <si>
    <t>매입율</t>
    <phoneticPr fontId="14" type="noConversion"/>
  </si>
  <si>
    <t>85㎡~100㎡미만</t>
    <phoneticPr fontId="4" type="noConversion"/>
  </si>
  <si>
    <t>■ 산정금액 2. 사업승인인허가시</t>
    <phoneticPr fontId="4" type="noConversion"/>
  </si>
  <si>
    <t>주거용면적</t>
    <phoneticPr fontId="4" type="noConversion"/>
  </si>
  <si>
    <t>채권단가</t>
    <phoneticPr fontId="4" type="noConversion"/>
  </si>
  <si>
    <t>채권할인율</t>
    <phoneticPr fontId="4" type="noConversion"/>
  </si>
  <si>
    <t>광역시</t>
    <phoneticPr fontId="14" type="noConversion"/>
  </si>
  <si>
    <t>그외</t>
    <phoneticPr fontId="14" type="noConversion"/>
  </si>
  <si>
    <t>100㎡~132㎡미만</t>
    <phoneticPr fontId="4" type="noConversion"/>
  </si>
  <si>
    <t>정확하게는 평형별로 채권단가 산정</t>
    <phoneticPr fontId="4" type="noConversion"/>
  </si>
  <si>
    <t>5천 미만</t>
    <phoneticPr fontId="14" type="noConversion"/>
  </si>
  <si>
    <t>132㎡~165㎡미만</t>
    <phoneticPr fontId="4" type="noConversion"/>
  </si>
  <si>
    <t>비주거용면적</t>
    <phoneticPr fontId="4" type="noConversion"/>
  </si>
  <si>
    <t>채권단가</t>
    <phoneticPr fontId="4" type="noConversion"/>
  </si>
  <si>
    <t>채권할인율</t>
    <phoneticPr fontId="4" type="noConversion"/>
  </si>
  <si>
    <t>1억 미만</t>
    <phoneticPr fontId="14" type="noConversion"/>
  </si>
  <si>
    <t>165㎡~231㎡미만</t>
    <phoneticPr fontId="4" type="noConversion"/>
  </si>
  <si>
    <t>1억 이상</t>
    <phoneticPr fontId="14" type="noConversion"/>
  </si>
  <si>
    <t>231㎡~330㎡미만</t>
    <phoneticPr fontId="4" type="noConversion"/>
  </si>
  <si>
    <t>■ 산정금액 3. 보존등기시</t>
    <phoneticPr fontId="4" type="noConversion"/>
  </si>
  <si>
    <t>시가표준액</t>
    <phoneticPr fontId="4" type="noConversion"/>
  </si>
  <si>
    <t>매입률</t>
    <phoneticPr fontId="4" type="noConversion"/>
  </si>
  <si>
    <t>채권할인율</t>
    <phoneticPr fontId="4" type="noConversion"/>
  </si>
  <si>
    <t>330㎡~660㎡미만</t>
    <phoneticPr fontId="4" type="noConversion"/>
  </si>
  <si>
    <t>정확하게는 세대당 금액으로 쪼개서 산정</t>
    <phoneticPr fontId="4" type="noConversion"/>
  </si>
  <si>
    <t>주택(세대당)</t>
    <phoneticPr fontId="14" type="noConversion"/>
  </si>
  <si>
    <t>매입율</t>
    <phoneticPr fontId="14" type="noConversion"/>
  </si>
  <si>
    <t>660㎡~</t>
    <phoneticPr fontId="4" type="noConversion"/>
  </si>
  <si>
    <t>※ 부동산투자회사(리츠)는 국민주택채권 매입 면제</t>
    <phoneticPr fontId="4" type="noConversion"/>
  </si>
  <si>
    <t>※ 채권할인율을 곱하지 않으면 채권매입시 금액임</t>
    <phoneticPr fontId="4" type="noConversion"/>
  </si>
  <si>
    <t>광역시</t>
    <phoneticPr fontId="14" type="noConversion"/>
  </si>
  <si>
    <t>그외</t>
    <phoneticPr fontId="14" type="noConversion"/>
  </si>
  <si>
    <t>비주거용면적에 따른 채권단가</t>
    <phoneticPr fontId="4" type="noConversion"/>
  </si>
  <si>
    <t>5천 미만</t>
    <phoneticPr fontId="14" type="noConversion"/>
  </si>
  <si>
    <t>철근 및 철골조 건축물</t>
    <phoneticPr fontId="4" type="noConversion"/>
  </si>
  <si>
    <t>1억 미만</t>
    <phoneticPr fontId="14" type="noConversion"/>
  </si>
  <si>
    <t>1.6억 미만</t>
    <phoneticPr fontId="14" type="noConversion"/>
  </si>
  <si>
    <t>2.6억 미만</t>
    <phoneticPr fontId="14" type="noConversion"/>
  </si>
  <si>
    <t>6억 미만</t>
    <phoneticPr fontId="14" type="noConversion"/>
  </si>
  <si>
    <t>6억 이상</t>
    <phoneticPr fontId="14" type="noConversion"/>
  </si>
  <si>
    <t>주택/토지 외</t>
    <phoneticPr fontId="14" type="noConversion"/>
  </si>
  <si>
    <t>매입율</t>
    <phoneticPr fontId="14" type="noConversion"/>
  </si>
  <si>
    <t>광역시</t>
    <phoneticPr fontId="14" type="noConversion"/>
  </si>
  <si>
    <t>그외</t>
    <phoneticPr fontId="14" type="noConversion"/>
  </si>
  <si>
    <t>1.3억 미만</t>
    <phoneticPr fontId="14" type="noConversion"/>
  </si>
  <si>
    <t>2.5억 미만</t>
    <phoneticPr fontId="14" type="noConversion"/>
  </si>
  <si>
    <t>2.5억 이상</t>
    <phoneticPr fontId="14" type="noConversion"/>
  </si>
  <si>
    <t>공사기간별 공정율</t>
    <phoneticPr fontId="4" type="noConversion"/>
  </si>
  <si>
    <t>공사기간입력=</t>
  </si>
  <si>
    <t>(개월)</t>
  </si>
  <si>
    <t>■ 월별 공정율</t>
    <phoneticPr fontId="93" type="noConversion"/>
  </si>
  <si>
    <t>월</t>
  </si>
  <si>
    <t>당월(%)</t>
  </si>
  <si>
    <t>누계(%)</t>
  </si>
  <si>
    <t>개월별 비율1</t>
    <phoneticPr fontId="94" type="noConversion"/>
  </si>
  <si>
    <r>
      <t>개월별 비율2</t>
    </r>
    <r>
      <rPr>
        <b/>
        <sz val="12"/>
        <rFont val="바탕체"/>
        <family val="1"/>
        <charset val="129"/>
      </rPr>
      <t/>
    </r>
  </si>
  <si>
    <t>월별공정%</t>
  </si>
  <si>
    <t>누계공정%</t>
  </si>
  <si>
    <t>사용할 월별공정율%</t>
  </si>
  <si>
    <t>월</t>
    <phoneticPr fontId="93" type="noConversion"/>
  </si>
  <si>
    <t>1개월</t>
    <phoneticPr fontId="93" type="noConversion"/>
  </si>
  <si>
    <t>2개월</t>
  </si>
  <si>
    <t>3개월</t>
  </si>
  <si>
    <t>4개월</t>
  </si>
  <si>
    <t>5개월</t>
  </si>
  <si>
    <t>6개월</t>
  </si>
  <si>
    <t>7개월</t>
  </si>
  <si>
    <t>8개월</t>
  </si>
  <si>
    <t>9개월</t>
  </si>
  <si>
    <t>10개월</t>
  </si>
  <si>
    <t>11개월</t>
  </si>
  <si>
    <t>12개월</t>
  </si>
  <si>
    <t>13개월</t>
  </si>
  <si>
    <t>14개월</t>
  </si>
  <si>
    <t>15개월</t>
  </si>
  <si>
    <t>16개월</t>
  </si>
  <si>
    <t>17개월</t>
  </si>
  <si>
    <t>18개월</t>
  </si>
  <si>
    <t>19개월</t>
  </si>
  <si>
    <t>20개월</t>
  </si>
  <si>
    <t>21개월</t>
  </si>
  <si>
    <t>22개월</t>
  </si>
  <si>
    <t>23개월</t>
  </si>
  <si>
    <t>24개월</t>
  </si>
  <si>
    <t>25개월</t>
  </si>
  <si>
    <t>26개월</t>
  </si>
  <si>
    <t>27개월</t>
  </si>
  <si>
    <t>28개월</t>
  </si>
  <si>
    <t>29개월</t>
  </si>
  <si>
    <t>30개월</t>
  </si>
  <si>
    <t>31개월</t>
  </si>
  <si>
    <t>32개월</t>
  </si>
  <si>
    <t>33개월</t>
  </si>
  <si>
    <t>34개월</t>
  </si>
  <si>
    <t>35개월</t>
  </si>
  <si>
    <t>36개월</t>
  </si>
  <si>
    <t>37개월</t>
  </si>
  <si>
    <t>38개월</t>
  </si>
  <si>
    <t>39개월</t>
  </si>
  <si>
    <t>40개월</t>
  </si>
  <si>
    <t>41개월</t>
  </si>
  <si>
    <t>42개월</t>
  </si>
  <si>
    <t>43개월</t>
  </si>
  <si>
    <t>44개월</t>
  </si>
  <si>
    <t>45개월</t>
  </si>
  <si>
    <t>46개월</t>
  </si>
  <si>
    <t>47개월</t>
  </si>
  <si>
    <t>48개월</t>
  </si>
  <si>
    <t>49개월</t>
  </si>
  <si>
    <t>50개월</t>
  </si>
  <si>
    <t>공정율</t>
    <phoneticPr fontId="93" type="noConversion"/>
  </si>
  <si>
    <t>누계</t>
    <phoneticPr fontId="93" type="noConversion"/>
  </si>
  <si>
    <t>구분</t>
    <phoneticPr fontId="4" type="noConversion"/>
  </si>
  <si>
    <t>시행사 Equity 예정액</t>
    <phoneticPr fontId="4" type="noConversion"/>
  </si>
  <si>
    <t>PFV설립 제비용 및 기타 예비비</t>
    <phoneticPr fontId="4" type="noConversion"/>
  </si>
  <si>
    <t xml:space="preserve">분(부담금) </t>
    <phoneticPr fontId="4" type="noConversion"/>
  </si>
  <si>
    <t>건축개요</t>
    <phoneticPr fontId="4" type="noConversion"/>
  </si>
  <si>
    <t xml:space="preserve"> ○ 분양면적 및 가격</t>
    <phoneticPr fontId="4" type="noConversion"/>
  </si>
  <si>
    <t>구분</t>
    <phoneticPr fontId="4" type="noConversion"/>
  </si>
  <si>
    <t>세대수</t>
  </si>
  <si>
    <t>면적(㎡/평)</t>
    <phoneticPr fontId="4" type="noConversion"/>
  </si>
  <si>
    <t>비율</t>
    <phoneticPr fontId="4" type="noConversion"/>
  </si>
  <si>
    <t>분류</t>
    <phoneticPr fontId="4" type="noConversion"/>
  </si>
  <si>
    <t>TYPE</t>
  </si>
  <si>
    <t>전용</t>
    <phoneticPr fontId="4" type="noConversion"/>
  </si>
  <si>
    <t>공용</t>
    <phoneticPr fontId="4" type="noConversion"/>
  </si>
  <si>
    <t>기타공용</t>
    <phoneticPr fontId="4" type="noConversion"/>
  </si>
  <si>
    <t>분양면적</t>
    <phoneticPr fontId="4" type="noConversion"/>
  </si>
  <si>
    <t>계약면적</t>
    <phoneticPr fontId="4" type="noConversion"/>
  </si>
  <si>
    <t>합계</t>
    <phoneticPr fontId="4" type="noConversion"/>
  </si>
  <si>
    <t>전용율</t>
    <phoneticPr fontId="4" type="noConversion"/>
  </si>
  <si>
    <t>총금액</t>
    <phoneticPr fontId="4" type="noConversion"/>
  </si>
  <si>
    <t>부가세율</t>
    <phoneticPr fontId="4" type="noConversion"/>
  </si>
  <si>
    <t>공동주택</t>
    <phoneticPr fontId="4" type="noConversion"/>
  </si>
  <si>
    <t>금액(천원)</t>
    <phoneticPr fontId="4" type="noConversion"/>
  </si>
  <si>
    <t>자기자본</t>
    <phoneticPr fontId="14" type="noConversion"/>
  </si>
  <si>
    <t>타인자본</t>
    <phoneticPr fontId="14" type="noConversion"/>
  </si>
  <si>
    <t>비율</t>
    <phoneticPr fontId="14" type="noConversion"/>
  </si>
  <si>
    <t>필수사업비</t>
    <phoneticPr fontId="14" type="noConversion"/>
  </si>
  <si>
    <t>유보금</t>
    <phoneticPr fontId="14" type="noConversion"/>
  </si>
  <si>
    <t>구분</t>
    <phoneticPr fontId="4" type="noConversion"/>
  </si>
  <si>
    <t>매출액</t>
    <phoneticPr fontId="4" type="noConversion"/>
  </si>
  <si>
    <t>구분</t>
    <phoneticPr fontId="4" type="noConversion"/>
  </si>
  <si>
    <t>평당가</t>
    <phoneticPr fontId="4" type="noConversion"/>
  </si>
  <si>
    <t>비율(%)</t>
    <phoneticPr fontId="4" type="noConversion"/>
  </si>
  <si>
    <t>공급금액</t>
    <phoneticPr fontId="4" type="noConversion"/>
  </si>
  <si>
    <t>분양불사업비</t>
    <phoneticPr fontId="14" type="noConversion"/>
  </si>
  <si>
    <t>준공 필수 사업비</t>
    <phoneticPr fontId="4" type="noConversion"/>
  </si>
  <si>
    <t>지출합계</t>
    <phoneticPr fontId="4" type="noConversion"/>
  </si>
  <si>
    <t>수입합계</t>
    <phoneticPr fontId="4" type="noConversion"/>
  </si>
  <si>
    <t>수익금</t>
    <phoneticPr fontId="4" type="noConversion"/>
  </si>
  <si>
    <t>수익률</t>
    <phoneticPr fontId="4" type="noConversion"/>
  </si>
  <si>
    <t>금액</t>
    <phoneticPr fontId="4" type="noConversion"/>
  </si>
  <si>
    <t>비율</t>
    <phoneticPr fontId="4" type="noConversion"/>
  </si>
  <si>
    <t xml:space="preserve">비고 </t>
    <phoneticPr fontId="4" type="noConversion"/>
  </si>
  <si>
    <t>사업수지 요약표</t>
    <phoneticPr fontId="4" type="noConversion"/>
  </si>
  <si>
    <t xml:space="preserve"> ○ 민감도분석 </t>
    <phoneticPr fontId="4" type="noConversion"/>
  </si>
  <si>
    <t>LTV비율(%)</t>
    <phoneticPr fontId="4" type="noConversion"/>
  </si>
  <si>
    <t>허가조건부이행공사비</t>
    <phoneticPr fontId="4" type="noConversion"/>
  </si>
  <si>
    <t>철거비</t>
    <phoneticPr fontId="4" type="noConversion"/>
  </si>
  <si>
    <t>지질측량</t>
    <phoneticPr fontId="4" type="noConversion"/>
  </si>
  <si>
    <t>기타인허가비용</t>
    <phoneticPr fontId="4" type="noConversion"/>
  </si>
  <si>
    <t>분양보증수수료</t>
    <phoneticPr fontId="4" type="noConversion"/>
  </si>
  <si>
    <t>기지급금액</t>
    <phoneticPr fontId="4" type="noConversion"/>
  </si>
  <si>
    <t>잔여금액</t>
    <phoneticPr fontId="4" type="noConversion"/>
  </si>
  <si>
    <t>(단위 : 천원)</t>
    <phoneticPr fontId="4" type="noConversion"/>
  </si>
  <si>
    <t>1식</t>
    <phoneticPr fontId="4" type="noConversion"/>
  </si>
  <si>
    <t>광역교통시설부담금</t>
    <phoneticPr fontId="4" type="noConversion"/>
  </si>
  <si>
    <t>교통유발부담금</t>
    <phoneticPr fontId="4" type="noConversion"/>
  </si>
  <si>
    <t>개발부담금</t>
    <phoneticPr fontId="4" type="noConversion"/>
  </si>
  <si>
    <t>과밀부담금</t>
    <phoneticPr fontId="4" type="noConversion"/>
  </si>
  <si>
    <t>대체산림조원조성비</t>
    <phoneticPr fontId="4" type="noConversion"/>
  </si>
  <si>
    <t>기타부담금</t>
    <phoneticPr fontId="4" type="noConversion"/>
  </si>
  <si>
    <t xml:space="preserve">통학차량제공 </t>
    <phoneticPr fontId="4" type="noConversion"/>
  </si>
  <si>
    <t xml:space="preserve">10만이상인구지자체, 주거外시설 </t>
    <phoneticPr fontId="4" type="noConversion"/>
  </si>
  <si>
    <t>지목(임) 형질변경시</t>
    <phoneticPr fontId="4" type="noConversion"/>
  </si>
  <si>
    <t>농지(전,답,과수원) 대체조성비용</t>
    <phoneticPr fontId="4" type="noConversion"/>
  </si>
  <si>
    <t>주간수수료</t>
    <phoneticPr fontId="4" type="noConversion"/>
  </si>
  <si>
    <t>공동주택</t>
    <phoneticPr fontId="14" type="noConversion"/>
  </si>
  <si>
    <t>공사비
LTV</t>
    <phoneticPr fontId="4" type="noConversion"/>
  </si>
  <si>
    <t>EXIT분양률(%)</t>
    <phoneticPr fontId="4" type="noConversion"/>
  </si>
  <si>
    <t>선순위시</t>
    <phoneticPr fontId="4" type="noConversion"/>
  </si>
  <si>
    <t>중순위시</t>
    <phoneticPr fontId="4" type="noConversion"/>
  </si>
  <si>
    <t>자문수수료</t>
    <phoneticPr fontId="4" type="noConversion"/>
  </si>
  <si>
    <t>시작일</t>
    <phoneticPr fontId="14" type="noConversion"/>
  </si>
  <si>
    <t>종료일</t>
    <phoneticPr fontId="14" type="noConversion"/>
  </si>
  <si>
    <t>연</t>
    <phoneticPr fontId="14" type="noConversion"/>
  </si>
  <si>
    <t>월</t>
    <phoneticPr fontId="14" type="noConversion"/>
  </si>
  <si>
    <t>일</t>
    <phoneticPr fontId="14" type="noConversion"/>
  </si>
  <si>
    <t>대출기간</t>
    <phoneticPr fontId="14" type="noConversion"/>
  </si>
  <si>
    <t>추진현황</t>
    <phoneticPr fontId="14" type="noConversion"/>
  </si>
  <si>
    <t>사업승인</t>
    <phoneticPr fontId="14" type="noConversion"/>
  </si>
  <si>
    <t>PF</t>
    <phoneticPr fontId="14" type="noConversion"/>
  </si>
  <si>
    <t>분양률 누계</t>
    <phoneticPr fontId="14" type="noConversion"/>
  </si>
  <si>
    <t>공정율</t>
    <phoneticPr fontId="14" type="noConversion"/>
  </si>
  <si>
    <t>공정율 누계</t>
    <phoneticPr fontId="14" type="noConversion"/>
  </si>
  <si>
    <t>계약금</t>
    <phoneticPr fontId="14" type="noConversion"/>
  </si>
  <si>
    <t>잔금</t>
    <phoneticPr fontId="14" type="noConversion"/>
  </si>
  <si>
    <t>합계</t>
    <phoneticPr fontId="14" type="noConversion"/>
  </si>
  <si>
    <t>지출 계</t>
    <phoneticPr fontId="14" type="noConversion"/>
  </si>
  <si>
    <t>지출누계</t>
    <phoneticPr fontId="14" type="noConversion"/>
  </si>
  <si>
    <t>사업손익</t>
    <phoneticPr fontId="14" type="noConversion"/>
  </si>
  <si>
    <t>Cash In/Out</t>
    <phoneticPr fontId="14" type="noConversion"/>
  </si>
  <si>
    <t>Cash 누계</t>
    <phoneticPr fontId="14" type="noConversion"/>
  </si>
  <si>
    <t>Equity</t>
    <phoneticPr fontId="14" type="noConversion"/>
  </si>
  <si>
    <t>Tr.A 인출</t>
    <phoneticPr fontId="14" type="noConversion"/>
  </si>
  <si>
    <t>Tr.A 한도차감</t>
    <phoneticPr fontId="14" type="noConversion"/>
  </si>
  <si>
    <t>Tr.A 한도잔액</t>
    <phoneticPr fontId="4" type="noConversion"/>
  </si>
  <si>
    <t>Tr.A 상환</t>
    <phoneticPr fontId="14" type="noConversion"/>
  </si>
  <si>
    <t>Tr.A 인출 잔액</t>
    <phoneticPr fontId="14" type="noConversion"/>
  </si>
  <si>
    <t>Tr.B 인출</t>
    <phoneticPr fontId="14" type="noConversion"/>
  </si>
  <si>
    <t>Tr.B 한도차감</t>
    <phoneticPr fontId="14" type="noConversion"/>
  </si>
  <si>
    <t>Tr.B 한도잔액</t>
    <phoneticPr fontId="4" type="noConversion"/>
  </si>
  <si>
    <t>Tr.B 상환</t>
    <phoneticPr fontId="4" type="noConversion"/>
  </si>
  <si>
    <t>Tr.B 잔액</t>
    <phoneticPr fontId="14" type="noConversion"/>
  </si>
  <si>
    <t>Tr.C 인출</t>
    <phoneticPr fontId="14" type="noConversion"/>
  </si>
  <si>
    <t>Tr.C 한도차감</t>
    <phoneticPr fontId="4" type="noConversion"/>
  </si>
  <si>
    <t>Tr.C 한도잔액</t>
    <phoneticPr fontId="4" type="noConversion"/>
  </si>
  <si>
    <t>Tr.C 상환</t>
    <phoneticPr fontId="4" type="noConversion"/>
  </si>
  <si>
    <t>Tr.C 잔액</t>
    <phoneticPr fontId="14" type="noConversion"/>
  </si>
  <si>
    <t>PF 누계</t>
    <phoneticPr fontId="14" type="noConversion"/>
  </si>
  <si>
    <t>상환계좌 입금액</t>
    <phoneticPr fontId="14" type="noConversion"/>
  </si>
  <si>
    <t>상환계좌 입금 누적액</t>
    <phoneticPr fontId="14" type="noConversion"/>
  </si>
  <si>
    <t>운영계좌 입금액</t>
    <phoneticPr fontId="14" type="noConversion"/>
  </si>
  <si>
    <t>운영계좌 입금 누적액</t>
    <phoneticPr fontId="14" type="noConversion"/>
  </si>
  <si>
    <t>Tr.A 이자비용</t>
    <phoneticPr fontId="14" type="noConversion"/>
  </si>
  <si>
    <t>Tr.B 이자비용</t>
    <phoneticPr fontId="14" type="noConversion"/>
  </si>
  <si>
    <t>Tr.C 이자비용</t>
    <phoneticPr fontId="14" type="noConversion"/>
  </si>
  <si>
    <t>공동주택 분양</t>
    <phoneticPr fontId="14" type="noConversion"/>
  </si>
  <si>
    <t>필수공사비</t>
    <phoneticPr fontId="14" type="noConversion"/>
  </si>
  <si>
    <t>유보공사비</t>
    <phoneticPr fontId="14" type="noConversion"/>
  </si>
  <si>
    <t>일시취득</t>
    <phoneticPr fontId="4" type="noConversion"/>
  </si>
  <si>
    <t>시행사</t>
    <phoneticPr fontId="4" type="noConversion"/>
  </si>
  <si>
    <t xml:space="preserve"> ○ 시행사 Equity 금액</t>
    <phoneticPr fontId="4" type="noConversion"/>
  </si>
  <si>
    <t>개월수</t>
    <phoneticPr fontId="4" type="noConversion"/>
  </si>
  <si>
    <t>산출모수</t>
    <phoneticPr fontId="4" type="noConversion"/>
  </si>
  <si>
    <t>중도금회차</t>
    <phoneticPr fontId="4" type="noConversion"/>
  </si>
  <si>
    <t>착공/분양</t>
    <phoneticPr fontId="4" type="noConversion"/>
  </si>
  <si>
    <t xml:space="preserve">비고 </t>
    <phoneticPr fontId="4" type="noConversion"/>
  </si>
  <si>
    <t>매출 합계</t>
    <phoneticPr fontId="14" type="noConversion"/>
  </si>
  <si>
    <r>
      <t xml:space="preserve"> ○ 책임준공위험액</t>
    </r>
    <r>
      <rPr>
        <b/>
        <u/>
        <sz val="18"/>
        <color rgb="FFFF0000"/>
        <rFont val="맑은 고딕"/>
        <family val="3"/>
        <charset val="129"/>
        <scheme val="minor"/>
      </rPr>
      <t xml:space="preserve">(책임준공 검토시) </t>
    </r>
    <phoneticPr fontId="4" type="noConversion"/>
  </si>
  <si>
    <t>오피스텔</t>
    <phoneticPr fontId="4" type="noConversion"/>
  </si>
  <si>
    <t>1식</t>
    <phoneticPr fontId="4" type="noConversion"/>
  </si>
  <si>
    <t>오피스텔</t>
    <phoneticPr fontId="4" type="noConversion"/>
  </si>
  <si>
    <t>본PF Tr-A(이자)</t>
    <phoneticPr fontId="4" type="noConversion"/>
  </si>
  <si>
    <t>본PF Tr-B(이자)</t>
    <phoneticPr fontId="4" type="noConversion"/>
  </si>
  <si>
    <t>본PF Tr-C(이자)</t>
    <phoneticPr fontId="4" type="noConversion"/>
  </si>
  <si>
    <t>중도금회차 간격</t>
    <phoneticPr fontId="4" type="noConversion"/>
  </si>
  <si>
    <t>■ 평당 15천원 ~ 25천원선</t>
    <phoneticPr fontId="82" type="noConversion"/>
  </si>
  <si>
    <t>평당 15천원 ~ 25천원선</t>
    <phoneticPr fontId="4" type="noConversion"/>
  </si>
  <si>
    <t>■ 산정금액 : 대부분 일식 50,000천원 ~ 100,000천원 적용 또는 평당가 10천원~30천원 산정</t>
    <phoneticPr fontId="82" type="noConversion"/>
  </si>
  <si>
    <t>■ 일반적으로 평당 약 10천원~20천원 적용</t>
    <phoneticPr fontId="82" type="noConversion"/>
  </si>
  <si>
    <t>평당 10천원 ~ 30천원선</t>
    <phoneticPr fontId="4" type="noConversion"/>
  </si>
  <si>
    <t>평당 10천원 ~ 20천원선</t>
    <phoneticPr fontId="4" type="noConversion"/>
  </si>
  <si>
    <t>서울만 부과, 주거外시설</t>
    <phoneticPr fontId="4" type="noConversion"/>
  </si>
  <si>
    <t>검산(숨기기)</t>
    <phoneticPr fontId="4" type="noConversion"/>
  </si>
  <si>
    <t>공사비 지급</t>
  </si>
  <si>
    <t>지급조건</t>
  </si>
  <si>
    <t>공사비 지급누계</t>
  </si>
  <si>
    <t>공사비지급여부</t>
  </si>
  <si>
    <t>공사비 초과시점</t>
  </si>
  <si>
    <t>실제공사비 지급 누계</t>
  </si>
  <si>
    <t>최종납부시점</t>
    <phoneticPr fontId="4" type="noConversion"/>
  </si>
  <si>
    <t>비용지급여부</t>
    <phoneticPr fontId="4" type="noConversion"/>
  </si>
  <si>
    <t>선취여부</t>
    <phoneticPr fontId="4" type="noConversion"/>
  </si>
  <si>
    <t>선취/후취개월수</t>
    <phoneticPr fontId="4" type="noConversion"/>
  </si>
  <si>
    <t>개월이자</t>
    <phoneticPr fontId="4" type="noConversion"/>
  </si>
  <si>
    <t>3개월선취</t>
    <phoneticPr fontId="4" type="noConversion"/>
  </si>
  <si>
    <t>2개월선취</t>
    <phoneticPr fontId="4" type="noConversion"/>
  </si>
  <si>
    <t>기준공사기간</t>
    <phoneticPr fontId="14" type="noConversion"/>
  </si>
  <si>
    <t>3개월후취</t>
    <phoneticPr fontId="4" type="noConversion"/>
  </si>
  <si>
    <t>2개월선취</t>
    <phoneticPr fontId="4" type="noConversion"/>
  </si>
  <si>
    <t>3개월선취</t>
    <phoneticPr fontId="4" type="noConversion"/>
  </si>
  <si>
    <t>Tr.A</t>
    <phoneticPr fontId="4" type="noConversion"/>
  </si>
  <si>
    <t>Tr.B</t>
    <phoneticPr fontId="4" type="noConversion"/>
  </si>
  <si>
    <t>이자조건</t>
    <phoneticPr fontId="4" type="noConversion"/>
  </si>
  <si>
    <t>주요조건</t>
    <phoneticPr fontId="4" type="noConversion"/>
  </si>
  <si>
    <t>이자율</t>
    <phoneticPr fontId="4" type="noConversion"/>
  </si>
  <si>
    <t>주간수수료율</t>
    <phoneticPr fontId="4" type="noConversion"/>
  </si>
  <si>
    <t>자문
수수료율</t>
    <phoneticPr fontId="4" type="noConversion"/>
  </si>
  <si>
    <t>공사비</t>
    <phoneticPr fontId="4" type="noConversion"/>
  </si>
  <si>
    <t>대출금상환</t>
    <phoneticPr fontId="4" type="noConversion"/>
  </si>
  <si>
    <t>사업비</t>
    <phoneticPr fontId="4" type="noConversion"/>
  </si>
  <si>
    <t>책준기간</t>
    <phoneticPr fontId="4" type="noConversion"/>
  </si>
  <si>
    <t>최초납부시점</t>
    <phoneticPr fontId="4" type="noConversion"/>
  </si>
  <si>
    <t>비고</t>
    <phoneticPr fontId="4" type="noConversion"/>
  </si>
  <si>
    <t>연면적차이(검산)</t>
    <phoneticPr fontId="4" type="noConversion"/>
  </si>
  <si>
    <t>주간수수료</t>
    <phoneticPr fontId="4" type="noConversion"/>
  </si>
  <si>
    <t>본PF Tr-A(자문)</t>
    <phoneticPr fontId="4" type="noConversion"/>
  </si>
  <si>
    <t>본PF Tr-B(자문)</t>
    <phoneticPr fontId="4" type="noConversion"/>
  </si>
  <si>
    <t>본PF Tr-C(자문)</t>
    <phoneticPr fontId="4" type="noConversion"/>
  </si>
  <si>
    <t>이자금액</t>
    <phoneticPr fontId="4" type="noConversion"/>
  </si>
  <si>
    <t>All-in Cost(주간제외)</t>
    <phoneticPr fontId="4" type="noConversion"/>
  </si>
  <si>
    <t>All-in Cost(주간포함)</t>
    <phoneticPr fontId="4" type="noConversion"/>
  </si>
  <si>
    <t>합계금액(주간제외)</t>
    <phoneticPr fontId="4" type="noConversion"/>
  </si>
  <si>
    <t>합계금액(주간포함)</t>
    <phoneticPr fontId="4" type="noConversion"/>
  </si>
  <si>
    <t>○ All-in Cost 산출식</t>
    <phoneticPr fontId="4" type="noConversion"/>
  </si>
  <si>
    <t>대출금액</t>
  </si>
  <si>
    <t>선순위</t>
  </si>
  <si>
    <t>중순위</t>
  </si>
  <si>
    <t>후순위</t>
  </si>
  <si>
    <t>전체</t>
  </si>
  <si>
    <t>Tr.A Exit</t>
    <phoneticPr fontId="4" type="noConversion"/>
  </si>
  <si>
    <t>Tr.B Exit</t>
    <phoneticPr fontId="4" type="noConversion"/>
  </si>
  <si>
    <t>Tr.C Exit</t>
    <phoneticPr fontId="4" type="noConversion"/>
  </si>
  <si>
    <t>사업 Exit</t>
    <phoneticPr fontId="4" type="noConversion"/>
  </si>
  <si>
    <t>Exit 총액</t>
    <phoneticPr fontId="4" type="noConversion"/>
  </si>
  <si>
    <t>공사비 유보금액</t>
    <phoneticPr fontId="4" type="noConversion"/>
  </si>
  <si>
    <t>총 분양대금</t>
    <phoneticPr fontId="4" type="noConversion"/>
  </si>
  <si>
    <t>상환재원
(A)</t>
    <phoneticPr fontId="14" type="noConversion"/>
  </si>
  <si>
    <t>사업비
초과재원 (B)</t>
    <phoneticPr fontId="14" type="noConversion"/>
  </si>
  <si>
    <t>(A+B)</t>
    <phoneticPr fontId="4" type="noConversion"/>
  </si>
  <si>
    <t>상환후재원</t>
    <phoneticPr fontId="4" type="noConversion"/>
  </si>
  <si>
    <t>전체 총 사업비</t>
    <phoneticPr fontId="4" type="noConversion"/>
  </si>
  <si>
    <t>구분</t>
    <phoneticPr fontId="4" type="noConversion"/>
  </si>
  <si>
    <t>계약금</t>
    <phoneticPr fontId="4" type="noConversion"/>
  </si>
  <si>
    <t>중도금</t>
    <phoneticPr fontId="4" type="noConversion"/>
  </si>
  <si>
    <t>잔금</t>
    <phoneticPr fontId="4" type="noConversion"/>
  </si>
  <si>
    <t>합계</t>
    <phoneticPr fontId="4" type="noConversion"/>
  </si>
  <si>
    <t>All-in(주간제외)</t>
    <phoneticPr fontId="4" type="noConversion"/>
  </si>
  <si>
    <t>PF대출금액</t>
    <phoneticPr fontId="4" type="noConversion"/>
  </si>
  <si>
    <t>주간수수료</t>
    <phoneticPr fontId="4" type="noConversion"/>
  </si>
  <si>
    <t>자문수수료</t>
    <phoneticPr fontId="4" type="noConversion"/>
  </si>
  <si>
    <t>이자율</t>
    <phoneticPr fontId="4" type="noConversion"/>
  </si>
  <si>
    <t>All-in(주간제외)</t>
    <phoneticPr fontId="4" type="noConversion"/>
  </si>
  <si>
    <t>All-in(주간포함)</t>
    <phoneticPr fontId="4" type="noConversion"/>
  </si>
  <si>
    <t>주간수수료</t>
    <phoneticPr fontId="4" type="noConversion"/>
  </si>
  <si>
    <t>취급수수료</t>
    <phoneticPr fontId="4" type="noConversion"/>
  </si>
  <si>
    <t>이자금액</t>
    <phoneticPr fontId="4" type="noConversion"/>
  </si>
  <si>
    <t>총금액(주간포함)</t>
    <phoneticPr fontId="4" type="noConversion"/>
  </si>
  <si>
    <t>총금액(주간제외)</t>
    <phoneticPr fontId="4" type="noConversion"/>
  </si>
  <si>
    <t>All-in(주간포함)</t>
    <phoneticPr fontId="4" type="noConversion"/>
  </si>
  <si>
    <t>(단위 : 천원)</t>
    <phoneticPr fontId="4" type="noConversion"/>
  </si>
  <si>
    <t>준공필수사업비 
확보 분양률</t>
    <phoneticPr fontId="4" type="noConversion"/>
  </si>
  <si>
    <r>
      <t xml:space="preserve">○ 준공필수사업비 부족액                                                                                   </t>
    </r>
    <r>
      <rPr>
        <sz val="11"/>
        <color rgb="FF000000"/>
        <rFont val="맑은 고딕"/>
        <family val="3"/>
        <charset val="129"/>
        <scheme val="minor"/>
      </rPr>
      <t xml:space="preserve">        (단위 : 천원, 부가세별도)</t>
    </r>
    <phoneticPr fontId="4" type="noConversion"/>
  </si>
  <si>
    <t xml:space="preserve"> ○ 비용집행 계획</t>
    <phoneticPr fontId="4" type="noConversion"/>
  </si>
  <si>
    <t>기타</t>
    <phoneticPr fontId="4" type="noConversion"/>
  </si>
  <si>
    <t>매출대비 이익률(%)</t>
    <phoneticPr fontId="4" type="noConversion"/>
  </si>
  <si>
    <t>감리비 모수 나누기</t>
    <phoneticPr fontId="4" type="noConversion"/>
  </si>
  <si>
    <t>확인</t>
    <phoneticPr fontId="4" type="noConversion"/>
  </si>
  <si>
    <t>PF기표</t>
    <phoneticPr fontId="4" type="noConversion"/>
  </si>
  <si>
    <t>감리비지급시기</t>
    <phoneticPr fontId="4" type="noConversion"/>
  </si>
  <si>
    <t>기표이전</t>
    <phoneticPr fontId="4" type="noConversion"/>
  </si>
  <si>
    <t>기표이전</t>
    <phoneticPr fontId="4" type="noConversion"/>
  </si>
  <si>
    <t>표준공정율</t>
    <phoneticPr fontId="4" type="noConversion"/>
  </si>
  <si>
    <t>누적공정율</t>
    <phoneticPr fontId="4" type="noConversion"/>
  </si>
  <si>
    <t>공사비지급조건</t>
    <phoneticPr fontId="4" type="noConversion"/>
  </si>
  <si>
    <t>지급여부</t>
    <phoneticPr fontId="4" type="noConversion"/>
  </si>
  <si>
    <t>공사비 초과시점</t>
    <phoneticPr fontId="4" type="noConversion"/>
  </si>
  <si>
    <t>잔여 지급율</t>
    <phoneticPr fontId="4" type="noConversion"/>
  </si>
  <si>
    <t>잔여 지급율</t>
    <phoneticPr fontId="4" type="noConversion"/>
  </si>
  <si>
    <t>실제공사비 지급</t>
    <phoneticPr fontId="4" type="noConversion"/>
  </si>
  <si>
    <t>실제공사비 지급</t>
    <phoneticPr fontId="4" type="noConversion"/>
  </si>
  <si>
    <t>실제공사비 지급누계</t>
    <phoneticPr fontId="4" type="noConversion"/>
  </si>
  <si>
    <t>공사비 지급</t>
    <phoneticPr fontId="4" type="noConversion"/>
  </si>
  <si>
    <t>공사비 지급누계</t>
    <phoneticPr fontId="4" type="noConversion"/>
  </si>
  <si>
    <t>지급여부</t>
    <phoneticPr fontId="4" type="noConversion"/>
  </si>
  <si>
    <t xml:space="preserve"> ○ 예정분양률</t>
    <phoneticPr fontId="4" type="noConversion"/>
  </si>
  <si>
    <t>PF대출기간</t>
    <phoneticPr fontId="4" type="noConversion"/>
  </si>
  <si>
    <t>(책준기한+1개월)</t>
    <phoneticPr fontId="4" type="noConversion"/>
  </si>
  <si>
    <t>신탁기간</t>
    <phoneticPr fontId="4" type="noConversion"/>
  </si>
  <si>
    <t>(공사+12개월)</t>
    <phoneticPr fontId="4" type="noConversion"/>
  </si>
  <si>
    <t>분양세대수</t>
    <phoneticPr fontId="4" type="noConversion"/>
  </si>
  <si>
    <t>분양</t>
    <phoneticPr fontId="4" type="noConversion"/>
  </si>
  <si>
    <t>착공</t>
    <phoneticPr fontId="4" type="noConversion"/>
  </si>
  <si>
    <t>대출기간 (월)</t>
    <phoneticPr fontId="14" type="noConversion"/>
  </si>
  <si>
    <t>기준공사기간 (월)</t>
    <phoneticPr fontId="14" type="noConversion"/>
  </si>
  <si>
    <t>생활형숙박시설 분양</t>
    <phoneticPr fontId="14" type="noConversion"/>
  </si>
  <si>
    <t>계약금</t>
    <phoneticPr fontId="14" type="noConversion"/>
  </si>
  <si>
    <t>중도금</t>
    <phoneticPr fontId="4" type="noConversion"/>
  </si>
  <si>
    <t>상하수도 분담금</t>
    <phoneticPr fontId="4" type="noConversion"/>
  </si>
  <si>
    <t>준공3개월전</t>
    <phoneticPr fontId="4" type="noConversion"/>
  </si>
  <si>
    <t>12월종부</t>
    <phoneticPr fontId="4" type="noConversion"/>
  </si>
  <si>
    <t>종부세</t>
    <phoneticPr fontId="4" type="noConversion"/>
  </si>
  <si>
    <t>종부세 지급시기 (12월)</t>
    <phoneticPr fontId="4" type="noConversion"/>
  </si>
  <si>
    <t>재산세 지급시기 (9월)</t>
    <phoneticPr fontId="4" type="noConversion"/>
  </si>
  <si>
    <t>공시지가</t>
    <phoneticPr fontId="4" type="noConversion"/>
  </si>
  <si>
    <t>분양수수료(공동주택)</t>
    <phoneticPr fontId="4" type="noConversion"/>
  </si>
  <si>
    <t>분양수수료(오피스텔)</t>
    <phoneticPr fontId="4" type="noConversion"/>
  </si>
  <si>
    <t>분양수수료(기타분양)</t>
    <phoneticPr fontId="4" type="noConversion"/>
  </si>
  <si>
    <t>분양수수료(도생)</t>
    <phoneticPr fontId="4" type="noConversion"/>
  </si>
  <si>
    <t>신탁보수</t>
    <phoneticPr fontId="4" type="noConversion"/>
  </si>
  <si>
    <t xml:space="preserve">  (지급시기)</t>
    <phoneticPr fontId="4" type="noConversion"/>
  </si>
  <si>
    <t>준공여부</t>
    <phoneticPr fontId="4" type="noConversion"/>
  </si>
  <si>
    <t>분양불사업비
(공사비 제외)</t>
    <phoneticPr fontId="14" type="noConversion"/>
  </si>
  <si>
    <t>구분</t>
    <phoneticPr fontId="4" type="noConversion"/>
  </si>
  <si>
    <t>지출누계 (검산)</t>
    <phoneticPr fontId="4" type="noConversion"/>
  </si>
  <si>
    <t>PF금액</t>
    <phoneticPr fontId="4" type="noConversion"/>
  </si>
  <si>
    <t>PF금액(누계)</t>
    <phoneticPr fontId="4" type="noConversion"/>
  </si>
  <si>
    <t>공사비
유보금액</t>
    <phoneticPr fontId="14" type="noConversion"/>
  </si>
  <si>
    <t>분양대금상환비율</t>
    <phoneticPr fontId="4" type="noConversion"/>
  </si>
  <si>
    <t>면적(㎡/평)</t>
    <phoneticPr fontId="4" type="noConversion"/>
  </si>
  <si>
    <t>단가(㎡/평)</t>
    <phoneticPr fontId="4" type="noConversion"/>
  </si>
  <si>
    <t>오피스텔 분양</t>
    <phoneticPr fontId="14" type="noConversion"/>
  </si>
  <si>
    <t>상가분양</t>
    <phoneticPr fontId="14" type="noConversion"/>
  </si>
  <si>
    <t>지식산업센터</t>
  </si>
  <si>
    <t>분양형호텔 분양</t>
    <phoneticPr fontId="14" type="noConversion"/>
  </si>
  <si>
    <t>도시형생활주택 분양</t>
    <phoneticPr fontId="14" type="noConversion"/>
  </si>
  <si>
    <t>근린생활시설</t>
    <phoneticPr fontId="4" type="noConversion"/>
  </si>
  <si>
    <t>도시형생활주택</t>
    <phoneticPr fontId="4" type="noConversion"/>
  </si>
  <si>
    <t>생활형숙박시설</t>
    <phoneticPr fontId="4" type="noConversion"/>
  </si>
  <si>
    <t>분양형호텔</t>
    <phoneticPr fontId="4" type="noConversion"/>
  </si>
  <si>
    <t>발코니확장비</t>
    <phoneticPr fontId="4" type="noConversion"/>
  </si>
  <si>
    <t>평당 분양가</t>
    <phoneticPr fontId="4" type="noConversion"/>
  </si>
  <si>
    <t>광고비용</t>
    <phoneticPr fontId="4" type="noConversion"/>
  </si>
  <si>
    <t>착공 30%, 운영기간 내 전체 금액 소진</t>
    <phoneticPr fontId="4" type="noConversion"/>
  </si>
  <si>
    <t>수 입</t>
    <phoneticPr fontId="4" type="noConversion"/>
  </si>
  <si>
    <t>감리</t>
    <phoneticPr fontId="4" type="noConversion"/>
  </si>
  <si>
    <t>* 사업성분석 자료의 무단 배포를 금지합니다.</t>
  </si>
  <si>
    <t>Cash Min</t>
    <phoneticPr fontId="4" type="noConversion"/>
  </si>
  <si>
    <t>기타비용</t>
    <phoneticPr fontId="4" type="noConversion"/>
  </si>
  <si>
    <t>신탁보수</t>
    <phoneticPr fontId="4" type="noConversion"/>
  </si>
  <si>
    <t>○ 사업별 승인가능한 LTV</t>
    <phoneticPr fontId="4" type="noConversion"/>
  </si>
  <si>
    <t>공동주택</t>
    <phoneticPr fontId="4" type="noConversion"/>
  </si>
  <si>
    <t>구분</t>
    <phoneticPr fontId="4" type="noConversion"/>
  </si>
  <si>
    <t>선순위</t>
    <phoneticPr fontId="4" type="noConversion"/>
  </si>
  <si>
    <t>분양불/기성불</t>
    <phoneticPr fontId="4" type="noConversion"/>
  </si>
  <si>
    <t>분양불</t>
    <phoneticPr fontId="4" type="noConversion"/>
  </si>
  <si>
    <t>기성불</t>
    <phoneticPr fontId="4" type="noConversion"/>
  </si>
  <si>
    <t>51개월</t>
  </si>
  <si>
    <t>52개월</t>
  </si>
  <si>
    <t>53개월</t>
  </si>
  <si>
    <t>54개월</t>
  </si>
  <si>
    <t>55개월</t>
  </si>
  <si>
    <t>56개월</t>
  </si>
  <si>
    <t>57개월</t>
  </si>
  <si>
    <t>58개월</t>
  </si>
  <si>
    <t>59개월</t>
  </si>
  <si>
    <t>60개월</t>
  </si>
  <si>
    <t>사업비 재원</t>
    <phoneticPr fontId="14" type="noConversion"/>
  </si>
  <si>
    <t>APT 5만원, 주상복합 12만원</t>
  </si>
  <si>
    <t>11.5만원</t>
  </si>
  <si>
    <t>표준건축비 × 부과율 × 건축연면적(주택시설)</t>
  </si>
  <si>
    <t>재산세 0.4%, 지방교육세 20%, 도시지역분 0.14%</t>
  </si>
  <si>
    <t>주택신축용 토지 취득 후 과세표준 합산배제</t>
  </si>
  <si>
    <t>건설원가의 3%이내</t>
  </si>
  <si>
    <t>○  CF분석 디폴트 여부 확인</t>
    <phoneticPr fontId="4" type="noConversion"/>
  </si>
  <si>
    <t>교평, 지구단위 등</t>
  </si>
  <si>
    <t>○ 토지비</t>
    <phoneticPr fontId="4" type="noConversion"/>
  </si>
  <si>
    <t>토지비</t>
    <phoneticPr fontId="4" type="noConversion"/>
  </si>
  <si>
    <t>취득세</t>
    <phoneticPr fontId="4" type="noConversion"/>
  </si>
  <si>
    <t>합계</t>
    <phoneticPr fontId="4" type="noConversion"/>
  </si>
  <si>
    <t>○ 계약금대출금</t>
    <phoneticPr fontId="4" type="noConversion"/>
  </si>
  <si>
    <t>자문수수료</t>
    <phoneticPr fontId="4" type="noConversion"/>
  </si>
  <si>
    <t>취급수수료</t>
    <phoneticPr fontId="4" type="noConversion"/>
  </si>
  <si>
    <t>이자</t>
    <phoneticPr fontId="4" type="noConversion"/>
  </si>
  <si>
    <t>○ 브릿지비용</t>
    <phoneticPr fontId="4" type="noConversion"/>
  </si>
  <si>
    <t>브릿지비용</t>
    <phoneticPr fontId="4" type="noConversion"/>
  </si>
  <si>
    <t>금액</t>
    <phoneticPr fontId="4" type="noConversion"/>
  </si>
  <si>
    <t xml:space="preserve">비고 </t>
    <phoneticPr fontId="4" type="noConversion"/>
  </si>
  <si>
    <t>금액</t>
    <phoneticPr fontId="4" type="noConversion"/>
  </si>
  <si>
    <t>금액</t>
    <phoneticPr fontId="4" type="noConversion"/>
  </si>
  <si>
    <t xml:space="preserve">비고 </t>
    <phoneticPr fontId="4" type="noConversion"/>
  </si>
  <si>
    <t>공사비확보비율</t>
    <phoneticPr fontId="4" type="noConversion"/>
  </si>
  <si>
    <t>근린생활시설</t>
  </si>
  <si>
    <t>브릿지론금융비용</t>
    <phoneticPr fontId="4" type="noConversion"/>
  </si>
  <si>
    <t>기타비용</t>
    <phoneticPr fontId="4" type="noConversion"/>
  </si>
  <si>
    <t>(계약금) 법무법인 용역</t>
    <phoneticPr fontId="4" type="noConversion"/>
  </si>
  <si>
    <t>(계약금) 회계법인 용역</t>
    <phoneticPr fontId="4" type="noConversion"/>
  </si>
  <si>
    <t>(계약금) 사업성평가용역</t>
    <phoneticPr fontId="4" type="noConversion"/>
  </si>
  <si>
    <t>(계약금) 기타인허가</t>
    <phoneticPr fontId="4" type="noConversion"/>
  </si>
  <si>
    <t>(계약금) 개발행위허가</t>
    <phoneticPr fontId="4" type="noConversion"/>
  </si>
  <si>
    <t>(계약금) 지구단위용역</t>
    <phoneticPr fontId="4" type="noConversion"/>
  </si>
  <si>
    <t>(계약금) 설계비</t>
    <phoneticPr fontId="4" type="noConversion"/>
  </si>
  <si>
    <t>(계약금) 토지비</t>
    <phoneticPr fontId="4" type="noConversion"/>
  </si>
  <si>
    <t>토지용역비</t>
    <phoneticPr fontId="4" type="noConversion"/>
  </si>
  <si>
    <t>최종 납부월</t>
    <phoneticPr fontId="4" type="noConversion"/>
  </si>
  <si>
    <t>○ 중도금 회차별 간격계수</t>
    <phoneticPr fontId="4" type="noConversion"/>
  </si>
  <si>
    <t>○ 감리비 회차별 간격계수</t>
    <phoneticPr fontId="4" type="noConversion"/>
  </si>
  <si>
    <t>계약금대출금액</t>
    <phoneticPr fontId="4" type="noConversion"/>
  </si>
  <si>
    <t>브릿지대출금액</t>
    <phoneticPr fontId="4" type="noConversion"/>
  </si>
  <si>
    <t>재산세(+교육세)</t>
    <phoneticPr fontId="4" type="noConversion"/>
  </si>
  <si>
    <t>개별공시지가(백만원/㎡)</t>
    <phoneticPr fontId="4" type="noConversion"/>
  </si>
  <si>
    <t>토지면적</t>
    <phoneticPr fontId="133" type="noConversion"/>
  </si>
  <si>
    <t>공시지가(㎡)</t>
    <phoneticPr fontId="133" type="noConversion"/>
  </si>
  <si>
    <t>상승률</t>
    <phoneticPr fontId="133" type="noConversion"/>
  </si>
  <si>
    <t>연평균상승률</t>
    <phoneticPr fontId="133" type="noConversion"/>
  </si>
  <si>
    <t>공시지가상승률(과거3년평균)</t>
    <phoneticPr fontId="4" type="noConversion"/>
  </si>
  <si>
    <t>시가표준액</t>
    <phoneticPr fontId="4" type="noConversion"/>
  </si>
  <si>
    <t>공정시장가액비율</t>
    <phoneticPr fontId="4" type="noConversion"/>
  </si>
  <si>
    <t>과세표준</t>
    <phoneticPr fontId="4" type="noConversion"/>
  </si>
  <si>
    <t>세율</t>
    <phoneticPr fontId="4" type="noConversion"/>
  </si>
  <si>
    <t>재산세</t>
    <phoneticPr fontId="4" type="noConversion"/>
  </si>
  <si>
    <t>-&gt; 별도합산과세 가정</t>
    <phoneticPr fontId="133" type="noConversion"/>
  </si>
  <si>
    <t>재산세도시지역분</t>
    <phoneticPr fontId="4" type="noConversion"/>
  </si>
  <si>
    <t>지방교육세</t>
    <phoneticPr fontId="4" type="noConversion"/>
  </si>
  <si>
    <r>
      <rPr>
        <sz val="9"/>
        <rFont val="돋움"/>
        <family val="3"/>
        <charset val="129"/>
      </rPr>
      <t>재산세</t>
    </r>
    <r>
      <rPr>
        <sz val="9"/>
        <rFont val="Arial"/>
        <family val="2"/>
      </rPr>
      <t>+</t>
    </r>
    <r>
      <rPr>
        <sz val="9"/>
        <rFont val="돋움"/>
        <family val="3"/>
        <charset val="129"/>
      </rPr>
      <t>지교세</t>
    </r>
    <r>
      <rPr>
        <sz val="9"/>
        <rFont val="Arial"/>
        <family val="2"/>
      </rPr>
      <t xml:space="preserve">  </t>
    </r>
    <r>
      <rPr>
        <sz val="9"/>
        <rFont val="돋움"/>
        <family val="3"/>
        <charset val="129"/>
      </rPr>
      <t>합</t>
    </r>
    <phoneticPr fontId="4" type="noConversion"/>
  </si>
  <si>
    <t>합계</t>
    <phoneticPr fontId="4" type="noConversion"/>
  </si>
  <si>
    <t>종합부동산세(+농특세)</t>
    <phoneticPr fontId="4" type="noConversion"/>
  </si>
  <si>
    <t>개별공시지가(백만원/㎡)</t>
    <phoneticPr fontId="4" type="noConversion"/>
  </si>
  <si>
    <t>공시가격</t>
    <phoneticPr fontId="4" type="noConversion"/>
  </si>
  <si>
    <t>공제금액</t>
    <phoneticPr fontId="4" type="noConversion"/>
  </si>
  <si>
    <t>-&gt; 별도합산과세 가정(5억 / 80억 초과금액에 대해 종부세 과세)</t>
    <phoneticPr fontId="133" type="noConversion"/>
  </si>
  <si>
    <t>공정시장가격비율</t>
    <phoneticPr fontId="4" type="noConversion"/>
  </si>
  <si>
    <t>종부세과세표준</t>
    <phoneticPr fontId="4" type="noConversion"/>
  </si>
  <si>
    <r>
      <t>(</t>
    </r>
    <r>
      <rPr>
        <sz val="9"/>
        <rFont val="돋움"/>
        <family val="3"/>
        <charset val="129"/>
      </rPr>
      <t>전국합산</t>
    </r>
    <r>
      <rPr>
        <sz val="9"/>
        <rFont val="Arial"/>
        <family val="2"/>
      </rPr>
      <t xml:space="preserve"> </t>
    </r>
    <r>
      <rPr>
        <sz val="9"/>
        <rFont val="돋움"/>
        <family val="3"/>
        <charset val="129"/>
      </rPr>
      <t>공시가격</t>
    </r>
    <r>
      <rPr>
        <sz val="9"/>
        <rFont val="Arial"/>
        <family val="2"/>
      </rPr>
      <t>) X (1-</t>
    </r>
    <r>
      <rPr>
        <sz val="9"/>
        <rFont val="돋움"/>
        <family val="3"/>
        <charset val="129"/>
      </rPr>
      <t>감면율</t>
    </r>
    <r>
      <rPr>
        <sz val="9"/>
        <rFont val="Arial"/>
        <family val="2"/>
      </rPr>
      <t>) - 5</t>
    </r>
    <r>
      <rPr>
        <sz val="9"/>
        <rFont val="돋움"/>
        <family val="3"/>
        <charset val="129"/>
      </rPr>
      <t>억원</t>
    </r>
    <r>
      <rPr>
        <sz val="9"/>
        <rFont val="Arial"/>
        <family val="2"/>
      </rPr>
      <t>) X 80%</t>
    </r>
    <phoneticPr fontId="4" type="noConversion"/>
  </si>
  <si>
    <t>차감금액</t>
    <phoneticPr fontId="4" type="noConversion"/>
  </si>
  <si>
    <t>종부세</t>
    <phoneticPr fontId="4" type="noConversion"/>
  </si>
  <si>
    <t>농특세</t>
    <phoneticPr fontId="4" type="noConversion"/>
  </si>
  <si>
    <t>종부세</t>
    <phoneticPr fontId="4" type="noConversion"/>
  </si>
  <si>
    <t>합계</t>
    <phoneticPr fontId="4" type="noConversion"/>
  </si>
  <si>
    <t>계산</t>
    <phoneticPr fontId="4" type="noConversion"/>
  </si>
  <si>
    <t>농어촌특별세</t>
    <phoneticPr fontId="4" type="noConversion"/>
  </si>
  <si>
    <t>지식산업센터</t>
    <phoneticPr fontId="4" type="noConversion"/>
  </si>
  <si>
    <t>비율</t>
    <phoneticPr fontId="4" type="noConversion"/>
  </si>
  <si>
    <t>금액</t>
    <phoneticPr fontId="4" type="noConversion"/>
  </si>
  <si>
    <t>오피/도생/생숙</t>
    <phoneticPr fontId="4" type="noConversion"/>
  </si>
  <si>
    <t>조달 가능금액</t>
    <phoneticPr fontId="4" type="noConversion"/>
  </si>
  <si>
    <t>총합</t>
    <phoneticPr fontId="4" type="noConversion"/>
  </si>
  <si>
    <t>공동주택/오피</t>
    <phoneticPr fontId="4" type="noConversion"/>
  </si>
  <si>
    <t>천원/㎡(기준년도 2019년)-표준건축비(국토해양부)</t>
    <phoneticPr fontId="14" type="noConversion"/>
  </si>
  <si>
    <t>공공건설 임대주택 표준건축비( 국토교통부 16년 6월 8일 고시)</t>
    <phoneticPr fontId="4" type="noConversion"/>
  </si>
  <si>
    <t>○ 건물기준시가 산정 (국세청 고시자료 기준 2019.01월)</t>
    <phoneticPr fontId="14" type="noConversion"/>
  </si>
  <si>
    <t>신축가격
기준액(19년)</t>
    <phoneticPr fontId="14" type="noConversion"/>
  </si>
  <si>
    <t>공동주택과세</t>
    <phoneticPr fontId="14" type="noConversion"/>
  </si>
  <si>
    <t>분양불 사업비(공사비 유보금 제외, 분양불 사업은  포함)</t>
    <phoneticPr fontId="4" type="noConversion"/>
  </si>
  <si>
    <t>분양불 공사비 EXIT</t>
    <phoneticPr fontId="4" type="noConversion"/>
  </si>
  <si>
    <t>(사업EXIT 분양률-분양률) / 사업EXIT 분양률</t>
    <phoneticPr fontId="4" type="noConversion"/>
  </si>
  <si>
    <t>○ 매입부가세 안분비율</t>
    <phoneticPr fontId="4" type="noConversion"/>
  </si>
  <si>
    <t>구분</t>
    <phoneticPr fontId="4" type="noConversion"/>
  </si>
  <si>
    <t>면적</t>
    <phoneticPr fontId="4" type="noConversion"/>
  </si>
  <si>
    <t>토지</t>
    <phoneticPr fontId="4" type="noConversion"/>
  </si>
  <si>
    <t>건물</t>
    <phoneticPr fontId="4" type="noConversion"/>
  </si>
  <si>
    <t>합계</t>
    <phoneticPr fontId="4" type="noConversion"/>
  </si>
  <si>
    <t>아파트</t>
    <phoneticPr fontId="4" type="noConversion"/>
  </si>
  <si>
    <t>아파트(옵션)</t>
    <phoneticPr fontId="4" type="noConversion"/>
  </si>
  <si>
    <t>오피스텔</t>
    <phoneticPr fontId="4" type="noConversion"/>
  </si>
  <si>
    <t>면세(85㎡ 이하)</t>
    <phoneticPr fontId="4" type="noConversion"/>
  </si>
  <si>
    <t>면세(85㎡ 초과)</t>
    <phoneticPr fontId="4" type="noConversion"/>
  </si>
  <si>
    <t>과세</t>
    <phoneticPr fontId="4" type="noConversion"/>
  </si>
  <si>
    <t>합계</t>
    <phoneticPr fontId="4" type="noConversion"/>
  </si>
  <si>
    <t>면세</t>
    <phoneticPr fontId="4" type="noConversion"/>
  </si>
  <si>
    <t>계</t>
    <phoneticPr fontId="4" type="noConversion"/>
  </si>
  <si>
    <t>토지가</t>
    <phoneticPr fontId="4" type="noConversion"/>
  </si>
  <si>
    <t>대지지분</t>
    <phoneticPr fontId="4" type="noConversion"/>
  </si>
  <si>
    <t>건물가</t>
    <phoneticPr fontId="4" type="noConversion"/>
  </si>
  <si>
    <t>근린생활시설</t>
    <phoneticPr fontId="4" type="noConversion"/>
  </si>
  <si>
    <t>과세(85㎡ 초과)</t>
    <phoneticPr fontId="4" type="noConversion"/>
  </si>
  <si>
    <t>구분</t>
    <phoneticPr fontId="4" type="noConversion"/>
  </si>
  <si>
    <t>면적</t>
    <phoneticPr fontId="4" type="noConversion"/>
  </si>
  <si>
    <t>면적비율</t>
    <phoneticPr fontId="4" type="noConversion"/>
  </si>
  <si>
    <t>항목</t>
    <phoneticPr fontId="4" type="noConversion"/>
  </si>
  <si>
    <t>금액</t>
    <phoneticPr fontId="4" type="noConversion"/>
  </si>
  <si>
    <t>금액비율</t>
    <phoneticPr fontId="4" type="noConversion"/>
  </si>
  <si>
    <t>면세</t>
    <phoneticPr fontId="4" type="noConversion"/>
  </si>
  <si>
    <t>과세</t>
    <phoneticPr fontId="4" type="noConversion"/>
  </si>
  <si>
    <t>합계</t>
    <phoneticPr fontId="4" type="noConversion"/>
  </si>
  <si>
    <t>공급가액</t>
    <phoneticPr fontId="4" type="noConversion"/>
  </si>
  <si>
    <t>매입부가세</t>
    <phoneticPr fontId="4" type="noConversion"/>
  </si>
  <si>
    <t>불공제세액</t>
    <phoneticPr fontId="4" type="noConversion"/>
  </si>
  <si>
    <t>공제세액</t>
    <phoneticPr fontId="4" type="noConversion"/>
  </si>
  <si>
    <t>비고</t>
    <phoneticPr fontId="4" type="noConversion"/>
  </si>
  <si>
    <t>부가세(원)</t>
    <phoneticPr fontId="4" type="noConversion"/>
  </si>
  <si>
    <t>부가세(판)</t>
    <phoneticPr fontId="4" type="noConversion"/>
  </si>
  <si>
    <t>합계</t>
    <phoneticPr fontId="4" type="noConversion"/>
  </si>
  <si>
    <t>VAT</t>
    <phoneticPr fontId="4" type="noConversion"/>
  </si>
  <si>
    <t>N</t>
  </si>
  <si>
    <t>N</t>
    <phoneticPr fontId="4" type="noConversion"/>
  </si>
  <si>
    <t>N</t>
    <phoneticPr fontId="4" type="noConversion"/>
  </si>
  <si>
    <t>C</t>
    <phoneticPr fontId="4" type="noConversion"/>
  </si>
  <si>
    <t>Y</t>
  </si>
  <si>
    <t>Y</t>
    <phoneticPr fontId="4" type="noConversion"/>
  </si>
  <si>
    <t>Y</t>
    <phoneticPr fontId="4" type="noConversion"/>
  </si>
  <si>
    <t>Y</t>
    <phoneticPr fontId="4" type="noConversion"/>
  </si>
  <si>
    <t>C</t>
    <phoneticPr fontId="4" type="noConversion"/>
  </si>
  <si>
    <t>Y</t>
    <phoneticPr fontId="4" type="noConversion"/>
  </si>
  <si>
    <t>N</t>
    <phoneticPr fontId="4" type="noConversion"/>
  </si>
  <si>
    <t>N</t>
    <phoneticPr fontId="4" type="noConversion"/>
  </si>
  <si>
    <t>Y</t>
    <phoneticPr fontId="4" type="noConversion"/>
  </si>
  <si>
    <t>N</t>
    <phoneticPr fontId="4" type="noConversion"/>
  </si>
  <si>
    <t>N</t>
    <phoneticPr fontId="4" type="noConversion"/>
  </si>
  <si>
    <t>N</t>
    <phoneticPr fontId="4" type="noConversion"/>
  </si>
  <si>
    <t>부가세액</t>
    <phoneticPr fontId="4" type="noConversion"/>
  </si>
  <si>
    <t>공사비, 설계비</t>
    <phoneticPr fontId="4" type="noConversion"/>
  </si>
  <si>
    <t>금액</t>
    <phoneticPr fontId="4" type="noConversion"/>
  </si>
  <si>
    <t>VAT</t>
    <phoneticPr fontId="4" type="noConversion"/>
  </si>
  <si>
    <t>총액</t>
    <phoneticPr fontId="4" type="noConversion"/>
  </si>
  <si>
    <t>매출부가세</t>
    <phoneticPr fontId="4" type="noConversion"/>
  </si>
  <si>
    <t>매입부가세</t>
    <phoneticPr fontId="4" type="noConversion"/>
  </si>
  <si>
    <t>매입불공제</t>
    <phoneticPr fontId="4" type="noConversion"/>
  </si>
  <si>
    <t>납부부가세</t>
    <phoneticPr fontId="4" type="noConversion"/>
  </si>
  <si>
    <t>매입공제비율</t>
    <phoneticPr fontId="4" type="noConversion"/>
  </si>
  <si>
    <t>(VAT 미적용)</t>
    <phoneticPr fontId="4" type="noConversion"/>
  </si>
  <si>
    <t>(VAT 적용)</t>
    <phoneticPr fontId="4" type="noConversion"/>
  </si>
  <si>
    <t>준공필수사업비 (B)</t>
    <phoneticPr fontId="4" type="noConversion"/>
  </si>
  <si>
    <t>N</t>
    <phoneticPr fontId="4" type="noConversion"/>
  </si>
  <si>
    <t>공급가(VAT제외)</t>
    <phoneticPr fontId="4" type="noConversion"/>
  </si>
  <si>
    <r>
      <t>과세면적중</t>
    </r>
    <r>
      <rPr>
        <sz val="8"/>
        <color rgb="FFFF0000"/>
        <rFont val="맑은 고딕"/>
        <family val="3"/>
        <charset val="129"/>
        <scheme val="minor"/>
      </rPr>
      <t>면세</t>
    </r>
    <r>
      <rPr>
        <sz val="8"/>
        <color theme="1"/>
        <rFont val="맑은 고딕"/>
        <family val="2"/>
        <charset val="129"/>
        <scheme val="minor"/>
      </rPr>
      <t>공급면적</t>
    </r>
    <phoneticPr fontId="4" type="noConversion"/>
  </si>
  <si>
    <r>
      <t>과세면적중</t>
    </r>
    <r>
      <rPr>
        <sz val="8"/>
        <color rgb="FFFF0000"/>
        <rFont val="맑은 고딕"/>
        <family val="3"/>
        <charset val="129"/>
        <scheme val="minor"/>
      </rPr>
      <t>과세</t>
    </r>
    <r>
      <rPr>
        <sz val="8"/>
        <color theme="1"/>
        <rFont val="맑은 고딕"/>
        <family val="3"/>
        <charset val="129"/>
        <scheme val="minor"/>
      </rPr>
      <t>공급면적</t>
    </r>
    <phoneticPr fontId="4" type="noConversion"/>
  </si>
  <si>
    <t>분양가(Type)</t>
    <phoneticPr fontId="4" type="noConversion"/>
  </si>
  <si>
    <t>선순위(일시)</t>
    <phoneticPr fontId="4" type="noConversion"/>
  </si>
  <si>
    <t>선순위(한도)</t>
    <phoneticPr fontId="4" type="noConversion"/>
  </si>
  <si>
    <t>중순위(일시)</t>
    <phoneticPr fontId="4" type="noConversion"/>
  </si>
  <si>
    <t>후순위(일시)</t>
    <phoneticPr fontId="4" type="noConversion"/>
  </si>
  <si>
    <t>후순위(한도)</t>
    <phoneticPr fontId="4" type="noConversion"/>
  </si>
  <si>
    <t>중순위(한도)</t>
    <phoneticPr fontId="4" type="noConversion"/>
  </si>
  <si>
    <t>PF총액-토지비PF</t>
    <phoneticPr fontId="4" type="noConversion"/>
  </si>
  <si>
    <t>1식</t>
  </si>
  <si>
    <t>N</t>
    <phoneticPr fontId="4" type="noConversion"/>
  </si>
  <si>
    <t>PM용역비</t>
    <phoneticPr fontId="4" type="noConversion"/>
  </si>
  <si>
    <t>법률자문료/사업성평가</t>
    <phoneticPr fontId="4" type="noConversion"/>
  </si>
  <si>
    <t>Y</t>
    <phoneticPr fontId="4" type="noConversion"/>
  </si>
  <si>
    <t>각종용역비</t>
    <phoneticPr fontId="4" type="noConversion"/>
  </si>
  <si>
    <t>판매비용</t>
    <phoneticPr fontId="4" type="noConversion"/>
  </si>
  <si>
    <t>기타비용</t>
    <phoneticPr fontId="4" type="noConversion"/>
  </si>
  <si>
    <t>매출</t>
    <phoneticPr fontId="4" type="noConversion"/>
  </si>
  <si>
    <t>지출</t>
    <phoneticPr fontId="4" type="noConversion"/>
  </si>
  <si>
    <t>기타</t>
    <phoneticPr fontId="4" type="noConversion"/>
  </si>
  <si>
    <t>미인출수수료</t>
    <phoneticPr fontId="4" type="noConversion"/>
  </si>
  <si>
    <t>미인출수수료</t>
    <phoneticPr fontId="14" type="noConversion"/>
  </si>
  <si>
    <t>.</t>
    <phoneticPr fontId="4" type="noConversion"/>
  </si>
  <si>
    <t>구분</t>
    <phoneticPr fontId="4" type="noConversion"/>
  </si>
  <si>
    <t>Equity (A)</t>
  </si>
  <si>
    <t>PF (B)</t>
  </si>
  <si>
    <t xml:space="preserve">토지비 (C) </t>
  </si>
  <si>
    <t>분양수수료</t>
  </si>
  <si>
    <t>책준위험액</t>
    <phoneticPr fontId="4" type="noConversion"/>
  </si>
  <si>
    <t>사업비 확보율</t>
    <phoneticPr fontId="4" type="noConversion"/>
  </si>
  <si>
    <t>금액</t>
    <phoneticPr fontId="4" type="noConversion"/>
  </si>
  <si>
    <t>비고</t>
    <phoneticPr fontId="4" type="noConversion"/>
  </si>
  <si>
    <t>확보
사업비</t>
    <phoneticPr fontId="4" type="noConversion"/>
  </si>
  <si>
    <t>필수
사업비</t>
    <phoneticPr fontId="4" type="noConversion"/>
  </si>
  <si>
    <t>(단위:천원)</t>
    <phoneticPr fontId="4" type="noConversion"/>
  </si>
  <si>
    <t>우리자산신탁 사업비 확보비율 검토 (책준확약기준)</t>
    <phoneticPr fontId="4" type="noConversion"/>
  </si>
  <si>
    <t>물류센터 분양</t>
    <phoneticPr fontId="14" type="noConversion"/>
  </si>
  <si>
    <t>토지비*4.6% + 법무수수료 0.2%</t>
    <phoneticPr fontId="4" type="noConversion"/>
  </si>
  <si>
    <t>홍보관</t>
    <phoneticPr fontId="4" type="noConversion"/>
  </si>
  <si>
    <t>철근콘크리트</t>
    <phoneticPr fontId="4" type="noConversion"/>
  </si>
  <si>
    <t>선순위</t>
    <phoneticPr fontId="4" type="noConversion"/>
  </si>
  <si>
    <t>중순위</t>
    <phoneticPr fontId="4" type="noConversion"/>
  </si>
  <si>
    <t>후순위</t>
    <phoneticPr fontId="4" type="noConversion"/>
  </si>
  <si>
    <t>물류센터</t>
    <phoneticPr fontId="4" type="noConversion"/>
  </si>
  <si>
    <t>도시가스 인입비</t>
    <phoneticPr fontId="4" type="noConversion"/>
  </si>
  <si>
    <t>잔금유보비율</t>
    <phoneticPr fontId="4" type="noConversion"/>
  </si>
  <si>
    <t>공사비 확보비율</t>
    <phoneticPr fontId="4" type="noConversion"/>
  </si>
  <si>
    <t>공사비 유보비율</t>
    <phoneticPr fontId="4" type="noConversion"/>
  </si>
  <si>
    <t>공사비 지급비율</t>
    <phoneticPr fontId="4" type="noConversion"/>
  </si>
  <si>
    <t>수수료</t>
    <phoneticPr fontId="4" type="noConversion"/>
  </si>
  <si>
    <t>구분</t>
    <phoneticPr fontId="4" type="noConversion"/>
  </si>
  <si>
    <t>금리</t>
    <phoneticPr fontId="4" type="noConversion"/>
  </si>
  <si>
    <t>All-In</t>
    <phoneticPr fontId="4" type="noConversion"/>
  </si>
  <si>
    <t xml:space="preserve">분양수입금 전입액 (D) </t>
    <phoneticPr fontId="4" type="noConversion"/>
  </si>
  <si>
    <t>전입시</t>
    <phoneticPr fontId="4" type="noConversion"/>
  </si>
  <si>
    <t>중도금이자</t>
    <phoneticPr fontId="4" type="noConversion"/>
  </si>
  <si>
    <t xml:space="preserve">합계 (E) </t>
    <phoneticPr fontId="4" type="noConversion"/>
  </si>
  <si>
    <t>E=A+B-C+D</t>
    <phoneticPr fontId="4" type="noConversion"/>
  </si>
  <si>
    <t>총사업비 (F)</t>
    <phoneticPr fontId="4" type="noConversion"/>
  </si>
  <si>
    <t>소계 (G)</t>
    <phoneticPr fontId="4" type="noConversion"/>
  </si>
  <si>
    <t>보존등기비 (H)</t>
    <phoneticPr fontId="4" type="noConversion"/>
  </si>
  <si>
    <t>신탁보수 (I)</t>
    <phoneticPr fontId="4" type="noConversion"/>
  </si>
  <si>
    <t>합계 (J)</t>
    <phoneticPr fontId="4" type="noConversion"/>
  </si>
  <si>
    <t>=J-E</t>
    <phoneticPr fontId="4" type="noConversion"/>
  </si>
  <si>
    <t>=E/J</t>
    <phoneticPr fontId="4" type="noConversion"/>
  </si>
  <si>
    <t>수지</t>
    <phoneticPr fontId="4" type="noConversion"/>
  </si>
  <si>
    <t>사업비 전입액</t>
    <phoneticPr fontId="4" type="noConversion"/>
  </si>
  <si>
    <t>책임준공위험액 전액 차감 분양률</t>
    <phoneticPr fontId="4" type="noConversion"/>
  </si>
  <si>
    <t>사업비 재원</t>
    <phoneticPr fontId="4" type="noConversion"/>
  </si>
  <si>
    <t>총 사업비 분양연동비 비율</t>
    <phoneticPr fontId="4" type="noConversion"/>
  </si>
  <si>
    <t>사업비 재원</t>
    <phoneticPr fontId="4" type="noConversion"/>
  </si>
  <si>
    <t>기성불 공사비 Exit</t>
  </si>
  <si>
    <t>중도금무이자 (주택)</t>
    <phoneticPr fontId="4" type="noConversion"/>
  </si>
  <si>
    <t>중도금이자후불제(주택)</t>
    <phoneticPr fontId="4" type="noConversion"/>
  </si>
  <si>
    <t>중도금이자후불제(주택외)</t>
    <phoneticPr fontId="4" type="noConversion"/>
  </si>
  <si>
    <t>중도금무이자 (주택외)</t>
    <phoneticPr fontId="4" type="noConversion"/>
  </si>
  <si>
    <t>미인출수수료 (선)</t>
    <phoneticPr fontId="14" type="noConversion"/>
  </si>
  <si>
    <t>미인출수수료 (중)</t>
    <phoneticPr fontId="14" type="noConversion"/>
  </si>
  <si>
    <t>미인출수수료 (후)</t>
    <phoneticPr fontId="14" type="noConversion"/>
  </si>
  <si>
    <t>기간</t>
    <phoneticPr fontId="4" type="noConversion"/>
  </si>
  <si>
    <t>All-in</t>
    <phoneticPr fontId="4" type="noConversion"/>
  </si>
  <si>
    <t xml:space="preserve"> 선/중/후 각 수수료율 기입</t>
    <phoneticPr fontId="4" type="noConversion"/>
  </si>
  <si>
    <t>이자비용 추가</t>
    <phoneticPr fontId="4" type="noConversion"/>
  </si>
  <si>
    <t>부담금총액</t>
    <phoneticPr fontId="4" type="noConversion"/>
  </si>
  <si>
    <t>오피 학교용지분담금 세대수</t>
    <phoneticPr fontId="4" type="noConversion"/>
  </si>
  <si>
    <t>대출상환계좌 적립</t>
    <phoneticPr fontId="4" type="noConversion"/>
  </si>
  <si>
    <t>운영계좌 적립</t>
    <phoneticPr fontId="4" type="noConversion"/>
  </si>
  <si>
    <t>계약금</t>
    <phoneticPr fontId="4" type="noConversion"/>
  </si>
  <si>
    <t>중도금</t>
    <phoneticPr fontId="4" type="noConversion"/>
  </si>
  <si>
    <t>잔금</t>
    <phoneticPr fontId="4" type="noConversion"/>
  </si>
  <si>
    <t>□ 대출상환계좌 적립</t>
    <phoneticPr fontId="4" type="noConversion"/>
  </si>
  <si>
    <t>Equity 시트</t>
    <phoneticPr fontId="4" type="noConversion"/>
  </si>
  <si>
    <t>상환계좌 입금액</t>
    <phoneticPr fontId="14" type="noConversion"/>
  </si>
  <si>
    <t>총 사업비</t>
    <phoneticPr fontId="4" type="noConversion"/>
  </si>
  <si>
    <t>중도금무이자 (주택)</t>
  </si>
  <si>
    <t>예상Exit 분양률</t>
    <phoneticPr fontId="4" type="noConversion"/>
  </si>
  <si>
    <t>선순위</t>
    <phoneticPr fontId="4" type="noConversion"/>
  </si>
  <si>
    <t>중순위</t>
    <phoneticPr fontId="4" type="noConversion"/>
  </si>
  <si>
    <t>후순위</t>
    <phoneticPr fontId="4" type="noConversion"/>
  </si>
  <si>
    <t>총 상환재원</t>
  </si>
  <si>
    <t>대출가능한도액</t>
  </si>
  <si>
    <t>선순위 가능금액</t>
    <phoneticPr fontId="4" type="noConversion"/>
  </si>
  <si>
    <t>중순위 가능금액</t>
    <phoneticPr fontId="4" type="noConversion"/>
  </si>
  <si>
    <t>후순위 가능금액</t>
    <phoneticPr fontId="4" type="noConversion"/>
  </si>
  <si>
    <t>일시</t>
    <phoneticPr fontId="4" type="noConversion"/>
  </si>
  <si>
    <t>한도</t>
    <phoneticPr fontId="4" type="noConversion"/>
  </si>
  <si>
    <t>기성불 경우</t>
    <phoneticPr fontId="4" type="noConversion"/>
  </si>
  <si>
    <t>* 사업성분석 자료의 무단 배포를 금지합니다. (Rev.220303) Made By HST</t>
    <phoneticPr fontId="4" type="noConversion"/>
  </si>
  <si>
    <t>일반 관리형 토지신탁(분양불)</t>
    <phoneticPr fontId="4" type="noConversion"/>
  </si>
  <si>
    <t>신탁사 책임준공확약형 (기성불)</t>
    <phoneticPr fontId="4" type="noConversion"/>
  </si>
  <si>
    <t>목표 LTV</t>
    <phoneticPr fontId="4" type="noConversion"/>
  </si>
  <si>
    <t>목표 Exit 분양율</t>
    <phoneticPr fontId="4" type="noConversion"/>
  </si>
  <si>
    <t>중순위</t>
    <phoneticPr fontId="4" type="noConversion"/>
  </si>
  <si>
    <t>70%초과</t>
    <phoneticPr fontId="4" type="noConversion"/>
  </si>
  <si>
    <t>60%초과</t>
    <phoneticPr fontId="4" type="noConversion"/>
  </si>
  <si>
    <t>총 매출</t>
    <phoneticPr fontId="4" type="noConversion"/>
  </si>
  <si>
    <t>□ 사업비 적립</t>
    <phoneticPr fontId="4" type="noConversion"/>
  </si>
  <si>
    <t>총 매출</t>
    <phoneticPr fontId="4" type="noConversion"/>
  </si>
  <si>
    <t>LTV기준 PF</t>
    <phoneticPr fontId="4" type="noConversion"/>
  </si>
  <si>
    <t>Exit 분양율 기준 PF금액</t>
    <phoneticPr fontId="4" type="noConversion"/>
  </si>
  <si>
    <t>총 상환재원</t>
    <phoneticPr fontId="4" type="noConversion"/>
  </si>
  <si>
    <t>준공필수 사업비</t>
    <phoneticPr fontId="4" type="noConversion"/>
  </si>
  <si>
    <t>선순위(한도)</t>
    <phoneticPr fontId="4" type="noConversion"/>
  </si>
  <si>
    <t>적용</t>
    <phoneticPr fontId="4" type="noConversion"/>
  </si>
  <si>
    <t>준공필수 사업비 부족액</t>
    <phoneticPr fontId="4" type="noConversion"/>
  </si>
  <si>
    <t>Defult 여부</t>
    <phoneticPr fontId="4" type="noConversion"/>
  </si>
  <si>
    <t>PF 기표월 잔액</t>
    <phoneticPr fontId="4" type="noConversion"/>
  </si>
  <si>
    <t>구분</t>
    <phoneticPr fontId="4" type="noConversion"/>
  </si>
  <si>
    <t>매출액 대비 신탁보수</t>
    <phoneticPr fontId="4" type="noConversion"/>
  </si>
  <si>
    <t>총 사업비 대비 확보율</t>
    <phoneticPr fontId="4" type="noConversion"/>
  </si>
  <si>
    <t>위험액 해소 최소 분양율</t>
    <phoneticPr fontId="4" type="noConversion"/>
  </si>
  <si>
    <t xml:space="preserve"> =E/J</t>
    <phoneticPr fontId="4" type="noConversion"/>
  </si>
  <si>
    <t>위험액 전액차감 최저 분양률</t>
    <phoneticPr fontId="4" type="noConversion"/>
  </si>
  <si>
    <t>미회복 위험액</t>
    <phoneticPr fontId="4" type="noConversion"/>
  </si>
  <si>
    <t>분양률 100% 기준</t>
    <phoneticPr fontId="4" type="noConversion"/>
  </si>
  <si>
    <t>사업비 전입액(책준위험 회복액)</t>
    <phoneticPr fontId="4" type="noConversion"/>
  </si>
  <si>
    <t>사업비 최대 사용가능금액</t>
    <phoneticPr fontId="4" type="noConversion"/>
  </si>
  <si>
    <t>위험액 대비 보수비율 (L=H/K)</t>
    <phoneticPr fontId="4" type="noConversion"/>
  </si>
  <si>
    <t xml:space="preserve"> =J-E</t>
    <phoneticPr fontId="4" type="noConversion"/>
  </si>
  <si>
    <t>책준위험액 (K=I-D)</t>
    <phoneticPr fontId="4" type="noConversion"/>
  </si>
  <si>
    <t>필수사업비 확보율 (J=D/I)</t>
    <phoneticPr fontId="4" type="noConversion"/>
  </si>
  <si>
    <t>J=F-C-G-H-I</t>
    <phoneticPr fontId="4" type="noConversion"/>
  </si>
  <si>
    <t xml:space="preserve">합 계 (I=E-C-F-G-H) </t>
    <phoneticPr fontId="4" type="noConversion"/>
  </si>
  <si>
    <t>신탁보수 (H)</t>
    <phoneticPr fontId="4" type="noConversion"/>
  </si>
  <si>
    <t>보존등기비 (G)</t>
    <phoneticPr fontId="4" type="noConversion"/>
  </si>
  <si>
    <t>소 계 (F)</t>
    <phoneticPr fontId="4" type="noConversion"/>
  </si>
  <si>
    <t>중도금이자</t>
    <phoneticPr fontId="4" type="noConversion"/>
  </si>
  <si>
    <t>분양대행수수료</t>
    <phoneticPr fontId="4" type="noConversion"/>
  </si>
  <si>
    <t>분양
연동
사업
비</t>
    <phoneticPr fontId="4" type="noConversion"/>
  </si>
  <si>
    <t xml:space="preserve">토지비 (C) </t>
    <phoneticPr fontId="4" type="noConversion"/>
  </si>
  <si>
    <t xml:space="preserve">총사업비 (E) </t>
    <phoneticPr fontId="4" type="noConversion"/>
  </si>
  <si>
    <t>필수
사업비</t>
    <phoneticPr fontId="4" type="noConversion"/>
  </si>
  <si>
    <t>D=A+B-C</t>
    <phoneticPr fontId="4" type="noConversion"/>
  </si>
  <si>
    <t xml:space="preserve">합계 (D) </t>
    <phoneticPr fontId="4" type="noConversion"/>
  </si>
  <si>
    <t xml:space="preserve">토지비 (C) </t>
    <phoneticPr fontId="4" type="noConversion"/>
  </si>
  <si>
    <t>PF (B)</t>
    <phoneticPr fontId="4" type="noConversion"/>
  </si>
  <si>
    <t>Equity (A)</t>
    <phoneticPr fontId="4" type="noConversion"/>
  </si>
  <si>
    <t>확보
사업비</t>
    <phoneticPr fontId="4" type="noConversion"/>
  </si>
  <si>
    <t>비고</t>
    <phoneticPr fontId="4" type="noConversion"/>
  </si>
  <si>
    <t>공사비 90% 
확보 기준</t>
    <phoneticPr fontId="4" type="noConversion"/>
  </si>
  <si>
    <t>심의 부의시</t>
    <phoneticPr fontId="4" type="noConversion"/>
  </si>
  <si>
    <t>구 분</t>
    <phoneticPr fontId="4" type="noConversion"/>
  </si>
  <si>
    <t>단위:천원,VAT별도</t>
    <phoneticPr fontId="4" type="noConversion"/>
  </si>
  <si>
    <t>신탁보수</t>
    <phoneticPr fontId="4" type="noConversion"/>
  </si>
  <si>
    <t>매출액</t>
    <phoneticPr fontId="4" type="noConversion"/>
  </si>
  <si>
    <t>연면적</t>
    <phoneticPr fontId="4" type="noConversion"/>
  </si>
  <si>
    <t>부지위치</t>
    <phoneticPr fontId="4" type="noConversion"/>
  </si>
  <si>
    <t>※ 사업비 확보비율 검토</t>
    <phoneticPr fontId="4" type="noConversion"/>
  </si>
  <si>
    <t>PI 금액</t>
    <phoneticPr fontId="4" type="noConversion"/>
  </si>
  <si>
    <t>개발신탁</t>
    <phoneticPr fontId="4" type="noConversion"/>
  </si>
  <si>
    <t>브릿지비용</t>
    <phoneticPr fontId="4" type="noConversion"/>
  </si>
  <si>
    <t>대지급이자율</t>
    <phoneticPr fontId="4" type="noConversion"/>
  </si>
  <si>
    <t>대지급금리</t>
    <phoneticPr fontId="14" type="noConversion"/>
  </si>
  <si>
    <t>작성팀</t>
    <phoneticPr fontId="4" type="noConversion"/>
  </si>
  <si>
    <t>선급금 비율</t>
    <phoneticPr fontId="4" type="noConversion"/>
  </si>
  <si>
    <t>선급금 지급</t>
    <phoneticPr fontId="4" type="noConversion"/>
  </si>
  <si>
    <t>계약금상환비율</t>
    <phoneticPr fontId="14" type="noConversion"/>
  </si>
  <si>
    <t>중도금상환비율</t>
    <phoneticPr fontId="14" type="noConversion"/>
  </si>
  <si>
    <t>입주+2</t>
  </si>
  <si>
    <t>입주율</t>
    <phoneticPr fontId="14" type="noConversion"/>
  </si>
  <si>
    <t>입주</t>
    <phoneticPr fontId="14" type="noConversion"/>
  </si>
  <si>
    <t>입주+1</t>
    <phoneticPr fontId="14" type="noConversion"/>
  </si>
  <si>
    <t>입주</t>
    <phoneticPr fontId="4" type="noConversion"/>
  </si>
  <si>
    <t>입주+1</t>
    <phoneticPr fontId="4" type="noConversion"/>
  </si>
  <si>
    <t>입주+2</t>
    <phoneticPr fontId="4" type="noConversion"/>
  </si>
  <si>
    <t>대출+1</t>
    <phoneticPr fontId="4" type="noConversion"/>
  </si>
  <si>
    <t>대출+2</t>
  </si>
  <si>
    <t>대출+3</t>
  </si>
  <si>
    <t>입주율</t>
    <phoneticPr fontId="4" type="noConversion"/>
  </si>
  <si>
    <t>월운영비</t>
    <phoneticPr fontId="14" type="noConversion"/>
  </si>
  <si>
    <t>2개월선취</t>
  </si>
  <si>
    <t>지식산업센터분양</t>
    <phoneticPr fontId="14" type="noConversion"/>
  </si>
  <si>
    <t>지식산업센터</t>
    <phoneticPr fontId="4" type="noConversion"/>
  </si>
  <si>
    <t>제1종전용주거</t>
    <phoneticPr fontId="4" type="noConversion"/>
  </si>
  <si>
    <t>제2종전용주거</t>
  </si>
  <si>
    <t>제1종일반주거</t>
    <phoneticPr fontId="4" type="noConversion"/>
  </si>
  <si>
    <t>제2종일반주거</t>
  </si>
  <si>
    <t>제3종일반주거</t>
  </si>
  <si>
    <t>준주거</t>
    <phoneticPr fontId="4" type="noConversion"/>
  </si>
  <si>
    <t>중심상업</t>
    <phoneticPr fontId="4" type="noConversion"/>
  </si>
  <si>
    <t>일반상업</t>
    <phoneticPr fontId="4" type="noConversion"/>
  </si>
  <si>
    <t>근린상업</t>
    <phoneticPr fontId="4" type="noConversion"/>
  </si>
  <si>
    <t>유통상업</t>
    <phoneticPr fontId="4" type="noConversion"/>
  </si>
  <si>
    <t>전용공업</t>
    <phoneticPr fontId="4" type="noConversion"/>
  </si>
  <si>
    <t>일반공업</t>
    <phoneticPr fontId="4" type="noConversion"/>
  </si>
  <si>
    <t>준공업</t>
    <phoneticPr fontId="4" type="noConversion"/>
  </si>
  <si>
    <t>녹지</t>
    <phoneticPr fontId="4" type="noConversion"/>
  </si>
  <si>
    <t>관리</t>
    <phoneticPr fontId="4" type="noConversion"/>
  </si>
  <si>
    <t>잔여금액</t>
    <phoneticPr fontId="14" type="noConversion"/>
  </si>
  <si>
    <t>한도차감액</t>
    <phoneticPr fontId="14" type="noConversion"/>
  </si>
  <si>
    <t>운영계좌입금총액</t>
    <phoneticPr fontId="14" type="noConversion"/>
  </si>
  <si>
    <t>준공전 상환계좌입금종액</t>
    <phoneticPr fontId="14" type="noConversion"/>
  </si>
  <si>
    <t>중도금이자후불제(주택외)</t>
  </si>
  <si>
    <t>상환총액</t>
    <phoneticPr fontId="14" type="noConversion"/>
  </si>
  <si>
    <t>공동주택</t>
  </si>
  <si>
    <t>밀양시 삼문동 공동주택 (분양불)</t>
    <phoneticPr fontId="4" type="noConversion"/>
  </si>
  <si>
    <t>밀양시 삼문동 687-1 일대</t>
    <phoneticPr fontId="4" type="noConversion"/>
  </si>
  <si>
    <t>러닝스푼즈</t>
    <phoneticPr fontId="4" type="noConversion"/>
  </si>
  <si>
    <t>분양불</t>
  </si>
  <si>
    <t>1층</t>
    <phoneticPr fontId="4" type="noConversion"/>
  </si>
  <si>
    <t>발코니확장비</t>
  </si>
  <si>
    <t>토지수수료, 명도비용, 사업권인수비용</t>
    <phoneticPr fontId="4" type="noConversion"/>
  </si>
  <si>
    <t>민원처리비</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</si>
</sst>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61">
    <numFmt numFmtId="41" formatCode="_-* #,##0_-;\-* #,##0_-;_-* &quot;-&quot;_-;_-@_-"/>
    <numFmt numFmtId="43" formatCode="_-* #,##0.00_-;\-* #,##0.00_-;_-* &quot;-&quot;??_-;_-@_-"/>
    <numFmt numFmtId="24" formatCode="\$#,##0_);[Red]\(\$#,##0\)"/>
    <numFmt numFmtId="176" formatCode="#,##0.00&quot;평&quot;;[Red]#,##0.00&quot;평&quot;;"/>
    <numFmt numFmtId="177" formatCode="#,##0.00&quot;㎡&quot;;[Red]\-#,##0.00&quot;㎡&quot;;"/>
    <numFmt numFmtId="178" formatCode="#,##0&quot;개월&quot;"/>
    <numFmt numFmtId="179" formatCode="#,##0.0000&quot;㎡&quot;;[Red]\-#,##0.0000&quot;㎡&quot;;"/>
    <numFmt numFmtId="180" formatCode="_(* #,##0_);_(* \(#,##0\);_(* &quot;-&quot;_);_(@_)"/>
    <numFmt numFmtId="181" formatCode="#,##0&quot;천원&quot;;[Red]\-#,##0&quot;천원&quot;;"/>
    <numFmt numFmtId="182" formatCode="#,##0&quot;세대&quot;;;"/>
    <numFmt numFmtId="183" formatCode="0.000%;[Red]\-0.000%;"/>
    <numFmt numFmtId="184" formatCode="#,##0&quot;대&quot;"/>
    <numFmt numFmtId="185" formatCode="#,##0_ "/>
    <numFmt numFmtId="186" formatCode="#,##0;[Red]\-#,##0;"/>
    <numFmt numFmtId="187" formatCode="#,###&quot;세대&quot;"/>
    <numFmt numFmtId="188" formatCode="&quot;지&quot;&quot;하&quot;##&quot;층&quot;"/>
    <numFmt numFmtId="189" formatCode="&quot;지&quot;&quot;상&quot;##&quot;층&quot;"/>
    <numFmt numFmtId="190" formatCode="yyyy&quot;년&quot;\ m&quot;월&quot;;@"/>
    <numFmt numFmtId="191" formatCode="0.0"/>
    <numFmt numFmtId="192" formatCode="##&quot;개&quot;&quot;월&quot;"/>
    <numFmt numFmtId="193" formatCode="0.00&quot;대&quot;"/>
    <numFmt numFmtId="194" formatCode="#,###&quot;천&quot;&quot;원&quot;"/>
    <numFmt numFmtId="195" formatCode="_-* #,##0.0_-;\-* #,##0.0_-;_-* &quot;-&quot;_-;_-@_-"/>
    <numFmt numFmtId="196" formatCode="General&quot;평&quot;"/>
    <numFmt numFmtId="197" formatCode="General&quot;개&quot;&quot;월&quot;"/>
    <numFmt numFmtId="198" formatCode="&quot;대출수수료&quot;\ 0.00%\ &quot;포함&quot;"/>
    <numFmt numFmtId="199" formatCode="&quot;대환후적용이자&quot;\ 0.00%"/>
    <numFmt numFmtId="200" formatCode="0.0%"/>
    <numFmt numFmtId="201" formatCode="#,###.000&quot;천&quot;&quot;원&quot;"/>
    <numFmt numFmtId="202" formatCode="_-* #,##0.00_-;\-* #,##0.00_-;_-* &quot;-&quot;_-;_-@_-"/>
    <numFmt numFmtId="203" formatCode="0.00_ "/>
    <numFmt numFmtId="204" formatCode="#,##0_);[Red]\(#,##0\);\-\ "/>
    <numFmt numFmtId="205" formatCode="0.0_);[Red]\(0.0\)"/>
    <numFmt numFmtId="206" formatCode="\(##,#00"/>
    <numFmt numFmtId="207" formatCode="d\.m\.yy"/>
    <numFmt numFmtId="208" formatCode="_ * #,##0_ ;_ * \-#,##0_ ;_ * &quot;-&quot;_ ;_ @_ "/>
    <numFmt numFmtId="209" formatCode="_ * #,##0.00_ ;_ * \-#,##0.00_ ;_ * &quot;-&quot;??_ ;_ @_ "/>
    <numFmt numFmtId="210" formatCode="0.000000%"/>
    <numFmt numFmtId="211" formatCode="&quot;₩&quot;#,##0;&quot;₩&quot;&quot;₩&quot;&quot;₩&quot;&quot;₩&quot;&quot;₩&quot;\-#,##0"/>
    <numFmt numFmtId="212" formatCode="_-* #,##0\ _D_M_-;\-* #,##0\ _D_M_-;_-* &quot;-&quot;\ _D_M_-;_-@_-"/>
    <numFmt numFmtId="213" formatCode="* #,##0_%;* \-#,##0_%;* #,##0_%;@_%"/>
    <numFmt numFmtId="214" formatCode="&quot;₩&quot;#,##0.00;&quot;₩&quot;&quot;₩&quot;&quot;₩&quot;&quot;₩&quot;&quot;₩&quot;\-#,##0.00"/>
    <numFmt numFmtId="215" formatCode="_(* #,##0.0,_);_(* \(#,##0.0,\);_(* &quot;-&quot;_);_(@_)"/>
    <numFmt numFmtId="216" formatCode="_-* #,##0\ &quot;DM&quot;_-;\-* #,##0\ &quot;DM&quot;_-;_-* &quot;-&quot;\ &quot;DM&quot;_-;_-@_-"/>
    <numFmt numFmtId="217" formatCode="&quot;₩&quot;#,##0;&quot;₩&quot;&quot;₩&quot;&quot;₩&quot;&quot;₩&quot;\-#,##0"/>
    <numFmt numFmtId="218" formatCode="yyyy/mm/dd&quot;현재&quot;"/>
    <numFmt numFmtId="219" formatCode="&quot;(&quot;yyyy/mm/dd&quot;현재)&quot;"/>
    <numFmt numFmtId="220" formatCode="0.0%;[Red]\-0.0%"/>
    <numFmt numFmtId="221" formatCode="0.00%;[Red]\-0.00%"/>
    <numFmt numFmtId="222" formatCode="#,##0;[Red]&quot;-&quot;#,##0"/>
    <numFmt numFmtId="223" formatCode="\(#,##0.000\)"/>
    <numFmt numFmtId="224" formatCode="&quot;₩&quot;#,##0;[Red]&quot;₩&quot;&quot;₩&quot;&quot;₩&quot;&quot;₩&quot;\-#,##0"/>
    <numFmt numFmtId="225" formatCode="#,##0.00_ "/>
    <numFmt numFmtId="226" formatCode="#,##0.#####\ ;[Red]\-#,##0.#####\ "/>
    <numFmt numFmtId="227" formatCode="#,##0\ ;[Red]\-#,##0\ "/>
    <numFmt numFmtId="228" formatCode="_-* #,##0.00_-;&quot;₩&quot;&quot;₩&quot;\-* #,##0.00_-;_-* &quot;-&quot;??_-;_-@_-"/>
    <numFmt numFmtId="229" formatCode="&quot;₩&quot;#,##0.00;&quot;₩&quot;&quot;₩&quot;&quot;₩&quot;&quot;₩&quot;\-#,##0.00"/>
    <numFmt numFmtId="230" formatCode="#,###&quot;kw(세대당 전기용량)&quot;"/>
    <numFmt numFmtId="231" formatCode="#,###&quot;(상가전기용량)&quot;"/>
    <numFmt numFmtId="232" formatCode="#,###&quot;천원(kw당 단가)&quot;"/>
    <numFmt numFmtId="233" formatCode="#,###&quot;천원&quot;"/>
    <numFmt numFmtId="234" formatCode="&quot;×  &quot;#,##0.0&quot;천원&quot;"/>
    <numFmt numFmtId="235" formatCode="&quot;=  &quot;#,##0"/>
    <numFmt numFmtId="236" formatCode="#,###&quot;m&quot;"/>
    <numFmt numFmtId="237" formatCode="#,###&quot;천원(m당 단가)&quot;"/>
    <numFmt numFmtId="238" formatCode="#,##0&quot;m&quot;"/>
    <numFmt numFmtId="239" formatCode="#,###&quot;㎡&quot;"/>
    <numFmt numFmtId="240" formatCode="#,###.#&quot;천원(급수공사단가)&quot;"/>
    <numFmt numFmtId="241" formatCode="#,###&quot;천원(세대당 시설분담금)&quot;"/>
    <numFmt numFmtId="242" formatCode="&quot;×   &quot;General&quot;천원)&quot;"/>
    <numFmt numFmtId="243" formatCode="&quot;=   &quot;#,##0"/>
    <numFmt numFmtId="244" formatCode="&quot;  = &quot;#,##0&quot;천원&quot;"/>
    <numFmt numFmtId="245" formatCode="#,###.#\(&quot;세&quot;&quot;대&quot;&quot;당&quot;\ &quot;인&quot;&quot;원&quot;&quot;수&quot;\)"/>
    <numFmt numFmtId="246" formatCode="#,###.#&quot;Ton(인당)&quot;"/>
    <numFmt numFmtId="247" formatCode="General&quot;Ton/인,일)&quot;"/>
    <numFmt numFmtId="248" formatCode="&quot;약&quot;#,###.#&quot;천원(세대당)&quot;"/>
    <numFmt numFmtId="249" formatCode="#,###&quot;천원(시설공사단가)&quot;"/>
    <numFmt numFmtId="250" formatCode="&quot;=    &quot;#,##0"/>
    <numFmt numFmtId="251" formatCode="#,##0&quot;㎡&quot;"/>
    <numFmt numFmtId="252" formatCode="#,###.##&quot;천원/㎡&quot;"/>
    <numFmt numFmtId="253" formatCode="#,##0_);[Red]\(#,##0\)"/>
    <numFmt numFmtId="254" formatCode="#,##0.0&quot;㎡&quot;"/>
    <numFmt numFmtId="255" formatCode="00,000&quot;㎡&quot;"/>
    <numFmt numFmtId="256" formatCode="#,##0_)&quot;원/㎡&quot;;[Red]\(#,##0\)"/>
    <numFmt numFmtId="257" formatCode="0,000&quot;천원&quot;"/>
    <numFmt numFmtId="258" formatCode="#,##0.00_);[Red]\(#,##0.00\)"/>
    <numFmt numFmtId="259" formatCode="#%&quot;(수 도 권)&quot;"/>
    <numFmt numFmtId="260" formatCode="#%&quot;(대도시권)&quot;"/>
    <numFmt numFmtId="261" formatCode="0000&quot;년&quot;"/>
    <numFmt numFmtId="262" formatCode="000,000&quot;천원&quot;"/>
    <numFmt numFmtId="263" formatCode="&quot;  = &quot;#,##0.00&quot; 평&quot;"/>
    <numFmt numFmtId="264" formatCode="&quot;=     &quot;#,##0&quot;평&quot;"/>
    <numFmt numFmtId="265" formatCode="#,###&quot;㎡ &quot;"/>
    <numFmt numFmtId="266" formatCode="#.##&quot;천원&quot;"/>
    <numFmt numFmtId="267" formatCode="00,000&quot;천원&quot;"/>
    <numFmt numFmtId="268" formatCode="000,000&quot;㎡&quot;"/>
    <numFmt numFmtId="269" formatCode="#,##0.00&quot;천원/㎡&quot;"/>
    <numFmt numFmtId="270" formatCode="&quot;(&quot;General&quot;천원&quot;"/>
    <numFmt numFmtId="271" formatCode="&quot;+   (&quot;#,##0.0"/>
    <numFmt numFmtId="272" formatCode="&quot;× (&quot;#,##0.0"/>
    <numFmt numFmtId="273" formatCode="#,###&quot;평&quot;"/>
    <numFmt numFmtId="274" formatCode="#,###&quot;천원(평당)&quot;"/>
    <numFmt numFmtId="275" formatCode="General&quot;천원&quot;"/>
    <numFmt numFmtId="276" formatCode="_-* #,##0_-;\-* #,##0_-;_-* &quot;-&quot;??_-;_-@_-"/>
    <numFmt numFmtId="277" formatCode="&quot;×    &quot;General&quot;천원&quot;"/>
    <numFmt numFmtId="278" formatCode="&quot;■ &quot;#,##0&quot;초과&quot;"/>
    <numFmt numFmtId="279" formatCode="#,##0&quot;까지&quot;"/>
    <numFmt numFmtId="280" formatCode="0.000%"/>
    <numFmt numFmtId="281" formatCode="#,000&quot;천원이하&quot;"/>
    <numFmt numFmtId="282" formatCode="#,###&quot;천원+&quot;"/>
    <numFmt numFmtId="283" formatCode="0.000_);[Red]\(0.000\)"/>
    <numFmt numFmtId="284" formatCode="0_);[Red]\(0\)"/>
    <numFmt numFmtId="285" formatCode="#,##0.000_);[Red]\(#,##0.000\)"/>
    <numFmt numFmtId="286" formatCode="0_ "/>
    <numFmt numFmtId="287" formatCode="#,##0.0000_ "/>
    <numFmt numFmtId="288" formatCode="0.00%;[Red]\-0.00%;"/>
    <numFmt numFmtId="289" formatCode="#,##0.0000&quot;평&quot;;[Red]\-#,##0.0000&quot;평&quot;;"/>
    <numFmt numFmtId="290" formatCode="&quot;세대당분양가&quot;\ #,##0\ &quot;천원&quot;"/>
    <numFmt numFmtId="291" formatCode="&quot;실당분양가&quot;\ #,##0\ &quot;천원&quot;"/>
    <numFmt numFmtId="292" formatCode="&quot;평당분양가&quot;\ #,##0\ &quot;천원&quot;"/>
    <numFmt numFmtId="293" formatCode="#,##0\ &quot;천원&quot;"/>
    <numFmt numFmtId="294" formatCode="&quot;평당매입가&quot;\ #,##0\ &quot;천원&quot;"/>
    <numFmt numFmtId="295" formatCode="&quot;평당공사비&quot;\ #,##0\ &quot;천원&quot;"/>
    <numFmt numFmtId="296" formatCode="&quot;매출이익률&quot;\ 0.0%"/>
    <numFmt numFmtId="297" formatCode="&quot;평당&quot;###&quot;만원&quot;"/>
    <numFmt numFmtId="298" formatCode="0.0%;[Red]\-0.0%;"/>
    <numFmt numFmtId="299" formatCode="0.0000000"/>
    <numFmt numFmtId="300" formatCode="#,###.00&quot;천&quot;&quot;원&quot;"/>
    <numFmt numFmtId="301" formatCode="&quot;₩&quot;#,##0.00;[Red]&quot;₩&quot;\-#,##0.00"/>
    <numFmt numFmtId="302" formatCode="&quot;₩&quot;#,##0;[Red]&quot;₩&quot;\-#,##0"/>
    <numFmt numFmtId="303" formatCode="#,##0.0_);[Red]\(#,##0.0\);\-\ "/>
    <numFmt numFmtId="304" formatCode="General\ &quot;이자제외&quot;"/>
    <numFmt numFmtId="305" formatCode="General&quot;년&quot;"/>
    <numFmt numFmtId="306" formatCode="##0&quot;개&quot;&quot;월&quot;"/>
    <numFmt numFmtId="307" formatCode="##&quot;개월전&quot;"/>
    <numFmt numFmtId="308" formatCode="##&quot;개월&quot;"/>
    <numFmt numFmtId="309" formatCode="&quot;착공&quot;\ ##&quot;개월&quot;"/>
    <numFmt numFmtId="310" formatCode="#,###"/>
    <numFmt numFmtId="311" formatCode="&quot;(공사기간+&quot;#&quot;개월)&quot;"/>
    <numFmt numFmtId="312" formatCode="&quot;중&quot;&quot;도&quot;&quot;금&quot;\ #&quot;회&quot;&quot;차&quot;"/>
    <numFmt numFmtId="313" formatCode="#,##0&quot;실&quot;;;"/>
    <numFmt numFmtId="314" formatCode="#.#&quot;년&quot;"/>
    <numFmt numFmtId="315" formatCode="#,##0.0000&quot;㎡&quot;"/>
    <numFmt numFmtId="316" formatCode="###&quot; 세대&quot;"/>
    <numFmt numFmtId="317" formatCode="#,##0&quot; 대&quot;"/>
    <numFmt numFmtId="318" formatCode="#,##0.0&quot;천&quot;&quot;원&quot;"/>
    <numFmt numFmtId="319" formatCode="General&quot;%이하&quot;"/>
    <numFmt numFmtId="320" formatCode="#,###.0&quot;년&quot;"/>
    <numFmt numFmtId="321" formatCode="_(* #,##0.0_);_(* \(#,##0.0\);_(* &quot;-&quot;?_);@_)"/>
    <numFmt numFmtId="322" formatCode="_-* #,##0.00_-&quot;㎡&quot;;\-* #,##0.00_-&quot;㎡&quot;;_-* &quot;-&quot;_-;_-@_-&quot;㎡&quot;"/>
    <numFmt numFmtId="323" formatCode="_-* #,##0.00\ [$€-1]_-;\-* #,##0.00\ [$€-1]_-;_-* &quot;-&quot;??\ [$€-1]_-"/>
    <numFmt numFmtId="324" formatCode="#,##0_ ;[Red]\-#,##0\ "/>
    <numFmt numFmtId="325" formatCode="&quot;발코니 확장비 포함&quot;"/>
    <numFmt numFmtId="326" formatCode="0.0&quot;%&quot;"/>
    <numFmt numFmtId="327" formatCode="&quot;선 &quot;0.##%"/>
    <numFmt numFmtId="328" formatCode="&quot;중 &quot;0.##%"/>
    <numFmt numFmtId="329" formatCode="&quot;후 &quot;0.##%"/>
    <numFmt numFmtId="330" formatCode="##0.0&quot; 년&quot;"/>
    <numFmt numFmtId="331" formatCode="&quot;총 사업비 대비 &quot;#,##0.0%"/>
    <numFmt numFmtId="332" formatCode="##,###.00&quot; ㎡&quot;"/>
    <numFmt numFmtId="333" formatCode="&quot;평당 &quot;##,###&quot;천원&quot;"/>
  </numFmts>
  <fonts count="169">
    <font>
      <sz val="11"/>
      <color theme="1"/>
      <name val="맑은 고딕"/>
      <family val="2"/>
      <charset val="129"/>
      <scheme val="minor"/>
    </font>
    <font>
      <sz val="11"/>
      <color theme="1"/>
      <name val="맑은 고딕"/>
      <family val="2"/>
      <charset val="129"/>
      <scheme val="minor"/>
    </font>
    <font>
      <sz val="11"/>
      <color theme="1"/>
      <name val="맑은 고딕"/>
      <family val="3"/>
      <charset val="129"/>
    </font>
    <font>
      <b/>
      <sz val="24"/>
      <color theme="1"/>
      <name val="맑은 고딕"/>
      <family val="3"/>
      <charset val="129"/>
    </font>
    <font>
      <sz val="8"/>
      <name val="맑은 고딕"/>
      <family val="2"/>
      <charset val="129"/>
      <scheme val="minor"/>
    </font>
    <font>
      <b/>
      <sz val="11"/>
      <color theme="1"/>
      <name val="맑은 고딕"/>
      <family val="3"/>
      <charset val="129"/>
    </font>
    <font>
      <b/>
      <sz val="10"/>
      <color theme="1"/>
      <name val="맑은 고딕"/>
      <family val="3"/>
      <charset val="129"/>
      <scheme val="minor"/>
    </font>
    <font>
      <b/>
      <sz val="11"/>
      <color theme="1"/>
      <name val="맑은 고딕"/>
      <family val="3"/>
      <charset val="129"/>
      <scheme val="minor"/>
    </font>
    <font>
      <sz val="10"/>
      <color theme="1"/>
      <name val="맑은 고딕"/>
      <family val="2"/>
      <charset val="129"/>
      <scheme val="minor"/>
    </font>
    <font>
      <sz val="11"/>
      <color theme="1"/>
      <name val="맑은 고딕"/>
      <family val="3"/>
      <charset val="129"/>
      <scheme val="minor"/>
    </font>
    <font>
      <sz val="11"/>
      <name val="돋움"/>
      <family val="3"/>
      <charset val="129"/>
    </font>
    <font>
      <sz val="10"/>
      <color theme="1"/>
      <name val="맑은 고딕"/>
      <family val="3"/>
      <charset val="129"/>
      <scheme val="minor"/>
    </font>
    <font>
      <sz val="12"/>
      <color theme="1"/>
      <name val="맑은 고딕"/>
      <family val="3"/>
      <charset val="129"/>
      <scheme val="minor"/>
    </font>
    <font>
      <sz val="12"/>
      <color rgb="FFFF0000"/>
      <name val="맑은 고딕"/>
      <family val="3"/>
      <charset val="129"/>
      <scheme val="minor"/>
    </font>
    <font>
      <sz val="8"/>
      <name val="돋움"/>
      <family val="3"/>
      <charset val="129"/>
    </font>
    <font>
      <sz val="11"/>
      <color rgb="FFFF0000"/>
      <name val="맑은 고딕"/>
      <family val="2"/>
      <charset val="129"/>
      <scheme val="minor"/>
    </font>
    <font>
      <b/>
      <sz val="11"/>
      <color rgb="FFFF0000"/>
      <name val="맑은 고딕"/>
      <family val="3"/>
      <charset val="129"/>
      <scheme val="minor"/>
    </font>
    <font>
      <sz val="12"/>
      <color rgb="FF000000"/>
      <name val="맑은 고딕"/>
      <family val="3"/>
      <charset val="129"/>
      <scheme val="minor"/>
    </font>
    <font>
      <b/>
      <sz val="12"/>
      <color rgb="FFFF0000"/>
      <name val="맑은 고딕"/>
      <family val="3"/>
      <charset val="129"/>
      <scheme val="minor"/>
    </font>
    <font>
      <sz val="12"/>
      <color rgb="FF000000"/>
      <name val="맑은 고딕"/>
      <family val="3"/>
      <charset val="129"/>
    </font>
    <font>
      <sz val="8"/>
      <name val="맑은 고딕"/>
      <family val="2"/>
      <charset val="129"/>
    </font>
    <font>
      <sz val="12"/>
      <color theme="1"/>
      <name val="맑은 고딕"/>
      <family val="2"/>
      <charset val="129"/>
      <scheme val="minor"/>
    </font>
    <font>
      <b/>
      <sz val="12"/>
      <color rgb="FF000000"/>
      <name val="맑은 고딕"/>
      <family val="3"/>
      <charset val="129"/>
      <scheme val="minor"/>
    </font>
    <font>
      <sz val="11"/>
      <color rgb="FFFF0000"/>
      <name val="맑은 고딕"/>
      <family val="3"/>
      <charset val="129"/>
      <scheme val="minor"/>
    </font>
    <font>
      <sz val="10"/>
      <name val="현대 able Regular"/>
      <family val="3"/>
      <charset val="129"/>
    </font>
    <font>
      <sz val="9"/>
      <name val="현대 able Regular"/>
      <family val="3"/>
      <charset val="129"/>
    </font>
    <font>
      <sz val="9"/>
      <color theme="1"/>
      <name val="현대 able Regular"/>
      <family val="3"/>
      <charset val="129"/>
    </font>
    <font>
      <sz val="10"/>
      <color theme="1"/>
      <name val="현대 able Regular"/>
      <family val="3"/>
      <charset val="129"/>
    </font>
    <font>
      <sz val="11"/>
      <color theme="0"/>
      <name val="현대 able Regular"/>
      <family val="3"/>
      <charset val="129"/>
    </font>
    <font>
      <sz val="9"/>
      <color indexed="60"/>
      <name val="현대 able Regular"/>
      <family val="3"/>
      <charset val="129"/>
    </font>
    <font>
      <sz val="9"/>
      <color indexed="8"/>
      <name val="현대 able Regular"/>
      <family val="3"/>
      <charset val="129"/>
    </font>
    <font>
      <sz val="12"/>
      <name val="돋움체"/>
      <family val="3"/>
      <charset val="129"/>
    </font>
    <font>
      <sz val="10"/>
      <name val="MS Sans Serif"/>
      <family val="2"/>
    </font>
    <font>
      <sz val="12"/>
      <name val="바탕체"/>
      <family val="1"/>
      <charset val="129"/>
    </font>
    <font>
      <sz val="10"/>
      <name val="굴림체"/>
      <family val="3"/>
      <charset val="129"/>
    </font>
    <font>
      <sz val="10"/>
      <name val="Arial"/>
      <family val="2"/>
    </font>
    <font>
      <sz val="12"/>
      <name val="Times New Roman"/>
      <family val="1"/>
    </font>
    <font>
      <sz val="10"/>
      <name val="Courier New"/>
      <family val="3"/>
    </font>
    <font>
      <sz val="10"/>
      <name val="Book Antiqua"/>
      <family val="1"/>
    </font>
    <font>
      <sz val="12"/>
      <name val="Arial"/>
      <family val="2"/>
    </font>
    <font>
      <sz val="12"/>
      <name val="ⓒoUAAA¨u"/>
      <family val="1"/>
      <charset val="129"/>
    </font>
    <font>
      <sz val="11"/>
      <name val="￥i￠￢￠?o"/>
      <family val="3"/>
      <charset val="129"/>
    </font>
    <font>
      <sz val="9"/>
      <name val="굴림체"/>
      <family val="3"/>
      <charset val="129"/>
    </font>
    <font>
      <sz val="12"/>
      <name val="¹ÙÅÁÃ¼"/>
      <family val="1"/>
      <charset val="129"/>
    </font>
    <font>
      <sz val="12"/>
      <name val="¹UAAA¼"/>
      <family val="3"/>
      <charset val="129"/>
    </font>
    <font>
      <b/>
      <sz val="10"/>
      <name val="MS Sans Serif"/>
      <family val="2"/>
    </font>
    <font>
      <sz val="12"/>
      <name val="System"/>
      <family val="2"/>
      <charset val="129"/>
    </font>
    <font>
      <sz val="8"/>
      <name val="¹UAAA¼"/>
      <family val="1"/>
      <charset val="129"/>
    </font>
    <font>
      <b/>
      <sz val="10"/>
      <name val="Helv"/>
      <family val="2"/>
    </font>
    <font>
      <sz val="11"/>
      <name val="굴림체"/>
      <family val="3"/>
      <charset val="129"/>
    </font>
    <font>
      <sz val="1"/>
      <color indexed="8"/>
      <name val="Courier"/>
      <family val="3"/>
    </font>
    <font>
      <i/>
      <sz val="1"/>
      <color indexed="8"/>
      <name val="Courier"/>
      <family val="3"/>
    </font>
    <font>
      <sz val="8"/>
      <name val="Arial"/>
      <family val="2"/>
    </font>
    <font>
      <sz val="10"/>
      <name val="바탕체"/>
      <family val="1"/>
      <charset val="129"/>
    </font>
    <font>
      <b/>
      <sz val="12"/>
      <name val="Helv"/>
      <family val="2"/>
    </font>
    <font>
      <b/>
      <sz val="12"/>
      <name val="Arial"/>
      <family val="2"/>
    </font>
    <font>
      <b/>
      <sz val="10"/>
      <name val="Arial"/>
      <family val="2"/>
    </font>
    <font>
      <b/>
      <sz val="12"/>
      <name val="Tms Rmn"/>
      <family val="1"/>
    </font>
    <font>
      <b/>
      <sz val="8"/>
      <name val="Arial"/>
      <family val="2"/>
    </font>
    <font>
      <b/>
      <sz val="11"/>
      <name val="Helv"/>
      <family val="2"/>
    </font>
    <font>
      <sz val="7"/>
      <name val="Small Fonts"/>
      <family val="2"/>
    </font>
    <font>
      <sz val="10"/>
      <name val="Times New Roman"/>
      <family val="1"/>
    </font>
    <font>
      <sz val="11"/>
      <color indexed="8"/>
      <name val="Times New Roman"/>
      <family val="1"/>
    </font>
    <font>
      <b/>
      <i/>
      <sz val="11"/>
      <color indexed="8"/>
      <name val="Times New Roman"/>
      <family val="1"/>
    </font>
    <font>
      <b/>
      <sz val="11"/>
      <color indexed="16"/>
      <name val="Times New Roman"/>
      <family val="1"/>
    </font>
    <font>
      <b/>
      <sz val="22"/>
      <color indexed="8"/>
      <name val="Times New Roman"/>
      <family val="1"/>
    </font>
    <font>
      <b/>
      <sz val="11"/>
      <name val="Times New Roman"/>
      <family val="1"/>
    </font>
    <font>
      <b/>
      <u/>
      <sz val="13"/>
      <name val="굴림체"/>
      <family val="3"/>
      <charset val="129"/>
    </font>
    <font>
      <sz val="12"/>
      <name val="굴림체"/>
      <family val="3"/>
      <charset val="129"/>
    </font>
    <font>
      <sz val="8"/>
      <color indexed="12"/>
      <name val="Arial"/>
      <family val="2"/>
    </font>
    <font>
      <b/>
      <sz val="1"/>
      <color indexed="8"/>
      <name val="Courier"/>
      <family val="3"/>
    </font>
    <font>
      <sz val="10"/>
      <name val="새바탕"/>
      <family val="1"/>
      <charset val="129"/>
    </font>
    <font>
      <sz val="14"/>
      <name val="뼻뮝"/>
      <family val="3"/>
      <charset val="129"/>
    </font>
    <font>
      <sz val="14"/>
      <name val="ＭＳ 明朝"/>
      <family val="3"/>
      <charset val="255"/>
    </font>
    <font>
      <sz val="10"/>
      <name val="돋움체"/>
      <family val="3"/>
      <charset val="129"/>
    </font>
    <font>
      <sz val="12"/>
      <name val="뼻뮝"/>
      <family val="1"/>
      <charset val="129"/>
    </font>
    <font>
      <b/>
      <sz val="12"/>
      <color indexed="16"/>
      <name val="굴림체"/>
      <family val="3"/>
      <charset val="129"/>
    </font>
    <font>
      <sz val="10"/>
      <color indexed="12"/>
      <name val="굴림체"/>
      <family val="3"/>
      <charset val="129"/>
    </font>
    <font>
      <b/>
      <sz val="12"/>
      <color indexed="8"/>
      <name val="돋움체"/>
      <family val="3"/>
      <charset val="129"/>
    </font>
    <font>
      <sz val="10"/>
      <name val="Helv"/>
      <family val="2"/>
    </font>
    <font>
      <sz val="11"/>
      <name val="ＭＳ Ｐゴシック"/>
      <family val="3"/>
      <charset val="255"/>
    </font>
    <font>
      <sz val="15"/>
      <color theme="1"/>
      <name val="현대 able Regular"/>
      <family val="3"/>
      <charset val="129"/>
    </font>
    <font>
      <sz val="8"/>
      <name val="가는둥근제목체"/>
      <family val="1"/>
      <charset val="129"/>
    </font>
    <font>
      <b/>
      <sz val="9"/>
      <name val="현대 able Regular"/>
      <family val="3"/>
      <charset val="129"/>
    </font>
    <font>
      <sz val="9"/>
      <color rgb="FFFF0000"/>
      <name val="현대 able Regular"/>
      <family val="3"/>
      <charset val="129"/>
    </font>
    <font>
      <sz val="8"/>
      <name val="바탕체"/>
      <family val="1"/>
      <charset val="129"/>
    </font>
    <font>
      <sz val="9"/>
      <color indexed="10"/>
      <name val="현대 able Regular"/>
      <family val="3"/>
      <charset val="129"/>
    </font>
    <font>
      <sz val="11"/>
      <color theme="1"/>
      <name val="현대 able Regular"/>
      <family val="3"/>
      <charset val="129"/>
    </font>
    <font>
      <sz val="9"/>
      <color rgb="FF000000"/>
      <name val="현대 able Regular"/>
      <family val="3"/>
      <charset val="129"/>
    </font>
    <font>
      <sz val="8"/>
      <name val="현대 able Regular"/>
      <family val="3"/>
      <charset val="129"/>
    </font>
    <font>
      <b/>
      <sz val="9"/>
      <color indexed="10"/>
      <name val="현대 able Regular"/>
      <family val="3"/>
      <charset val="129"/>
    </font>
    <font>
      <sz val="9"/>
      <color rgb="FF0000FF"/>
      <name val="현대 able Regular"/>
      <family val="3"/>
      <charset val="129"/>
    </font>
    <font>
      <sz val="15"/>
      <name val="현대 able Regular"/>
      <family val="3"/>
      <charset val="129"/>
    </font>
    <font>
      <sz val="16"/>
      <name val="굵은으뜸체"/>
      <family val="1"/>
      <charset val="129"/>
    </font>
    <font>
      <sz val="12"/>
      <color indexed="8"/>
      <name val="굴림체"/>
      <family val="3"/>
      <charset val="129"/>
    </font>
    <font>
      <b/>
      <sz val="12"/>
      <name val="바탕체"/>
      <family val="1"/>
      <charset val="129"/>
    </font>
    <font>
      <sz val="8"/>
      <color theme="1"/>
      <name val="맑은 고딕"/>
      <family val="2"/>
      <charset val="129"/>
      <scheme val="minor"/>
    </font>
    <font>
      <sz val="11"/>
      <name val="맑은 고딕"/>
      <family val="3"/>
      <charset val="129"/>
      <scheme val="minor"/>
    </font>
    <font>
      <sz val="12"/>
      <color theme="1"/>
      <name val="맑은 고딕"/>
      <family val="3"/>
      <charset val="129"/>
      <scheme val="major"/>
    </font>
    <font>
      <sz val="11"/>
      <color theme="0"/>
      <name val="맑은 고딕"/>
      <family val="3"/>
      <charset val="129"/>
      <scheme val="minor"/>
    </font>
    <font>
      <b/>
      <sz val="9"/>
      <name val="맑은 고딕"/>
      <family val="3"/>
      <charset val="129"/>
    </font>
    <font>
      <sz val="9"/>
      <name val="맑은 고딕"/>
      <family val="3"/>
      <charset val="129"/>
    </font>
    <font>
      <b/>
      <sz val="11"/>
      <name val="맑은 고딕"/>
      <family val="3"/>
      <charset val="129"/>
      <scheme val="minor"/>
    </font>
    <font>
      <b/>
      <sz val="18"/>
      <name val="맑은 고딕"/>
      <family val="3"/>
      <charset val="129"/>
      <scheme val="minor"/>
    </font>
    <font>
      <sz val="10"/>
      <name val="맑은 고딕"/>
      <family val="3"/>
      <charset val="129"/>
    </font>
    <font>
      <sz val="9"/>
      <color indexed="81"/>
      <name val="돋움"/>
      <family val="3"/>
      <charset val="129"/>
    </font>
    <font>
      <sz val="9"/>
      <color indexed="81"/>
      <name val="Tahoma"/>
      <family val="2"/>
    </font>
    <font>
      <b/>
      <sz val="9"/>
      <color indexed="81"/>
      <name val="Tahoma"/>
      <family val="2"/>
    </font>
    <font>
      <b/>
      <sz val="10"/>
      <name val="맑은 고딕"/>
      <family val="3"/>
      <charset val="129"/>
    </font>
    <font>
      <b/>
      <sz val="10"/>
      <color rgb="FFFF0000"/>
      <name val="맑은 고딕"/>
      <family val="3"/>
      <charset val="129"/>
    </font>
    <font>
      <sz val="11"/>
      <name val="돋?o"/>
      <family val="3"/>
      <charset val="129"/>
    </font>
    <font>
      <sz val="12"/>
      <name val="?UAAA?"/>
      <family val="1"/>
    </font>
    <font>
      <sz val="11"/>
      <name val="??o"/>
      <family val="1"/>
    </font>
    <font>
      <sz val="12"/>
      <name val="??oA?"/>
      <family val="2"/>
      <charset val="204"/>
    </font>
    <font>
      <sz val="10"/>
      <name val="±¼¸²A¼"/>
      <family val="3"/>
      <charset val="129"/>
    </font>
    <font>
      <sz val="10"/>
      <name val="PragmaticaCTT"/>
      <family val="1"/>
    </font>
    <font>
      <u/>
      <sz val="9"/>
      <color indexed="36"/>
      <name val="바탕체"/>
      <family val="1"/>
      <charset val="129"/>
    </font>
    <font>
      <sz val="11"/>
      <color indexed="8"/>
      <name val="맑은 고딕"/>
      <family val="3"/>
      <charset val="129"/>
    </font>
    <font>
      <sz val="11"/>
      <color rgb="FFFA7D00"/>
      <name val="맑은 고딕"/>
      <family val="3"/>
      <charset val="129"/>
      <scheme val="minor"/>
    </font>
    <font>
      <b/>
      <sz val="10"/>
      <color theme="1"/>
      <name val="맑은 고딕"/>
      <family val="3"/>
      <charset val="129"/>
    </font>
    <font>
      <b/>
      <sz val="10"/>
      <name val="맑은 고딕"/>
      <family val="2"/>
      <charset val="129"/>
    </font>
    <font>
      <sz val="11"/>
      <name val="맑은 고딕"/>
      <family val="3"/>
      <charset val="129"/>
    </font>
    <font>
      <sz val="9"/>
      <name val="나눔고딕"/>
      <family val="3"/>
      <charset val="129"/>
    </font>
    <font>
      <u/>
      <sz val="11"/>
      <color indexed="12"/>
      <name val="돋움"/>
      <family val="3"/>
      <charset val="129"/>
    </font>
    <font>
      <sz val="10"/>
      <color theme="1"/>
      <name val="맑은 고딕"/>
      <family val="3"/>
      <charset val="129"/>
    </font>
    <font>
      <b/>
      <u/>
      <sz val="18"/>
      <color rgb="FFFF0000"/>
      <name val="맑은 고딕"/>
      <family val="3"/>
      <charset val="129"/>
      <scheme val="minor"/>
    </font>
    <font>
      <sz val="10"/>
      <color rgb="FFFF0000"/>
      <name val="맑은 고딕"/>
      <family val="3"/>
      <charset val="129"/>
    </font>
    <font>
      <sz val="11"/>
      <color rgb="FF000000"/>
      <name val="맑은 고딕"/>
      <family val="3"/>
      <charset val="129"/>
      <scheme val="minor"/>
    </font>
    <font>
      <sz val="11"/>
      <color rgb="FF000000"/>
      <name val="맑은 고딕"/>
      <family val="3"/>
      <charset val="129"/>
    </font>
    <font>
      <b/>
      <sz val="11"/>
      <color rgb="FF000000"/>
      <name val="맑은 고딕"/>
      <family val="3"/>
      <charset val="129"/>
      <scheme val="minor"/>
    </font>
    <font>
      <sz val="8"/>
      <color theme="1"/>
      <name val="맑은 고딕"/>
      <family val="3"/>
      <charset val="129"/>
      <scheme val="minor"/>
    </font>
    <font>
      <sz val="9"/>
      <color theme="1"/>
      <name val="맑은 고딕"/>
      <family val="3"/>
      <charset val="129"/>
      <scheme val="minor"/>
    </font>
    <font>
      <sz val="8"/>
      <color theme="1"/>
      <name val="맑은 고딕"/>
      <family val="3"/>
      <charset val="129"/>
    </font>
    <font>
      <sz val="8"/>
      <name val="맑은 고딕"/>
      <family val="3"/>
      <charset val="129"/>
      <scheme val="minor"/>
    </font>
    <font>
      <b/>
      <sz val="8"/>
      <color theme="1"/>
      <name val="맑은 고딕"/>
      <family val="3"/>
      <charset val="129"/>
      <scheme val="minor"/>
    </font>
    <font>
      <b/>
      <sz val="8"/>
      <name val="맑은 고딕"/>
      <family val="3"/>
      <charset val="129"/>
      <scheme val="minor"/>
    </font>
    <font>
      <b/>
      <sz val="12"/>
      <color theme="1"/>
      <name val="맑은 고딕"/>
      <family val="3"/>
      <charset val="129"/>
      <scheme val="minor"/>
    </font>
    <font>
      <sz val="11"/>
      <color rgb="FF000000"/>
      <name val="맑은 고딕"/>
      <family val="2"/>
      <charset val="129"/>
      <scheme val="minor"/>
    </font>
    <font>
      <b/>
      <sz val="12"/>
      <color indexed="81"/>
      <name val="Tahoma"/>
      <family val="2"/>
    </font>
    <font>
      <b/>
      <sz val="12"/>
      <color indexed="81"/>
      <name val="돋움"/>
      <family val="3"/>
      <charset val="129"/>
    </font>
    <font>
      <b/>
      <sz val="14"/>
      <color indexed="81"/>
      <name val="Tahoma"/>
      <family val="2"/>
    </font>
    <font>
      <b/>
      <sz val="14"/>
      <color indexed="81"/>
      <name val="돋움"/>
      <family val="3"/>
      <charset val="129"/>
    </font>
    <font>
      <sz val="11"/>
      <color rgb="FF0000FF"/>
      <name val="맑은 고딕"/>
      <family val="2"/>
      <charset val="129"/>
      <scheme val="minor"/>
    </font>
    <font>
      <sz val="11"/>
      <color rgb="FF0000FF"/>
      <name val="맑은 고딕"/>
      <family val="3"/>
      <charset val="129"/>
      <scheme val="minor"/>
    </font>
    <font>
      <sz val="10"/>
      <color rgb="FF0000FF"/>
      <name val="맑은 고딕"/>
      <family val="3"/>
      <charset val="129"/>
      <scheme val="minor"/>
    </font>
    <font>
      <b/>
      <u/>
      <sz val="10"/>
      <name val="맑은 고딕"/>
      <family val="3"/>
      <charset val="129"/>
      <scheme val="major"/>
    </font>
    <font>
      <sz val="9"/>
      <name val="Arial"/>
      <family val="2"/>
    </font>
    <font>
      <sz val="10"/>
      <name val="맑은 고딕"/>
      <family val="3"/>
      <charset val="129"/>
      <scheme val="major"/>
    </font>
    <font>
      <sz val="10"/>
      <color rgb="FFC00000"/>
      <name val="맑은 고딕"/>
      <family val="3"/>
      <charset val="129"/>
      <scheme val="minor"/>
    </font>
    <font>
      <sz val="9"/>
      <name val="돋움"/>
      <family val="3"/>
      <charset val="129"/>
    </font>
    <font>
      <b/>
      <sz val="9"/>
      <name val="Arial"/>
      <family val="2"/>
    </font>
    <font>
      <b/>
      <sz val="9"/>
      <name val="돋움"/>
      <family val="3"/>
      <charset val="129"/>
    </font>
    <font>
      <u/>
      <sz val="11"/>
      <color theme="10"/>
      <name val="맑은 고딕"/>
      <family val="2"/>
      <charset val="129"/>
      <scheme val="minor"/>
    </font>
    <font>
      <b/>
      <sz val="11"/>
      <color rgb="FF0070C0"/>
      <name val="맑은 고딕"/>
      <family val="3"/>
      <charset val="129"/>
      <scheme val="minor"/>
    </font>
    <font>
      <sz val="14"/>
      <color theme="1"/>
      <name val="맑은 고딕"/>
      <family val="2"/>
      <charset val="129"/>
      <scheme val="minor"/>
    </font>
    <font>
      <sz val="8"/>
      <color rgb="FFFF0000"/>
      <name val="맑은 고딕"/>
      <family val="3"/>
      <charset val="129"/>
      <scheme val="minor"/>
    </font>
    <font>
      <b/>
      <sz val="11"/>
      <color rgb="FFFF0000"/>
      <name val="맑은 고딕"/>
      <family val="3"/>
      <charset val="129"/>
    </font>
    <font>
      <sz val="14"/>
      <color rgb="FF000000"/>
      <name val="HY헤드라인M"/>
      <family val="1"/>
      <charset val="129"/>
    </font>
    <font>
      <sz val="10"/>
      <color theme="1"/>
      <name val="맑은 고딕"/>
      <family val="2"/>
      <charset val="129"/>
    </font>
    <font>
      <b/>
      <sz val="10"/>
      <color theme="1"/>
      <name val="맑은 고딕"/>
      <family val="2"/>
      <charset val="129"/>
    </font>
    <font>
      <b/>
      <sz val="11"/>
      <color indexed="81"/>
      <name val="돋움"/>
      <family val="3"/>
      <charset val="129"/>
    </font>
    <font>
      <b/>
      <sz val="11"/>
      <color indexed="81"/>
      <name val="Tahoma"/>
      <family val="2"/>
    </font>
    <font>
      <b/>
      <sz val="16"/>
      <color rgb="FF000000"/>
      <name val="맑은 고딕"/>
      <family val="3"/>
      <charset val="129"/>
    </font>
    <font>
      <sz val="11"/>
      <color theme="0"/>
      <name val="맑은 고딕"/>
      <family val="2"/>
      <charset val="129"/>
      <scheme val="minor"/>
    </font>
    <font>
      <sz val="11"/>
      <name val="맑은 고딕"/>
      <family val="2"/>
      <charset val="129"/>
      <scheme val="minor"/>
    </font>
    <font>
      <sz val="9"/>
      <color theme="1"/>
      <name val="맑은 고딕"/>
      <family val="2"/>
      <charset val="129"/>
      <scheme val="minor"/>
    </font>
    <font>
      <sz val="8"/>
      <color theme="1"/>
      <name val="맑은 고딕"/>
      <family val="2"/>
      <charset val="129"/>
    </font>
    <font>
      <b/>
      <u/>
      <sz val="8"/>
      <color rgb="FFFF0000"/>
      <name val="맑은 고딕"/>
      <family val="3"/>
      <charset val="129"/>
      <scheme val="minor"/>
    </font>
    <font>
      <sz val="9"/>
      <color theme="1"/>
      <name val="맑은 고딕"/>
      <family val="3"/>
      <charset val="129"/>
    </font>
  </fonts>
  <fills count="57">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0" tint="-0.14999847407452621"/>
        <bgColor indexed="64"/>
      </patternFill>
    </fill>
    <fill>
      <patternFill patternType="solid">
        <fgColor indexed="9"/>
        <bgColor indexed="64"/>
      </patternFill>
    </fill>
    <fill>
      <patternFill patternType="solid">
        <fgColor theme="0" tint="-4.9989318521683403E-2"/>
        <bgColor indexed="64"/>
      </patternFill>
    </fill>
    <fill>
      <patternFill patternType="solid">
        <fgColor rgb="FFD8D8D8"/>
        <bgColor indexed="64"/>
      </patternFill>
    </fill>
    <fill>
      <patternFill patternType="solid">
        <fgColor rgb="FFF3EFE4"/>
        <bgColor indexed="64"/>
      </patternFill>
    </fill>
    <fill>
      <patternFill patternType="solid">
        <fgColor theme="7" tint="0.79998168889431442"/>
        <bgColor rgb="FF000000"/>
      </patternFill>
    </fill>
    <fill>
      <patternFill patternType="solid">
        <fgColor rgb="FFD9D9D9"/>
        <bgColor indexed="64"/>
      </patternFill>
    </fill>
    <fill>
      <patternFill patternType="solid">
        <fgColor rgb="FFFFFFFF"/>
        <bgColor indexed="64"/>
      </patternFill>
    </fill>
    <fill>
      <patternFill patternType="solid">
        <fgColor rgb="FFC75252"/>
        <bgColor indexed="64"/>
      </patternFill>
    </fill>
    <fill>
      <patternFill patternType="solid">
        <fgColor theme="5"/>
        <bgColor indexed="64"/>
      </patternFill>
    </fill>
    <fill>
      <patternFill patternType="solid">
        <fgColor rgb="FFE9AE2B"/>
        <bgColor indexed="64"/>
      </patternFill>
    </fill>
    <fill>
      <patternFill patternType="solid">
        <fgColor theme="9"/>
        <bgColor indexed="64"/>
      </patternFill>
    </fill>
    <fill>
      <patternFill patternType="solid">
        <fgColor rgb="FF699B37"/>
        <bgColor indexed="64"/>
      </patternFill>
    </fill>
    <fill>
      <patternFill patternType="solid">
        <fgColor theme="7"/>
        <bgColor indexed="64"/>
      </patternFill>
    </fill>
    <fill>
      <patternFill patternType="solid">
        <fgColor rgb="FFCCCCCC"/>
        <bgColor indexed="64"/>
      </patternFill>
    </fill>
    <fill>
      <patternFill patternType="solid">
        <fgColor theme="3" tint="-0.249977111117893"/>
        <bgColor indexed="64"/>
      </patternFill>
    </fill>
    <fill>
      <patternFill patternType="solid">
        <fgColor theme="6" tint="-0.249977111117893"/>
        <bgColor indexed="64"/>
      </patternFill>
    </fill>
    <fill>
      <patternFill patternType="solid">
        <fgColor theme="4" tint="0.59999389629810485"/>
        <bgColor indexed="64"/>
      </patternFill>
    </fill>
    <fill>
      <patternFill patternType="solid">
        <fgColor rgb="FF0070C0"/>
        <bgColor indexed="64"/>
      </patternFill>
    </fill>
    <fill>
      <patternFill patternType="solid">
        <fgColor theme="8" tint="0.59999389629810485"/>
        <bgColor indexed="64"/>
      </patternFill>
    </fill>
    <fill>
      <patternFill patternType="solid">
        <fgColor theme="5" tint="0.59999389629810485"/>
        <bgColor indexed="64"/>
      </patternFill>
    </fill>
    <fill>
      <patternFill patternType="solid">
        <fgColor theme="9" tint="0.59999389629810485"/>
        <bgColor indexed="64"/>
      </patternFill>
    </fill>
    <fill>
      <patternFill patternType="solid">
        <fgColor theme="0" tint="-0.249977111117893"/>
        <bgColor indexed="64"/>
      </patternFill>
    </fill>
    <fill>
      <patternFill patternType="solid">
        <fgColor theme="0" tint="-0.34998626667073579"/>
        <bgColor indexed="64"/>
      </patternFill>
    </fill>
    <fill>
      <patternFill patternType="solid">
        <fgColor theme="8"/>
        <bgColor indexed="64"/>
      </patternFill>
    </fill>
    <fill>
      <patternFill patternType="solid">
        <fgColor theme="2" tint="-9.9978637043366805E-2"/>
        <bgColor indexed="64"/>
      </patternFill>
    </fill>
    <fill>
      <patternFill patternType="solid">
        <fgColor theme="9" tint="0.39997558519241921"/>
        <bgColor indexed="64"/>
      </patternFill>
    </fill>
    <fill>
      <patternFill patternType="solid">
        <fgColor theme="7" tint="0.59999389629810485"/>
        <bgColor indexed="64"/>
      </patternFill>
    </fill>
    <fill>
      <patternFill patternType="solid">
        <fgColor rgb="FFFFC000"/>
        <bgColor indexed="64"/>
      </patternFill>
    </fill>
    <fill>
      <patternFill patternType="solid">
        <fgColor theme="4" tint="0.39997558519241921"/>
        <bgColor indexed="64"/>
      </patternFill>
    </fill>
    <fill>
      <patternFill patternType="solid">
        <fgColor theme="7" tint="0.39997558519241921"/>
        <bgColor indexed="64"/>
      </patternFill>
    </fill>
    <fill>
      <patternFill patternType="solid">
        <fgColor theme="5" tint="0.39997558519241921"/>
        <bgColor indexed="64"/>
      </patternFill>
    </fill>
    <fill>
      <patternFill patternType="solid">
        <fgColor theme="2" tint="-0.249977111117893"/>
        <bgColor indexed="64"/>
      </patternFill>
    </fill>
    <fill>
      <patternFill patternType="solid">
        <fgColor theme="2" tint="-0.499984740745262"/>
        <bgColor indexed="64"/>
      </patternFill>
    </fill>
    <fill>
      <patternFill patternType="solid">
        <fgColor rgb="FF7030A0"/>
        <bgColor indexed="64"/>
      </patternFill>
    </fill>
    <fill>
      <patternFill patternType="solid">
        <fgColor theme="7" tint="-0.249977111117893"/>
        <bgColor indexed="64"/>
      </patternFill>
    </fill>
    <fill>
      <patternFill patternType="solid">
        <fgColor rgb="FFD8A9EB"/>
        <bgColor indexed="64"/>
      </patternFill>
    </fill>
    <fill>
      <patternFill patternType="solid">
        <fgColor rgb="FFF1F3A1"/>
        <bgColor indexed="64"/>
      </patternFill>
    </fill>
    <fill>
      <patternFill patternType="solid">
        <fgColor theme="4"/>
        <bgColor indexed="64"/>
      </patternFill>
    </fill>
    <fill>
      <patternFill patternType="solid">
        <fgColor theme="5" tint="0.79998168889431442"/>
        <bgColor indexed="64"/>
      </patternFill>
    </fill>
    <fill>
      <patternFill patternType="solid">
        <fgColor rgb="FFFF0000"/>
        <bgColor indexed="64"/>
      </patternFill>
    </fill>
    <fill>
      <patternFill patternType="solid">
        <fgColor theme="5" tint="-0.249977111117893"/>
        <bgColor indexed="64"/>
      </patternFill>
    </fill>
    <fill>
      <patternFill patternType="solid">
        <fgColor theme="4" tint="-0.249977111117893"/>
        <bgColor indexed="64"/>
      </patternFill>
    </fill>
    <fill>
      <patternFill patternType="solid">
        <fgColor theme="8" tint="-0.249977111117893"/>
        <bgColor indexed="64"/>
      </patternFill>
    </fill>
    <fill>
      <patternFill patternType="solid">
        <fgColor theme="9" tint="-0.249977111117893"/>
        <bgColor indexed="64"/>
      </patternFill>
    </fill>
    <fill>
      <patternFill patternType="solid">
        <fgColor rgb="FFED7D31"/>
        <bgColor indexed="64"/>
      </patternFill>
    </fill>
    <fill>
      <patternFill patternType="solid">
        <fgColor rgb="FF70AD47"/>
        <bgColor indexed="64"/>
      </patternFill>
    </fill>
    <fill>
      <patternFill patternType="solid">
        <fgColor rgb="FFC65911"/>
        <bgColor indexed="64"/>
      </patternFill>
    </fill>
  </fills>
  <borders count="217">
    <border>
      <left/>
      <right/>
      <top/>
      <bottom/>
      <diagonal/>
    </border>
    <border>
      <left style="thin">
        <color indexed="64"/>
      </left>
      <right/>
      <top style="thin">
        <color indexed="64"/>
      </top>
      <bottom/>
      <diagonal/>
    </border>
    <border>
      <left/>
      <right/>
      <top style="thin">
        <color indexed="64"/>
      </top>
      <bottom/>
      <diagonal/>
    </border>
    <border>
      <left style="hair">
        <color indexed="64"/>
      </left>
      <right style="hair">
        <color indexed="64"/>
      </right>
      <top style="thin">
        <color indexed="64"/>
      </top>
      <bottom style="hair">
        <color indexed="64"/>
      </bottom>
      <diagonal/>
    </border>
    <border>
      <left style="hair">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bottom/>
      <diagonal/>
    </border>
    <border>
      <left/>
      <right style="hair">
        <color indexed="64"/>
      </right>
      <top/>
      <bottom/>
      <diagonal/>
    </border>
    <border>
      <left style="hair">
        <color indexed="64"/>
      </left>
      <right style="hair">
        <color indexed="64"/>
      </right>
      <top style="hair">
        <color indexed="64"/>
      </top>
      <bottom style="hair">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style="thin">
        <color indexed="64"/>
      </left>
      <right/>
      <top/>
      <bottom style="thin">
        <color indexed="64"/>
      </bottom>
      <diagonal/>
    </border>
    <border>
      <left/>
      <right/>
      <top/>
      <bottom style="thin">
        <color indexed="64"/>
      </bottom>
      <diagonal/>
    </border>
    <border>
      <left style="hair">
        <color indexed="64"/>
      </left>
      <right style="hair">
        <color indexed="64"/>
      </right>
      <top style="hair">
        <color indexed="64"/>
      </top>
      <bottom style="thin">
        <color indexed="64"/>
      </bottom>
      <diagonal/>
    </border>
    <border>
      <left/>
      <right style="hair">
        <color indexed="64"/>
      </right>
      <top style="hair">
        <color indexed="64"/>
      </top>
      <bottom style="thin">
        <color indexed="64"/>
      </bottom>
      <diagonal/>
    </border>
    <border>
      <left style="hair">
        <color indexed="64"/>
      </left>
      <right style="thin">
        <color indexed="64"/>
      </right>
      <top style="hair">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bottom/>
      <diagonal/>
    </border>
    <border>
      <left/>
      <right style="dotted">
        <color indexed="64"/>
      </right>
      <top style="dotted">
        <color indexed="64"/>
      </top>
      <bottom style="dotted">
        <color indexed="64"/>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hair">
        <color indexed="64"/>
      </right>
      <top style="thin">
        <color indexed="64"/>
      </top>
      <bottom style="hair">
        <color indexed="64"/>
      </bottom>
      <diagonal/>
    </border>
    <border>
      <left style="hair">
        <color indexed="64"/>
      </left>
      <right style="thin">
        <color indexed="64"/>
      </right>
      <top style="thin">
        <color indexed="64"/>
      </top>
      <bottom style="hair">
        <color indexed="64"/>
      </bottom>
      <diagonal/>
    </border>
    <border>
      <left style="thin">
        <color indexed="64"/>
      </left>
      <right/>
      <top style="thin">
        <color indexed="64"/>
      </top>
      <bottom style="hair">
        <color indexed="64"/>
      </bottom>
      <diagonal/>
    </border>
    <border>
      <left style="thin">
        <color indexed="64"/>
      </left>
      <right style="thin">
        <color indexed="64"/>
      </right>
      <top style="thin">
        <color indexed="64"/>
      </top>
      <bottom style="thin">
        <color indexed="64"/>
      </bottom>
      <diagonal/>
    </border>
    <border>
      <left style="thin">
        <color indexed="64"/>
      </left>
      <right style="hair">
        <color indexed="64"/>
      </right>
      <top style="hair">
        <color indexed="64"/>
      </top>
      <bottom style="thin">
        <color indexed="64"/>
      </bottom>
      <diagonal/>
    </border>
    <border>
      <left style="thin">
        <color indexed="64"/>
      </left>
      <right style="thin">
        <color indexed="64"/>
      </right>
      <top style="hair">
        <color indexed="64"/>
      </top>
      <bottom style="thin">
        <color indexed="64"/>
      </bottom>
      <diagonal/>
    </border>
    <border>
      <left style="hair">
        <color indexed="64"/>
      </left>
      <right style="hair">
        <color indexed="64"/>
      </right>
      <top/>
      <bottom style="thin">
        <color indexed="64"/>
      </bottom>
      <diagonal/>
    </border>
    <border>
      <left style="hair">
        <color indexed="64"/>
      </left>
      <right style="thin">
        <color indexed="64"/>
      </right>
      <top/>
      <bottom style="thin">
        <color indexed="64"/>
      </bottom>
      <diagonal/>
    </border>
    <border>
      <left/>
      <right style="thin">
        <color indexed="64"/>
      </right>
      <top style="hair">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hair">
        <color indexed="64"/>
      </top>
      <bottom style="hair">
        <color indexed="64"/>
      </bottom>
      <diagonal/>
    </border>
    <border>
      <left style="thin">
        <color indexed="64"/>
      </left>
      <right style="hair">
        <color indexed="64"/>
      </right>
      <top/>
      <bottom style="hair">
        <color indexed="64"/>
      </bottom>
      <diagonal/>
    </border>
    <border>
      <left style="hair">
        <color indexed="64"/>
      </left>
      <right style="thin">
        <color indexed="64"/>
      </right>
      <top/>
      <bottom style="hair">
        <color indexed="64"/>
      </bottom>
      <diagonal/>
    </border>
    <border>
      <left style="thin">
        <color indexed="64"/>
      </left>
      <right style="thin">
        <color indexed="64"/>
      </right>
      <top/>
      <bottom style="hair">
        <color indexed="64"/>
      </bottom>
      <diagonal/>
    </border>
    <border>
      <left/>
      <right style="thin">
        <color indexed="64"/>
      </right>
      <top/>
      <bottom style="hair">
        <color indexed="64"/>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bottom style="thin">
        <color indexed="64"/>
      </bottom>
      <diagonal/>
    </border>
    <border>
      <left style="thin">
        <color indexed="64"/>
      </left>
      <right/>
      <top style="thin">
        <color indexed="64"/>
      </top>
      <bottom style="thin">
        <color indexed="64"/>
      </bottom>
      <diagonal/>
    </border>
    <border>
      <left/>
      <right style="thin">
        <color indexed="64"/>
      </right>
      <top/>
      <bottom/>
      <diagonal/>
    </border>
    <border>
      <left style="thin">
        <color indexed="64"/>
      </left>
      <right/>
      <top/>
      <bottom style="hair">
        <color indexed="64"/>
      </bottom>
      <diagonal/>
    </border>
    <border>
      <left style="hair">
        <color indexed="64"/>
      </left>
      <right style="hair">
        <color indexed="64"/>
      </right>
      <top/>
      <bottom style="hair">
        <color indexed="64"/>
      </bottom>
      <diagonal/>
    </border>
    <border>
      <left/>
      <right/>
      <top/>
      <bottom style="medium">
        <color indexed="64"/>
      </bottom>
      <diagonal/>
    </border>
    <border>
      <left style="medium">
        <color indexed="64"/>
      </left>
      <right/>
      <top style="medium">
        <color indexed="64"/>
      </top>
      <bottom style="medium">
        <color indexed="64"/>
      </bottom>
      <diagonal/>
    </border>
    <border>
      <left style="medium">
        <color indexed="64"/>
      </left>
      <right/>
      <top style="medium">
        <color indexed="64"/>
      </top>
      <bottom/>
      <diagonal/>
    </border>
    <border>
      <left/>
      <right style="hair">
        <color indexed="64"/>
      </right>
      <top/>
      <bottom style="hair">
        <color indexed="64"/>
      </bottom>
      <diagonal/>
    </border>
    <border>
      <left style="dotted">
        <color indexed="64"/>
      </left>
      <right style="dotted">
        <color indexed="64"/>
      </right>
      <top style="dotted">
        <color indexed="64"/>
      </top>
      <bottom style="dotted">
        <color indexed="64"/>
      </bottom>
      <diagonal/>
    </border>
    <border>
      <left style="dotted">
        <color indexed="64"/>
      </left>
      <right/>
      <top style="dotted">
        <color indexed="64"/>
      </top>
      <bottom style="dotted">
        <color indexed="64"/>
      </bottom>
      <diagonal/>
    </border>
    <border>
      <left style="thin">
        <color rgb="FF000000"/>
      </left>
      <right style="thin">
        <color rgb="FF000000"/>
      </right>
      <top style="thin">
        <color rgb="FF000000"/>
      </top>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right style="thin">
        <color rgb="FF000000"/>
      </right>
      <top style="thin">
        <color rgb="FF000000"/>
      </top>
      <bottom style="thin">
        <color rgb="FF000000"/>
      </bottom>
      <diagonal/>
    </border>
    <border>
      <left/>
      <right/>
      <top style="thin">
        <color rgb="FF000000"/>
      </top>
      <bottom style="thin">
        <color rgb="FF000000"/>
      </bottom>
      <diagonal/>
    </border>
    <border>
      <left style="thin">
        <color rgb="FF000000"/>
      </left>
      <right style="thin">
        <color rgb="FF000000"/>
      </right>
      <top/>
      <bottom/>
      <diagonal/>
    </border>
    <border>
      <left style="thin">
        <color rgb="FF000000"/>
      </left>
      <right style="thick">
        <color rgb="FF000000"/>
      </right>
      <top style="thin">
        <color rgb="FF000000"/>
      </top>
      <bottom style="thin">
        <color rgb="FF000000"/>
      </bottom>
      <diagonal/>
    </border>
    <border>
      <left style="thick">
        <color rgb="FF000000"/>
      </left>
      <right style="thick">
        <color rgb="FF000000"/>
      </right>
      <top style="thick">
        <color rgb="FF000000"/>
      </top>
      <bottom style="thin">
        <color rgb="FF000000"/>
      </bottom>
      <diagonal/>
    </border>
    <border>
      <left style="thick">
        <color rgb="FF000000"/>
      </left>
      <right style="thin">
        <color rgb="FF000000"/>
      </right>
      <top style="thin">
        <color rgb="FF000000"/>
      </top>
      <bottom style="thin">
        <color rgb="FF000000"/>
      </bottom>
      <diagonal/>
    </border>
    <border>
      <left style="thick">
        <color rgb="FF000000"/>
      </left>
      <right style="thick">
        <color rgb="FF000000"/>
      </right>
      <top style="thin">
        <color rgb="FF000000"/>
      </top>
      <bottom style="thin">
        <color rgb="FF000000"/>
      </bottom>
      <diagonal/>
    </border>
    <border>
      <left style="thick">
        <color rgb="FF000000"/>
      </left>
      <right style="thick">
        <color rgb="FF000000"/>
      </right>
      <top style="thin">
        <color rgb="FF000000"/>
      </top>
      <bottom style="thick">
        <color rgb="FF000000"/>
      </bottom>
      <diagonal/>
    </border>
    <border>
      <left style="dotted">
        <color indexed="64"/>
      </left>
      <right style="dotted">
        <color indexed="64"/>
      </right>
      <top/>
      <bottom style="dotted">
        <color indexed="64"/>
      </bottom>
      <diagonal/>
    </border>
    <border>
      <left style="dotted">
        <color indexed="64"/>
      </left>
      <right style="thin">
        <color indexed="64"/>
      </right>
      <top style="thin">
        <color indexed="64"/>
      </top>
      <bottom style="dotted">
        <color indexed="64"/>
      </bottom>
      <diagonal/>
    </border>
    <border>
      <left style="thin">
        <color indexed="64"/>
      </left>
      <right style="dotted">
        <color indexed="64"/>
      </right>
      <top style="dotted">
        <color indexed="64"/>
      </top>
      <bottom style="dotted">
        <color indexed="64"/>
      </bottom>
      <diagonal/>
    </border>
    <border>
      <left style="dotted">
        <color indexed="64"/>
      </left>
      <right style="thin">
        <color indexed="64"/>
      </right>
      <top style="dotted">
        <color indexed="64"/>
      </top>
      <bottom style="dotted">
        <color indexed="64"/>
      </bottom>
      <diagonal/>
    </border>
    <border>
      <left style="thin">
        <color indexed="64"/>
      </left>
      <right style="dotted">
        <color indexed="64"/>
      </right>
      <top style="dotted">
        <color indexed="64"/>
      </top>
      <bottom style="thin">
        <color indexed="64"/>
      </bottom>
      <diagonal/>
    </border>
    <border>
      <left style="dotted">
        <color indexed="64"/>
      </left>
      <right style="dotted">
        <color indexed="64"/>
      </right>
      <top style="dotted">
        <color indexed="64"/>
      </top>
      <bottom style="thin">
        <color indexed="64"/>
      </bottom>
      <diagonal/>
    </border>
    <border>
      <left style="dotted">
        <color indexed="64"/>
      </left>
      <right style="thin">
        <color indexed="64"/>
      </right>
      <top style="dotted">
        <color indexed="64"/>
      </top>
      <bottom style="thin">
        <color indexed="64"/>
      </bottom>
      <diagonal/>
    </border>
    <border>
      <left/>
      <right style="dotted">
        <color indexed="64"/>
      </right>
      <top/>
      <bottom style="dotted">
        <color indexed="64"/>
      </bottom>
      <diagonal/>
    </border>
    <border>
      <left style="dotted">
        <color indexed="64"/>
      </left>
      <right/>
      <top style="dotted">
        <color indexed="64"/>
      </top>
      <bottom style="thin">
        <color indexed="64"/>
      </bottom>
      <diagonal/>
    </border>
    <border>
      <left/>
      <right style="thin">
        <color indexed="64"/>
      </right>
      <top style="dotted">
        <color indexed="64"/>
      </top>
      <bottom style="dotted">
        <color indexed="64"/>
      </bottom>
      <diagonal/>
    </border>
    <border>
      <left style="thin">
        <color indexed="64"/>
      </left>
      <right style="dotted">
        <color indexed="64"/>
      </right>
      <top/>
      <bottom style="dotted">
        <color indexed="64"/>
      </bottom>
      <diagonal/>
    </border>
    <border>
      <left style="dotted">
        <color indexed="64"/>
      </left>
      <right style="thin">
        <color indexed="64"/>
      </right>
      <top/>
      <bottom style="dotted">
        <color indexed="64"/>
      </bottom>
      <diagonal/>
    </border>
    <border>
      <left/>
      <right style="dotted">
        <color indexed="64"/>
      </right>
      <top style="dotted">
        <color indexed="64"/>
      </top>
      <bottom style="thin">
        <color indexed="64"/>
      </bottom>
      <diagonal/>
    </border>
    <border>
      <left style="dotted">
        <color indexed="64"/>
      </left>
      <right/>
      <top/>
      <bottom style="dotted">
        <color indexed="64"/>
      </bottom>
      <diagonal/>
    </border>
    <border>
      <left style="dotted">
        <color indexed="64"/>
      </left>
      <right style="dotted">
        <color indexed="64"/>
      </right>
      <top style="thin">
        <color indexed="64"/>
      </top>
      <bottom style="thin">
        <color indexed="64"/>
      </bottom>
      <diagonal/>
    </border>
    <border>
      <left style="thin">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right style="thin">
        <color theme="0" tint="-0.499984740745262"/>
      </right>
      <top style="thick">
        <color theme="0" tint="-0.499984740745262"/>
      </top>
      <bottom style="thin">
        <color theme="0" tint="-0.499984740745262"/>
      </bottom>
      <diagonal/>
    </border>
    <border>
      <left style="thin">
        <color theme="0" tint="-0.499984740745262"/>
      </left>
      <right style="thin">
        <color theme="0" tint="-0.499984740745262"/>
      </right>
      <top style="thick">
        <color theme="0" tint="-0.499984740745262"/>
      </top>
      <bottom style="thin">
        <color theme="0" tint="-0.499984740745262"/>
      </bottom>
      <diagonal/>
    </border>
    <border>
      <left style="thin">
        <color theme="0" tint="-0.499984740745262"/>
      </left>
      <right/>
      <top style="thick">
        <color theme="0" tint="-0.499984740745262"/>
      </top>
      <bottom style="thin">
        <color theme="0" tint="-0.499984740745262"/>
      </bottom>
      <diagonal/>
    </border>
    <border>
      <left style="medium">
        <color auto="1"/>
      </left>
      <right/>
      <top/>
      <bottom/>
      <diagonal/>
    </border>
    <border>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top style="thin">
        <color theme="0" tint="-0.499984740745262"/>
      </top>
      <bottom style="thin">
        <color theme="0" tint="-0.499984740745262"/>
      </bottom>
      <diagonal/>
    </border>
    <border>
      <left/>
      <right/>
      <top style="thin">
        <color theme="0" tint="-0.499984740745262"/>
      </top>
      <bottom style="thin">
        <color theme="0" tint="-0.499984740745262"/>
      </bottom>
      <diagonal/>
    </border>
    <border>
      <left/>
      <right/>
      <top style="medium">
        <color indexed="64"/>
      </top>
      <bottom style="medium">
        <color indexed="64"/>
      </bottom>
      <diagonal/>
    </border>
    <border>
      <left/>
      <right/>
      <top style="double">
        <color indexed="64"/>
      </top>
      <bottom/>
      <diagonal/>
    </border>
    <border>
      <left/>
      <right style="thin">
        <color theme="0" tint="-0.499984740745262"/>
      </right>
      <top style="thick">
        <color theme="0" tint="-0.499984740745262"/>
      </top>
      <bottom/>
      <diagonal/>
    </border>
    <border>
      <left/>
      <right/>
      <top style="thick">
        <color theme="0" tint="-0.499984740745262"/>
      </top>
      <bottom/>
      <diagonal/>
    </border>
    <border>
      <left/>
      <right style="thin">
        <color theme="0" tint="-0.499984740745262"/>
      </right>
      <top/>
      <bottom/>
      <diagonal/>
    </border>
    <border>
      <left/>
      <right style="thin">
        <color theme="0" tint="-0.499984740745262"/>
      </right>
      <top style="thin">
        <color theme="0" tint="-0.499984740745262"/>
      </top>
      <bottom/>
      <diagonal/>
    </border>
    <border>
      <left/>
      <right/>
      <top style="thin">
        <color theme="0" tint="-0.499984740745262"/>
      </top>
      <bottom/>
      <diagonal/>
    </border>
    <border>
      <left/>
      <right style="thin">
        <color theme="0" tint="-0.499984740745262"/>
      </right>
      <top/>
      <bottom style="thin">
        <color theme="0" tint="-0.499984740745262"/>
      </bottom>
      <diagonal/>
    </border>
    <border>
      <left/>
      <right/>
      <top/>
      <bottom style="thin">
        <color theme="0" tint="-0.499984740745262"/>
      </bottom>
      <diagonal/>
    </border>
    <border>
      <left style="thin">
        <color theme="0" tint="-0.499984740745262"/>
      </left>
      <right/>
      <top style="thick">
        <color theme="0" tint="-0.499984740745262"/>
      </top>
      <bottom/>
      <diagonal/>
    </border>
    <border>
      <left style="thin">
        <color theme="0" tint="-0.499984740745262"/>
      </left>
      <right/>
      <top/>
      <bottom/>
      <diagonal/>
    </border>
    <border>
      <left style="thin">
        <color theme="0" tint="-0.499984740745262"/>
      </left>
      <right/>
      <top/>
      <bottom style="thin">
        <color theme="0" tint="-0.499984740745262"/>
      </bottom>
      <diagonal/>
    </border>
    <border>
      <left style="thin">
        <color theme="0" tint="-0.499984740745262"/>
      </left>
      <right/>
      <top style="thin">
        <color theme="0" tint="-0.499984740745262"/>
      </top>
      <bottom/>
      <diagonal/>
    </border>
    <border>
      <left/>
      <right/>
      <top style="hair">
        <color auto="1"/>
      </top>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auto="1"/>
      </bottom>
      <diagonal/>
    </border>
    <border>
      <left style="thin">
        <color auto="1"/>
      </left>
      <right/>
      <top style="hair">
        <color auto="1"/>
      </top>
      <bottom style="hair">
        <color auto="1"/>
      </bottom>
      <diagonal/>
    </border>
    <border>
      <left/>
      <right/>
      <top style="hair">
        <color auto="1"/>
      </top>
      <bottom style="hair">
        <color auto="1"/>
      </bottom>
      <diagonal/>
    </border>
    <border>
      <left/>
      <right style="thin">
        <color indexed="64"/>
      </right>
      <top style="hair">
        <color indexed="64"/>
      </top>
      <bottom style="hair">
        <color indexed="64"/>
      </bottom>
      <diagonal/>
    </border>
    <border>
      <left style="thin">
        <color auto="1"/>
      </left>
      <right/>
      <top style="hair">
        <color auto="1"/>
      </top>
      <bottom style="thin">
        <color auto="1"/>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auto="1"/>
      </left>
      <right style="medium">
        <color auto="1"/>
      </right>
      <top style="medium">
        <color auto="1"/>
      </top>
      <bottom style="medium">
        <color auto="1"/>
      </bottom>
      <diagonal/>
    </border>
    <border>
      <left/>
      <right style="medium">
        <color indexed="64"/>
      </right>
      <top style="medium">
        <color indexed="64"/>
      </top>
      <bottom style="medium">
        <color indexed="64"/>
      </bottom>
      <diagonal/>
    </border>
    <border>
      <left style="thin">
        <color auto="1"/>
      </left>
      <right style="thin">
        <color auto="1"/>
      </right>
      <top style="hair">
        <color auto="1"/>
      </top>
      <bottom/>
      <diagonal/>
    </border>
    <border>
      <left/>
      <right style="hair">
        <color indexed="64"/>
      </right>
      <top style="hair">
        <color indexed="64"/>
      </top>
      <bottom style="hair">
        <color indexed="64"/>
      </bottom>
      <diagonal/>
    </border>
    <border>
      <left style="hair">
        <color indexed="64"/>
      </left>
      <right style="hair">
        <color indexed="64"/>
      </right>
      <top style="hair">
        <color indexed="64"/>
      </top>
      <bottom/>
      <diagonal/>
    </border>
    <border>
      <left style="dotted">
        <color indexed="64"/>
      </left>
      <right/>
      <top style="thin">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thin">
        <color indexed="64"/>
      </bottom>
      <diagonal/>
    </border>
    <border>
      <left/>
      <right style="hair">
        <color indexed="64"/>
      </right>
      <top style="thin">
        <color indexed="64"/>
      </top>
      <bottom style="thin">
        <color indexed="64"/>
      </bottom>
      <diagonal/>
    </border>
    <border>
      <left/>
      <right style="hair">
        <color indexed="64"/>
      </right>
      <top style="hair">
        <color indexed="64"/>
      </top>
      <bottom/>
      <diagonal/>
    </border>
    <border>
      <left style="hair">
        <color indexed="64"/>
      </left>
      <right style="thin">
        <color indexed="64"/>
      </right>
      <top style="hair">
        <color indexed="64"/>
      </top>
      <bottom/>
      <diagonal/>
    </border>
    <border>
      <left/>
      <right style="hair">
        <color indexed="64"/>
      </right>
      <top style="thin">
        <color indexed="64"/>
      </top>
      <bottom style="hair">
        <color auto="1"/>
      </bottom>
      <diagonal/>
    </border>
    <border>
      <left style="thin">
        <color indexed="64"/>
      </left>
      <right/>
      <top style="dotted">
        <color indexed="64"/>
      </top>
      <bottom style="dotted">
        <color indexed="64"/>
      </bottom>
      <diagonal/>
    </border>
    <border>
      <left style="thin">
        <color indexed="64"/>
      </left>
      <right style="hair">
        <color indexed="64"/>
      </right>
      <top style="hair">
        <color indexed="64"/>
      </top>
      <bottom/>
      <diagonal/>
    </border>
    <border>
      <left/>
      <right/>
      <top/>
      <bottom style="double">
        <color rgb="FFFF8001"/>
      </bottom>
      <diagonal/>
    </border>
    <border>
      <left style="thin">
        <color theme="3" tint="0.39994506668294322"/>
      </left>
      <right/>
      <top/>
      <bottom/>
      <diagonal/>
    </border>
    <border>
      <left/>
      <right style="thin">
        <color theme="3" tint="0.39991454817346722"/>
      </right>
      <top/>
      <bottom/>
      <diagonal/>
    </border>
    <border>
      <left style="dotted">
        <color indexed="64"/>
      </left>
      <right style="dotted">
        <color indexed="64"/>
      </right>
      <top style="dotted">
        <color indexed="64"/>
      </top>
      <bottom/>
      <diagonal/>
    </border>
    <border>
      <left style="hair">
        <color indexed="64"/>
      </left>
      <right style="thin">
        <color indexed="64"/>
      </right>
      <top/>
      <bottom/>
      <diagonal/>
    </border>
    <border>
      <left style="hair">
        <color indexed="64"/>
      </left>
      <right/>
      <top style="thin">
        <color indexed="64"/>
      </top>
      <bottom style="thin">
        <color indexed="64"/>
      </bottom>
      <diagonal/>
    </border>
    <border>
      <left/>
      <right/>
      <top style="dotted">
        <color indexed="64"/>
      </top>
      <bottom style="dotted">
        <color indexed="64"/>
      </bottom>
      <diagonal/>
    </border>
    <border>
      <left style="thin">
        <color indexed="64"/>
      </left>
      <right style="dotted">
        <color indexed="64"/>
      </right>
      <top style="thin">
        <color indexed="64"/>
      </top>
      <bottom style="thin">
        <color indexed="64"/>
      </bottom>
      <diagonal/>
    </border>
    <border>
      <left style="dotted">
        <color indexed="64"/>
      </left>
      <right style="thin">
        <color indexed="64"/>
      </right>
      <top style="thin">
        <color indexed="64"/>
      </top>
      <bottom style="thin">
        <color indexed="64"/>
      </bottom>
      <diagonal/>
    </border>
    <border>
      <left/>
      <right style="dotted">
        <color indexed="64"/>
      </right>
      <top style="thin">
        <color indexed="64"/>
      </top>
      <bottom style="thin">
        <color indexed="64"/>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hair">
        <color indexed="64"/>
      </left>
      <right/>
      <top/>
      <bottom/>
      <diagonal/>
    </border>
    <border>
      <left style="hair">
        <color indexed="64"/>
      </left>
      <right/>
      <top style="hair">
        <color indexed="64"/>
      </top>
      <bottom/>
      <diagonal/>
    </border>
    <border>
      <left/>
      <right/>
      <top/>
      <bottom style="hair">
        <color indexed="64"/>
      </bottom>
      <diagonal/>
    </border>
    <border>
      <left/>
      <right style="thin">
        <color indexed="64"/>
      </right>
      <top style="hair">
        <color indexed="64"/>
      </top>
      <bottom/>
      <diagonal/>
    </border>
    <border>
      <left style="hair">
        <color indexed="64"/>
      </left>
      <right style="hair">
        <color indexed="64"/>
      </right>
      <top style="thin">
        <color indexed="64"/>
      </top>
      <bottom/>
      <diagonal/>
    </border>
    <border>
      <left style="mediumDashed">
        <color rgb="FFFF0000"/>
      </left>
      <right style="hair">
        <color indexed="64"/>
      </right>
      <top style="mediumDashed">
        <color rgb="FFFF0000"/>
      </top>
      <bottom style="mediumDashed">
        <color rgb="FFFF0000"/>
      </bottom>
      <diagonal/>
    </border>
    <border>
      <left style="hair">
        <color indexed="64"/>
      </left>
      <right style="hair">
        <color indexed="64"/>
      </right>
      <top style="mediumDashed">
        <color rgb="FFFF0000"/>
      </top>
      <bottom style="mediumDashed">
        <color rgb="FFFF0000"/>
      </bottom>
      <diagonal/>
    </border>
    <border>
      <left style="hair">
        <color indexed="64"/>
      </left>
      <right style="mediumDashed">
        <color rgb="FFFF0000"/>
      </right>
      <top style="mediumDashed">
        <color rgb="FFFF0000"/>
      </top>
      <bottom style="mediumDashed">
        <color rgb="FFFF0000"/>
      </bottom>
      <diagonal/>
    </border>
    <border>
      <left style="mediumDashed">
        <color rgb="FFFF0000"/>
      </left>
      <right style="mediumDashed">
        <color rgb="FFFF0000"/>
      </right>
      <top style="mediumDashed">
        <color rgb="FFFF0000"/>
      </top>
      <bottom style="hair">
        <color indexed="64"/>
      </bottom>
      <diagonal/>
    </border>
    <border>
      <left/>
      <right style="medium">
        <color indexed="64"/>
      </right>
      <top style="medium">
        <color indexed="64"/>
      </top>
      <bottom style="hair">
        <color indexed="64"/>
      </bottom>
      <diagonal/>
    </border>
    <border>
      <left/>
      <right style="medium">
        <color indexed="64"/>
      </right>
      <top style="hair">
        <color indexed="64"/>
      </top>
      <bottom/>
      <diagonal/>
    </border>
    <border>
      <left/>
      <right style="dotted">
        <color indexed="64"/>
      </right>
      <top style="dotted">
        <color indexed="64"/>
      </top>
      <bottom/>
      <diagonal/>
    </border>
    <border>
      <left/>
      <right style="hair">
        <color indexed="64"/>
      </right>
      <top style="thin">
        <color indexed="64"/>
      </top>
      <bottom/>
      <diagonal/>
    </border>
    <border>
      <left style="dotted">
        <color indexed="64"/>
      </left>
      <right style="thin">
        <color indexed="64"/>
      </right>
      <top/>
      <bottom style="hair">
        <color indexed="64"/>
      </bottom>
      <diagonal/>
    </border>
    <border>
      <left style="dotted">
        <color indexed="64"/>
      </left>
      <right style="thin">
        <color indexed="64"/>
      </right>
      <top style="hair">
        <color auto="1"/>
      </top>
      <bottom style="hair">
        <color auto="1"/>
      </bottom>
      <diagonal/>
    </border>
    <border>
      <left style="dotted">
        <color indexed="64"/>
      </left>
      <right style="thin">
        <color indexed="64"/>
      </right>
      <top/>
      <bottom/>
      <diagonal/>
    </border>
    <border>
      <left style="hair">
        <color indexed="64"/>
      </left>
      <right style="thin">
        <color indexed="64"/>
      </right>
      <top style="thin">
        <color indexed="64"/>
      </top>
      <bottom/>
      <diagonal/>
    </border>
    <border>
      <left style="hair">
        <color indexed="64"/>
      </left>
      <right/>
      <top/>
      <bottom style="thin">
        <color indexed="64"/>
      </bottom>
      <diagonal/>
    </border>
    <border>
      <left/>
      <right/>
      <top style="thin">
        <color auto="1"/>
      </top>
      <bottom style="double">
        <color auto="1"/>
      </bottom>
      <diagonal/>
    </border>
    <border>
      <left/>
      <right/>
      <top style="double">
        <color auto="1"/>
      </top>
      <bottom style="double">
        <color auto="1"/>
      </bottom>
      <diagonal/>
    </border>
    <border>
      <left style="medium">
        <color rgb="FF0000FF"/>
      </left>
      <right/>
      <top style="medium">
        <color rgb="FF0000FF"/>
      </top>
      <bottom style="dotted">
        <color indexed="64"/>
      </bottom>
      <diagonal/>
    </border>
    <border>
      <left/>
      <right/>
      <top style="medium">
        <color rgb="FF0000FF"/>
      </top>
      <bottom style="dotted">
        <color indexed="64"/>
      </bottom>
      <diagonal/>
    </border>
    <border>
      <left/>
      <right style="medium">
        <color rgb="FF0000FF"/>
      </right>
      <top style="medium">
        <color rgb="FF0000FF"/>
      </top>
      <bottom style="dotted">
        <color indexed="64"/>
      </bottom>
      <diagonal/>
    </border>
    <border>
      <left style="medium">
        <color rgb="FF0000FF"/>
      </left>
      <right/>
      <top style="dotted">
        <color indexed="64"/>
      </top>
      <bottom style="medium">
        <color rgb="FF0000FF"/>
      </bottom>
      <diagonal/>
    </border>
    <border>
      <left/>
      <right/>
      <top style="dotted">
        <color indexed="64"/>
      </top>
      <bottom style="medium">
        <color rgb="FF0000FF"/>
      </bottom>
      <diagonal/>
    </border>
    <border>
      <left/>
      <right style="medium">
        <color rgb="FF0000FF"/>
      </right>
      <top style="dotted">
        <color indexed="64"/>
      </top>
      <bottom style="medium">
        <color rgb="FF0000FF"/>
      </bottom>
      <diagonal/>
    </border>
    <border>
      <left/>
      <right style="hair">
        <color indexed="64"/>
      </right>
      <top style="mediumDashed">
        <color rgb="FFFF0000"/>
      </top>
      <bottom style="mediumDashed">
        <color rgb="FFFF0000"/>
      </bottom>
      <diagonal/>
    </border>
    <border>
      <left style="dotted">
        <color indexed="64"/>
      </left>
      <right style="thin">
        <color indexed="64"/>
      </right>
      <top style="thin">
        <color indexed="64"/>
      </top>
      <bottom/>
      <diagonal/>
    </border>
    <border>
      <left/>
      <right style="dotted">
        <color indexed="64"/>
      </right>
      <top style="thin">
        <color indexed="64"/>
      </top>
      <bottom/>
      <diagonal/>
    </border>
    <border>
      <left style="thin">
        <color indexed="64"/>
      </left>
      <right style="dotted">
        <color indexed="64"/>
      </right>
      <top/>
      <bottom/>
      <diagonal/>
    </border>
    <border>
      <left/>
      <right style="dotted">
        <color indexed="64"/>
      </right>
      <top/>
      <bottom/>
      <diagonal/>
    </border>
    <border>
      <left style="hair">
        <color indexed="64"/>
      </left>
      <right style="hair">
        <color indexed="64"/>
      </right>
      <top/>
      <bottom/>
      <diagonal/>
    </border>
    <border>
      <left style="mediumDashed">
        <color rgb="FFFF0000"/>
      </left>
      <right style="mediumDashed">
        <color rgb="FFFF0000"/>
      </right>
      <top/>
      <bottom/>
      <diagonal/>
    </border>
    <border>
      <left style="hair">
        <color indexed="64"/>
      </left>
      <right/>
      <top style="thin">
        <color indexed="64"/>
      </top>
      <bottom/>
      <diagonal/>
    </border>
    <border>
      <left style="mediumDashed">
        <color rgb="FFFF0000"/>
      </left>
      <right style="mediumDashed">
        <color rgb="FFFF0000"/>
      </right>
      <top style="hair">
        <color auto="1"/>
      </top>
      <bottom/>
      <diagonal/>
    </border>
    <border>
      <left/>
      <right style="medium">
        <color indexed="64"/>
      </right>
      <top/>
      <bottom/>
      <diagonal/>
    </border>
    <border>
      <left style="thin">
        <color indexed="64"/>
      </left>
      <right/>
      <top style="hair">
        <color indexed="64"/>
      </top>
      <bottom/>
      <diagonal/>
    </border>
    <border>
      <left style="thin">
        <color indexed="64"/>
      </left>
      <right style="hair">
        <color indexed="64"/>
      </right>
      <top/>
      <bottom style="dotted">
        <color indexed="64"/>
      </bottom>
      <diagonal/>
    </border>
    <border>
      <left style="thin">
        <color indexed="64"/>
      </left>
      <right style="hair">
        <color indexed="64"/>
      </right>
      <top style="dotted">
        <color indexed="64"/>
      </top>
      <bottom style="dotted">
        <color indexed="64"/>
      </bottom>
      <diagonal/>
    </border>
    <border>
      <left style="hair">
        <color indexed="64"/>
      </left>
      <right style="hair">
        <color indexed="64"/>
      </right>
      <top/>
      <bottom style="dotted">
        <color indexed="64"/>
      </bottom>
      <diagonal/>
    </border>
    <border>
      <left style="hair">
        <color indexed="64"/>
      </left>
      <right style="hair">
        <color indexed="64"/>
      </right>
      <top style="dotted">
        <color indexed="64"/>
      </top>
      <bottom style="dotted">
        <color indexed="64"/>
      </bottom>
      <diagonal/>
    </border>
    <border>
      <left style="thin">
        <color indexed="64"/>
      </left>
      <right/>
      <top style="dotted">
        <color indexed="64"/>
      </top>
      <bottom style="thin">
        <color indexed="64"/>
      </bottom>
      <diagonal/>
    </border>
    <border>
      <left/>
      <right style="hair">
        <color indexed="64"/>
      </right>
      <top style="dotted">
        <color indexed="64"/>
      </top>
      <bottom style="dotted">
        <color indexed="64"/>
      </bottom>
      <diagonal/>
    </border>
    <border>
      <left/>
      <right style="hair">
        <color indexed="64"/>
      </right>
      <top style="dotted">
        <color indexed="64"/>
      </top>
      <bottom style="thin">
        <color indexed="64"/>
      </bottom>
      <diagonal/>
    </border>
    <border>
      <left style="thin">
        <color indexed="64"/>
      </left>
      <right style="thin">
        <color indexed="64"/>
      </right>
      <top style="dotted">
        <color indexed="64"/>
      </top>
      <bottom/>
      <diagonal/>
    </border>
    <border>
      <left style="hair">
        <color indexed="64"/>
      </left>
      <right style="hair">
        <color indexed="64"/>
      </right>
      <top style="dotted">
        <color indexed="64"/>
      </top>
      <bottom/>
      <diagonal/>
    </border>
    <border>
      <left style="hair">
        <color indexed="64"/>
      </left>
      <right/>
      <top style="dotted">
        <color indexed="64"/>
      </top>
      <bottom style="thin">
        <color indexed="64"/>
      </bottom>
      <diagonal/>
    </border>
    <border>
      <left style="hair">
        <color indexed="64"/>
      </left>
      <right/>
      <top style="dotted">
        <color indexed="64"/>
      </top>
      <bottom style="dotted">
        <color indexed="64"/>
      </bottom>
      <diagonal/>
    </border>
    <border>
      <left style="hair">
        <color theme="1"/>
      </left>
      <right style="hair">
        <color indexed="64"/>
      </right>
      <top style="hair">
        <color theme="1"/>
      </top>
      <bottom style="hair">
        <color theme="1"/>
      </bottom>
      <diagonal/>
    </border>
    <border>
      <left style="hair">
        <color indexed="64"/>
      </left>
      <right/>
      <top style="hair">
        <color theme="1"/>
      </top>
      <bottom style="hair">
        <color theme="1"/>
      </bottom>
      <diagonal/>
    </border>
    <border>
      <left style="mediumDashed">
        <color rgb="FFFF0000"/>
      </left>
      <right style="mediumDashed">
        <color rgb="FFFF0000"/>
      </right>
      <top style="mediumDashed">
        <color rgb="FFFF0000"/>
      </top>
      <bottom/>
      <diagonal/>
    </border>
    <border>
      <left style="mediumDashed">
        <color rgb="FFFF0000"/>
      </left>
      <right style="mediumDashed">
        <color rgb="FFFF0000"/>
      </right>
      <top style="hair">
        <color theme="1"/>
      </top>
      <bottom style="hair">
        <color theme="1"/>
      </bottom>
      <diagonal/>
    </border>
    <border>
      <left style="mediumDashed">
        <color rgb="FFFF0000"/>
      </left>
      <right style="mediumDashed">
        <color rgb="FFFF0000"/>
      </right>
      <top style="hair">
        <color indexed="64"/>
      </top>
      <bottom style="mediumDashed">
        <color rgb="FFFF0000"/>
      </bottom>
      <diagonal/>
    </border>
    <border>
      <left style="thick">
        <color rgb="FFFF0000"/>
      </left>
      <right style="thick">
        <color rgb="FFFF0000"/>
      </right>
      <top style="thick">
        <color rgb="FFFF0000"/>
      </top>
      <bottom style="thick">
        <color rgb="FFFF0000"/>
      </bottom>
      <diagonal/>
    </border>
    <border>
      <left style="dotted">
        <color indexed="64"/>
      </left>
      <right style="dotted">
        <color indexed="64"/>
      </right>
      <top/>
      <bottom/>
      <diagonal/>
    </border>
    <border>
      <left style="thin">
        <color indexed="64"/>
      </left>
      <right style="thin">
        <color indexed="64"/>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style="thin">
        <color indexed="64"/>
      </right>
      <top style="double">
        <color indexed="64"/>
      </top>
      <bottom/>
      <diagonal/>
    </border>
    <border>
      <left/>
      <right style="thin">
        <color indexed="64"/>
      </right>
      <top style="double">
        <color indexed="64"/>
      </top>
      <bottom/>
      <diagonal/>
    </border>
    <border>
      <left style="thin">
        <color indexed="64"/>
      </left>
      <right/>
      <top style="double">
        <color indexed="64"/>
      </top>
      <bottom/>
      <diagonal/>
    </border>
    <border>
      <left style="hair">
        <color indexed="64"/>
      </left>
      <right style="hair">
        <color indexed="64"/>
      </right>
      <top/>
      <bottom style="double">
        <color indexed="64"/>
      </bottom>
      <diagonal/>
    </border>
    <border>
      <left style="hair">
        <color indexed="64"/>
      </left>
      <right style="hair">
        <color indexed="64"/>
      </right>
      <top style="double">
        <color indexed="64"/>
      </top>
      <bottom/>
      <diagonal/>
    </border>
    <border>
      <left/>
      <right/>
      <top/>
      <bottom style="dotted">
        <color indexed="64"/>
      </bottom>
      <diagonal/>
    </border>
    <border>
      <left/>
      <right/>
      <top style="dotted">
        <color indexed="64"/>
      </top>
      <bottom/>
      <diagonal/>
    </border>
    <border>
      <left style="dotted">
        <color indexed="64"/>
      </left>
      <right style="thin">
        <color indexed="64"/>
      </right>
      <top style="dotted">
        <color indexed="64"/>
      </top>
      <bottom/>
      <diagonal/>
    </border>
    <border>
      <left style="thin">
        <color indexed="64"/>
      </left>
      <right style="dotted">
        <color indexed="64"/>
      </right>
      <top style="dotted">
        <color indexed="64"/>
      </top>
      <bottom/>
      <diagonal/>
    </border>
    <border>
      <left style="thin">
        <color indexed="64"/>
      </left>
      <right style="dotted">
        <color indexed="64"/>
      </right>
      <top style="thin">
        <color indexed="64"/>
      </top>
      <bottom/>
      <diagonal/>
    </border>
    <border>
      <left style="hair">
        <color indexed="64"/>
      </left>
      <right style="dotted">
        <color indexed="64"/>
      </right>
      <top style="thin">
        <color indexed="64"/>
      </top>
      <bottom/>
      <diagonal/>
    </border>
    <border>
      <left style="hair">
        <color indexed="64"/>
      </left>
      <right style="dotted">
        <color indexed="64"/>
      </right>
      <top/>
      <bottom style="thin">
        <color indexed="64"/>
      </bottom>
      <diagonal/>
    </border>
    <border>
      <left/>
      <right style="hair">
        <color indexed="64"/>
      </right>
      <top/>
      <bottom style="thin">
        <color indexed="64"/>
      </bottom>
      <diagonal/>
    </border>
    <border>
      <left style="mediumDashed">
        <color rgb="FFFF0000"/>
      </left>
      <right style="hair">
        <color indexed="64"/>
      </right>
      <top style="thin">
        <color indexed="64"/>
      </top>
      <bottom/>
      <diagonal/>
    </border>
    <border>
      <left style="mediumDashed">
        <color rgb="FFFF0000"/>
      </left>
      <right style="hair">
        <color indexed="64"/>
      </right>
      <top/>
      <bottom style="hair">
        <color theme="1"/>
      </bottom>
      <diagonal/>
    </border>
    <border>
      <left style="mediumDashed">
        <color rgb="FFFF0000"/>
      </left>
      <right style="hair">
        <color indexed="64"/>
      </right>
      <top style="hair">
        <color theme="1"/>
      </top>
      <bottom/>
      <diagonal/>
    </border>
    <border>
      <left style="thin">
        <color indexed="64"/>
      </left>
      <right/>
      <top style="dotted">
        <color indexed="64"/>
      </top>
      <bottom style="hair">
        <color auto="1"/>
      </bottom>
      <diagonal/>
    </border>
    <border>
      <left/>
      <right style="hair">
        <color indexed="64"/>
      </right>
      <top style="dotted">
        <color indexed="64"/>
      </top>
      <bottom style="hair">
        <color auto="1"/>
      </bottom>
      <diagonal/>
    </border>
    <border>
      <left style="mediumDashed">
        <color rgb="FFFF0000"/>
      </left>
      <right style="hair">
        <color indexed="64"/>
      </right>
      <top/>
      <bottom style="hair">
        <color indexed="64"/>
      </bottom>
      <diagonal/>
    </border>
    <border>
      <left style="hair">
        <color indexed="64"/>
      </left>
      <right/>
      <top style="mediumDashed">
        <color rgb="FFFF0000"/>
      </top>
      <bottom style="mediumDashed">
        <color rgb="FFFF0000"/>
      </bottom>
      <diagonal/>
    </border>
  </borders>
  <cellStyleXfs count="657">
    <xf numFmtId="0" fontId="0" fillId="0" borderId="0">
      <alignment vertical="center"/>
    </xf>
    <xf numFmtId="41" fontId="1" fillId="0" borderId="0" applyFont="0" applyFill="0" applyBorder="0" applyAlignment="0" applyProtection="0">
      <alignment vertical="center"/>
    </xf>
    <xf numFmtId="9" fontId="1" fillId="0" borderId="0" applyFont="0" applyFill="0" applyBorder="0" applyAlignment="0" applyProtection="0">
      <alignment vertical="center"/>
    </xf>
    <xf numFmtId="0" fontId="2" fillId="0" borderId="0">
      <alignment vertical="center"/>
    </xf>
    <xf numFmtId="180" fontId="2" fillId="0" borderId="0" applyFont="0" applyFill="0" applyBorder="0" applyAlignment="0" applyProtection="0">
      <alignment vertical="center"/>
    </xf>
    <xf numFmtId="0" fontId="10" fillId="0" borderId="0"/>
    <xf numFmtId="180" fontId="10" fillId="0" borderId="0" applyFont="0" applyFill="0" applyBorder="0" applyAlignment="0" applyProtection="0"/>
    <xf numFmtId="9" fontId="10" fillId="0" borderId="0" applyFont="0" applyFill="0" applyBorder="0" applyAlignment="0" applyProtection="0"/>
    <xf numFmtId="0" fontId="10" fillId="0" borderId="0">
      <alignment vertical="center"/>
    </xf>
    <xf numFmtId="180" fontId="2" fillId="0" borderId="0" applyFont="0" applyFill="0" applyBorder="0" applyAlignment="0" applyProtection="0">
      <alignment vertical="center"/>
    </xf>
    <xf numFmtId="3" fontId="31" fillId="0" borderId="27"/>
    <xf numFmtId="24" fontId="32" fillId="0" borderId="0" applyFont="0" applyFill="0" applyBorder="0" applyAlignment="0" applyProtection="0"/>
    <xf numFmtId="205" fontId="10" fillId="0" borderId="0" applyNumberFormat="0" applyFont="0" applyFill="0" applyBorder="0" applyAlignment="0" applyProtection="0"/>
    <xf numFmtId="206" fontId="33" fillId="0" borderId="0" applyNumberFormat="0" applyFont="0" applyFill="0" applyBorder="0" applyAlignment="0" applyProtection="0"/>
    <xf numFmtId="205" fontId="10" fillId="0" borderId="0" applyNumberFormat="0" applyFont="0" applyFill="0" applyBorder="0" applyAlignment="0" applyProtection="0"/>
    <xf numFmtId="206" fontId="33" fillId="0" borderId="0" applyNumberFormat="0" applyFont="0" applyFill="0" applyBorder="0" applyAlignment="0" applyProtection="0"/>
    <xf numFmtId="0" fontId="33" fillId="0" borderId="0"/>
    <xf numFmtId="0" fontId="33"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4" fillId="0" borderId="0" applyFont="0" applyFill="0" applyBorder="0" applyAlignment="0" applyProtection="0"/>
    <xf numFmtId="0" fontId="34" fillId="0" borderId="0" applyFont="0" applyFill="0" applyBorder="0" applyAlignment="0" applyProtection="0"/>
    <xf numFmtId="0" fontId="3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5"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4" fillId="0" borderId="0" applyFont="0" applyFill="0" applyBorder="0" applyAlignment="0" applyProtection="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10" fillId="0" borderId="0"/>
    <xf numFmtId="0" fontId="35" fillId="0" borderId="0"/>
    <xf numFmtId="0" fontId="35" fillId="0" borderId="0"/>
    <xf numFmtId="0" fontId="36" fillId="0" borderId="0"/>
    <xf numFmtId="207" fontId="10" fillId="0" borderId="0" applyFont="0" applyFill="0" applyBorder="0" applyAlignment="0" applyProtection="0">
      <alignment vertical="center"/>
    </xf>
    <xf numFmtId="3" fontId="31" fillId="0" borderId="27"/>
    <xf numFmtId="3" fontId="31" fillId="0" borderId="27"/>
    <xf numFmtId="3" fontId="37" fillId="0" borderId="46">
      <alignment horizontal="right" vertical="center"/>
    </xf>
    <xf numFmtId="3" fontId="37" fillId="0" borderId="46">
      <alignment horizontal="right" vertical="center"/>
    </xf>
    <xf numFmtId="0" fontId="38" fillId="0" borderId="49" applyNumberFormat="0" applyFont="0" applyFill="0" applyBorder="0" applyAlignment="0"/>
    <xf numFmtId="2" fontId="37" fillId="0" borderId="46">
      <alignment horizontal="right" vertical="center"/>
    </xf>
    <xf numFmtId="2" fontId="37" fillId="0" borderId="46">
      <alignment horizontal="right" vertical="center"/>
    </xf>
    <xf numFmtId="0" fontId="39" fillId="0" borderId="0"/>
    <xf numFmtId="0" fontId="40" fillId="0" borderId="0" applyFont="0" applyFill="0" applyBorder="0" applyAlignment="0" applyProtection="0"/>
    <xf numFmtId="0" fontId="41" fillId="0" borderId="0" applyFont="0" applyFill="0" applyBorder="0" applyAlignment="0" applyProtection="0"/>
    <xf numFmtId="0" fontId="42" fillId="0" borderId="0">
      <protection locked="0"/>
    </xf>
    <xf numFmtId="0" fontId="10" fillId="0" borderId="0" applyFont="0" applyFill="0" applyBorder="0" applyAlignment="0" applyProtection="0"/>
    <xf numFmtId="0" fontId="44" fillId="0" borderId="0" applyFont="0" applyFill="0" applyBorder="0" applyAlignment="0" applyProtection="0"/>
    <xf numFmtId="0" fontId="43" fillId="0" borderId="0" applyFont="0" applyFill="0" applyBorder="0" applyAlignment="0" applyProtection="0"/>
    <xf numFmtId="0" fontId="10" fillId="0" borderId="0" applyFont="0" applyFill="0" applyBorder="0" applyAlignment="0" applyProtection="0"/>
    <xf numFmtId="0" fontId="44" fillId="0" borderId="0" applyFont="0" applyFill="0" applyBorder="0" applyAlignment="0" applyProtection="0"/>
    <xf numFmtId="0" fontId="43" fillId="0" borderId="0" applyFont="0" applyFill="0" applyBorder="0" applyAlignment="0" applyProtection="0"/>
    <xf numFmtId="0" fontId="40" fillId="0" borderId="0" applyFont="0" applyFill="0" applyBorder="0" applyAlignment="0" applyProtection="0"/>
    <xf numFmtId="0" fontId="40" fillId="0" borderId="0" applyFont="0" applyFill="0" applyBorder="0" applyAlignment="0" applyProtection="0"/>
    <xf numFmtId="0" fontId="10" fillId="0" borderId="0" applyFont="0" applyFill="0" applyBorder="0" applyAlignment="0" applyProtection="0"/>
    <xf numFmtId="0" fontId="44" fillId="0" borderId="0" applyFont="0" applyFill="0" applyBorder="0" applyAlignment="0" applyProtection="0"/>
    <xf numFmtId="0" fontId="43" fillId="0" borderId="0" applyFont="0" applyFill="0" applyBorder="0" applyAlignment="0" applyProtection="0"/>
    <xf numFmtId="0" fontId="44" fillId="0" borderId="0" applyFont="0" applyFill="0" applyBorder="0" applyAlignment="0" applyProtection="0"/>
    <xf numFmtId="0" fontId="33" fillId="0" borderId="0" applyFont="0" applyFill="0" applyBorder="0" applyAlignment="0" applyProtection="0"/>
    <xf numFmtId="0" fontId="43" fillId="0" borderId="0" applyFont="0" applyFill="0" applyBorder="0" applyAlignment="0" applyProtection="0"/>
    <xf numFmtId="0" fontId="45" fillId="0" borderId="2" applyAlignment="0" applyProtection="0"/>
    <xf numFmtId="0" fontId="46" fillId="0" borderId="0"/>
    <xf numFmtId="0" fontId="47" fillId="0" borderId="0"/>
    <xf numFmtId="0" fontId="46" fillId="0" borderId="0"/>
    <xf numFmtId="0" fontId="46" fillId="0" borderId="0"/>
    <xf numFmtId="0" fontId="43" fillId="0" borderId="0"/>
    <xf numFmtId="0" fontId="44" fillId="0" borderId="0"/>
    <xf numFmtId="0" fontId="43" fillId="0" borderId="0"/>
    <xf numFmtId="0" fontId="48" fillId="0" borderId="0"/>
    <xf numFmtId="0" fontId="49" fillId="0" borderId="0">
      <protection locked="0"/>
    </xf>
    <xf numFmtId="210" fontId="35" fillId="0" borderId="0"/>
    <xf numFmtId="210" fontId="35" fillId="0" borderId="0"/>
    <xf numFmtId="210" fontId="35" fillId="0" borderId="0"/>
    <xf numFmtId="210" fontId="35" fillId="0" borderId="0"/>
    <xf numFmtId="210" fontId="35" fillId="0" borderId="0"/>
    <xf numFmtId="210" fontId="35" fillId="0" borderId="0"/>
    <xf numFmtId="210" fontId="35" fillId="0" borderId="0"/>
    <xf numFmtId="210" fontId="35" fillId="0" borderId="0"/>
    <xf numFmtId="38" fontId="35" fillId="0" borderId="0" applyFont="0" applyFill="0" applyBorder="0" applyAlignment="0" applyProtection="0"/>
    <xf numFmtId="211" fontId="10" fillId="0" borderId="0"/>
    <xf numFmtId="0" fontId="35" fillId="0" borderId="0" applyFont="0" applyFill="0" applyBorder="0" applyAlignment="0" applyProtection="0"/>
    <xf numFmtId="0" fontId="34" fillId="0" borderId="0" applyFont="0" applyFill="0" applyBorder="0" applyAlignment="0" applyProtection="0"/>
    <xf numFmtId="0" fontId="49" fillId="0" borderId="0">
      <protection locked="0"/>
    </xf>
    <xf numFmtId="0" fontId="35" fillId="0" borderId="0" applyFont="0" applyFill="0" applyBorder="0" applyAlignment="0" applyProtection="0"/>
    <xf numFmtId="0" fontId="33" fillId="0" borderId="0" applyFont="0" applyFill="0" applyBorder="0" applyAlignment="0" applyProtection="0"/>
    <xf numFmtId="211" fontId="10" fillId="0" borderId="0"/>
    <xf numFmtId="212" fontId="35" fillId="0" borderId="0" applyFont="0" applyFill="0" applyBorder="0" applyAlignment="0" applyProtection="0"/>
    <xf numFmtId="0" fontId="35" fillId="0" borderId="0" applyFont="0" applyFill="0" applyBorder="0" applyAlignment="0" applyProtection="0"/>
    <xf numFmtId="213" fontId="35" fillId="0" borderId="0"/>
    <xf numFmtId="214" fontId="10" fillId="0" borderId="0"/>
    <xf numFmtId="0" fontId="10" fillId="0" borderId="0" applyFont="0" applyFill="0" applyBorder="0" applyAlignment="0" applyProtection="0"/>
    <xf numFmtId="0" fontId="50" fillId="0" borderId="0">
      <protection locked="0"/>
    </xf>
    <xf numFmtId="0" fontId="50" fillId="0" borderId="0">
      <protection locked="0"/>
    </xf>
    <xf numFmtId="0" fontId="51" fillId="0" borderId="0">
      <protection locked="0"/>
    </xf>
    <xf numFmtId="0" fontId="50" fillId="0" borderId="0">
      <protection locked="0"/>
    </xf>
    <xf numFmtId="0" fontId="50" fillId="0" borderId="0">
      <protection locked="0"/>
    </xf>
    <xf numFmtId="0" fontId="50" fillId="0" borderId="0">
      <protection locked="0"/>
    </xf>
    <xf numFmtId="0" fontId="51" fillId="0" borderId="0">
      <protection locked="0"/>
    </xf>
    <xf numFmtId="38" fontId="52" fillId="10" borderId="0" applyNumberFormat="0" applyBorder="0" applyAlignment="0" applyProtection="0"/>
    <xf numFmtId="3" fontId="53" fillId="0" borderId="50">
      <alignment horizontal="right" vertical="center"/>
    </xf>
    <xf numFmtId="4" fontId="53" fillId="0" borderId="50">
      <alignment horizontal="right" vertical="center"/>
    </xf>
    <xf numFmtId="0" fontId="54" fillId="0" borderId="0">
      <alignment horizontal="left"/>
    </xf>
    <xf numFmtId="0" fontId="55" fillId="0" borderId="90" applyNumberFormat="0" applyAlignment="0" applyProtection="0">
      <alignment horizontal="left" vertical="center"/>
    </xf>
    <xf numFmtId="0" fontId="55" fillId="0" borderId="34">
      <alignment horizontal="left" vertical="center"/>
    </xf>
    <xf numFmtId="0" fontId="56" fillId="0" borderId="0" applyNumberFormat="0" applyFill="0"/>
    <xf numFmtId="0" fontId="57" fillId="0" borderId="0"/>
    <xf numFmtId="0" fontId="58" fillId="0" borderId="34" applyNumberFormat="0">
      <alignment horizontal="right" wrapText="1"/>
    </xf>
    <xf numFmtId="10" fontId="52" fillId="10" borderId="27" applyNumberFormat="0" applyBorder="0" applyAlignment="0" applyProtection="0"/>
    <xf numFmtId="208" fontId="35" fillId="0" borderId="0" applyFont="0" applyFill="0" applyBorder="0" applyAlignment="0" applyProtection="0"/>
    <xf numFmtId="209" fontId="35" fillId="0" borderId="0" applyFont="0" applyFill="0" applyBorder="0" applyAlignment="0" applyProtection="0"/>
    <xf numFmtId="0" fontId="59" fillId="0" borderId="47"/>
    <xf numFmtId="0" fontId="35" fillId="0" borderId="0" applyFont="0" applyFill="0" applyBorder="0" applyAlignment="0" applyProtection="0"/>
    <xf numFmtId="0" fontId="35" fillId="0" borderId="0" applyFont="0" applyFill="0" applyBorder="0" applyAlignment="0" applyProtection="0"/>
    <xf numFmtId="37" fontId="60" fillId="0" borderId="0"/>
    <xf numFmtId="0" fontId="61" fillId="0" borderId="0"/>
    <xf numFmtId="0" fontId="33" fillId="0" borderId="0"/>
    <xf numFmtId="0" fontId="33" fillId="0" borderId="0"/>
    <xf numFmtId="0" fontId="35" fillId="0" borderId="0"/>
    <xf numFmtId="0" fontId="61" fillId="0" borderId="0" applyFont="0" applyFill="0" applyBorder="0" applyAlignment="0" applyProtection="0">
      <alignment horizontal="centerContinuous"/>
    </xf>
    <xf numFmtId="0" fontId="61" fillId="0" borderId="0" applyFont="0" applyFill="0" applyBorder="0" applyAlignment="0" applyProtection="0">
      <alignment horizontal="centerContinuous"/>
    </xf>
    <xf numFmtId="0" fontId="35" fillId="0" borderId="0"/>
    <xf numFmtId="40" fontId="62" fillId="10" borderId="0">
      <alignment horizontal="right"/>
    </xf>
    <xf numFmtId="0" fontId="63" fillId="10" borderId="0">
      <alignment horizontal="right"/>
    </xf>
    <xf numFmtId="0" fontId="64" fillId="10" borderId="44"/>
    <xf numFmtId="0" fontId="64" fillId="0" borderId="0" applyBorder="0">
      <alignment horizontal="centerContinuous"/>
    </xf>
    <xf numFmtId="0" fontId="65" fillId="0" borderId="0" applyBorder="0">
      <alignment horizontal="centerContinuous"/>
    </xf>
    <xf numFmtId="0" fontId="49" fillId="0" borderId="0">
      <protection locked="0"/>
    </xf>
    <xf numFmtId="10" fontId="35" fillId="0" borderId="0" applyFont="0" applyFill="0" applyBorder="0" applyAlignment="0" applyProtection="0"/>
    <xf numFmtId="0" fontId="35" fillId="0" borderId="0"/>
    <xf numFmtId="0" fontId="59" fillId="0" borderId="0"/>
    <xf numFmtId="215" fontId="35" fillId="0" borderId="0" applyFont="0" applyFill="0" applyBorder="0" applyAlignment="0" applyProtection="0"/>
    <xf numFmtId="40" fontId="66" fillId="0" borderId="0"/>
    <xf numFmtId="0" fontId="67" fillId="0" borderId="0" applyFill="0" applyBorder="0" applyProtection="0">
      <alignment horizontal="centerContinuous" vertical="center"/>
    </xf>
    <xf numFmtId="0" fontId="68" fillId="10" borderId="0" applyFill="0" applyBorder="0" applyProtection="0">
      <alignment horizontal="center" vertical="center"/>
    </xf>
    <xf numFmtId="9" fontId="69" fillId="0" borderId="0" applyNumberFormat="0" applyFill="0" applyBorder="0" applyAlignment="0">
      <protection locked="0"/>
    </xf>
    <xf numFmtId="216" fontId="35" fillId="0" borderId="0" applyFont="0" applyFill="0" applyBorder="0" applyAlignment="0" applyProtection="0"/>
    <xf numFmtId="0" fontId="35" fillId="0" borderId="0" applyFont="0" applyFill="0" applyBorder="0" applyAlignment="0" applyProtection="0"/>
    <xf numFmtId="217" fontId="33" fillId="0" borderId="0">
      <protection locked="0"/>
    </xf>
    <xf numFmtId="0" fontId="70" fillId="0" borderId="0">
      <protection locked="0"/>
    </xf>
    <xf numFmtId="0" fontId="70" fillId="0" borderId="0">
      <protection locked="0"/>
    </xf>
    <xf numFmtId="38" fontId="49" fillId="0" borderId="0"/>
    <xf numFmtId="0" fontId="50" fillId="0" borderId="0">
      <protection locked="0"/>
    </xf>
    <xf numFmtId="14" fontId="71" fillId="0" borderId="0" applyFont="0" applyFill="0" applyBorder="0" applyProtection="0">
      <alignment horizontal="left" vertical="center"/>
    </xf>
    <xf numFmtId="218" fontId="71" fillId="0" borderId="0" applyFont="0" applyFill="0" applyBorder="0" applyProtection="0">
      <alignment vertical="center"/>
    </xf>
    <xf numFmtId="219" fontId="71" fillId="0" borderId="0" applyFont="0" applyFill="0" applyBorder="0" applyProtection="0">
      <alignment vertical="center"/>
    </xf>
    <xf numFmtId="3" fontId="32" fillId="0" borderId="14">
      <alignment horizontal="center"/>
    </xf>
    <xf numFmtId="0" fontId="50" fillId="0" borderId="0">
      <protection locked="0"/>
    </xf>
    <xf numFmtId="40" fontId="72" fillId="0" borderId="0" applyFont="0" applyFill="0" applyBorder="0" applyAlignment="0" applyProtection="0"/>
    <xf numFmtId="38" fontId="72" fillId="0" borderId="0" applyFont="0" applyFill="0" applyBorder="0" applyAlignment="0" applyProtection="0"/>
    <xf numFmtId="0" fontId="72" fillId="0" borderId="0" applyFont="0" applyFill="0" applyBorder="0" applyAlignment="0" applyProtection="0"/>
    <xf numFmtId="0" fontId="72" fillId="0" borderId="0" applyFont="0" applyFill="0" applyBorder="0" applyAlignment="0" applyProtection="0"/>
    <xf numFmtId="0" fontId="73" fillId="0" borderId="0"/>
    <xf numFmtId="41" fontId="74" fillId="0" borderId="27" applyNumberFormat="0" applyFont="0" applyFill="0" applyBorder="0" applyProtection="0">
      <alignment horizontal="distributed" vertical="center"/>
    </xf>
    <xf numFmtId="9" fontId="49" fillId="10" borderId="0" applyFill="0" applyBorder="0" applyProtection="0">
      <alignment horizontal="right"/>
    </xf>
    <xf numFmtId="10" fontId="49" fillId="0" borderId="0" applyFill="0" applyBorder="0" applyProtection="0">
      <alignment horizontal="right"/>
    </xf>
    <xf numFmtId="9" fontId="10" fillId="0" borderId="0" applyFont="0" applyFill="0" applyBorder="0" applyAlignment="0" applyProtection="0">
      <alignment vertical="center"/>
    </xf>
    <xf numFmtId="9" fontId="10" fillId="0" borderId="0" applyFont="0" applyFill="0" applyBorder="0" applyAlignment="0" applyProtection="0"/>
    <xf numFmtId="220" fontId="74" fillId="0" borderId="0" applyFont="0" applyFill="0" applyBorder="0" applyAlignment="0" applyProtection="0"/>
    <xf numFmtId="221" fontId="74" fillId="0" borderId="0" applyFont="0" applyFill="0" applyBorder="0" applyAlignment="0" applyProtection="0"/>
    <xf numFmtId="0" fontId="75" fillId="0" borderId="0"/>
    <xf numFmtId="220" fontId="74" fillId="0" borderId="0" applyNumberFormat="0" applyFont="0" applyFill="0" applyBorder="0" applyProtection="0">
      <alignment horizontal="centerContinuous" vertical="center"/>
    </xf>
    <xf numFmtId="222" fontId="76" fillId="0" borderId="0">
      <alignment vertical="center"/>
    </xf>
    <xf numFmtId="41" fontId="10" fillId="0" borderId="0" applyFont="0" applyFill="0" applyBorder="0" applyAlignment="0" applyProtection="0">
      <alignment vertical="center"/>
    </xf>
    <xf numFmtId="41" fontId="10" fillId="0" borderId="0" applyFont="0" applyFill="0" applyBorder="0" applyAlignment="0" applyProtection="0"/>
    <xf numFmtId="0" fontId="10" fillId="0" borderId="0" applyFont="0" applyFill="0" applyBorder="0" applyAlignment="0" applyProtection="0"/>
    <xf numFmtId="223" fontId="33" fillId="0" borderId="0" applyFont="0" applyFill="0" applyBorder="0" applyAlignment="0" applyProtection="0"/>
    <xf numFmtId="0" fontId="77" fillId="0" borderId="0">
      <alignment vertical="center"/>
    </xf>
    <xf numFmtId="4" fontId="50" fillId="0" borderId="0">
      <protection locked="0"/>
    </xf>
    <xf numFmtId="224" fontId="33" fillId="0" borderId="0">
      <protection locked="0"/>
    </xf>
    <xf numFmtId="0" fontId="33" fillId="0" borderId="0"/>
    <xf numFmtId="1" fontId="78" fillId="10" borderId="0" applyNumberFormat="0" applyFont="0" applyFill="0" applyBorder="0" applyAlignment="0">
      <alignment vertical="center"/>
    </xf>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0" fontId="79" fillId="0" borderId="0"/>
    <xf numFmtId="225" fontId="49" fillId="10" borderId="0" applyFill="0" applyBorder="0" applyProtection="0">
      <alignment horizontal="right"/>
    </xf>
    <xf numFmtId="38" fontId="74" fillId="0" borderId="0" applyFont="0" applyFill="0" applyBorder="0" applyAlignment="0" applyProtection="0">
      <alignment vertical="center"/>
    </xf>
    <xf numFmtId="226" fontId="74" fillId="0" borderId="0" applyFont="0" applyFill="0" applyBorder="0" applyAlignment="0" applyProtection="0">
      <alignment vertical="center"/>
    </xf>
    <xf numFmtId="227" fontId="74" fillId="0" borderId="0" applyFont="0" applyFill="0" applyBorder="0" applyAlignment="0" applyProtection="0">
      <alignment vertical="center"/>
    </xf>
    <xf numFmtId="228" fontId="33" fillId="0" borderId="0">
      <protection locked="0"/>
    </xf>
    <xf numFmtId="0" fontId="10" fillId="0" borderId="0">
      <alignment vertical="center"/>
    </xf>
    <xf numFmtId="0" fontId="10" fillId="0" borderId="0"/>
    <xf numFmtId="0" fontId="10" fillId="0" borderId="0"/>
    <xf numFmtId="0" fontId="33" fillId="0" borderId="0"/>
    <xf numFmtId="0" fontId="50" fillId="0" borderId="91">
      <protection locked="0"/>
    </xf>
    <xf numFmtId="40" fontId="80" fillId="0" borderId="0" applyFont="0" applyFill="0" applyBorder="0" applyAlignment="0" applyProtection="0"/>
    <xf numFmtId="38" fontId="80" fillId="0" borderId="0" applyFont="0" applyFill="0" applyBorder="0" applyAlignment="0" applyProtection="0"/>
    <xf numFmtId="0" fontId="33" fillId="0" borderId="0">
      <protection locked="0"/>
    </xf>
    <xf numFmtId="229" fontId="33" fillId="0" borderId="0">
      <protection locked="0"/>
    </xf>
    <xf numFmtId="0" fontId="110" fillId="0" borderId="0" applyFont="0" applyFill="0" applyBorder="0" applyAlignment="0" applyProtection="0"/>
    <xf numFmtId="0" fontId="110" fillId="0" borderId="0" applyFont="0" applyFill="0" applyBorder="0" applyAlignment="0" applyProtection="0"/>
    <xf numFmtId="0" fontId="110" fillId="0" borderId="0"/>
    <xf numFmtId="0" fontId="61" fillId="0" borderId="0"/>
    <xf numFmtId="0" fontId="79" fillId="0" borderId="0"/>
    <xf numFmtId="0" fontId="32" fillId="0" borderId="0"/>
    <xf numFmtId="0" fontId="35" fillId="0" borderId="0"/>
    <xf numFmtId="0" fontId="35" fillId="0" borderId="0"/>
    <xf numFmtId="0" fontId="35" fillId="0" borderId="0"/>
    <xf numFmtId="0" fontId="32" fillId="0" borderId="0"/>
    <xf numFmtId="0" fontId="61" fillId="0" borderId="0"/>
    <xf numFmtId="0" fontId="35" fillId="0" borderId="0"/>
    <xf numFmtId="0" fontId="32" fillId="0" borderId="0"/>
    <xf numFmtId="0" fontId="61" fillId="0" borderId="0"/>
    <xf numFmtId="0" fontId="32" fillId="0" borderId="0"/>
    <xf numFmtId="0" fontId="35" fillId="0" borderId="0"/>
    <xf numFmtId="0" fontId="35" fillId="0" borderId="0"/>
    <xf numFmtId="0" fontId="35" fillId="0" borderId="0"/>
    <xf numFmtId="0" fontId="32" fillId="0" borderId="0"/>
    <xf numFmtId="0" fontId="32" fillId="0" borderId="0"/>
    <xf numFmtId="0" fontId="61" fillId="0" borderId="0"/>
    <xf numFmtId="0" fontId="35" fillId="0" borderId="0"/>
    <xf numFmtId="0" fontId="35" fillId="0" borderId="0"/>
    <xf numFmtId="0" fontId="32" fillId="0" borderId="0"/>
    <xf numFmtId="0" fontId="111"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0" fillId="0" borderId="0" applyFont="0" applyFill="0" applyBorder="0" applyAlignment="0" applyProtection="0"/>
    <xf numFmtId="0" fontId="112" fillId="0" borderId="0" applyFont="0" applyFill="0" applyBorder="0" applyAlignment="0" applyProtection="0"/>
    <xf numFmtId="0" fontId="110" fillId="0" borderId="0" applyFont="0" applyFill="0" applyBorder="0" applyAlignment="0" applyProtection="0"/>
    <xf numFmtId="0" fontId="110" fillId="0" borderId="0" applyFont="0" applyFill="0" applyBorder="0" applyAlignment="0" applyProtection="0"/>
    <xf numFmtId="301" fontId="43" fillId="0" borderId="0" applyFont="0" applyFill="0" applyBorder="0" applyAlignment="0" applyProtection="0"/>
    <xf numFmtId="0" fontId="111" fillId="0" borderId="0" applyFont="0" applyFill="0" applyBorder="0" applyAlignment="0" applyProtection="0"/>
    <xf numFmtId="0" fontId="111" fillId="0" borderId="0" applyFont="0" applyFill="0" applyBorder="0" applyAlignment="0" applyProtection="0"/>
    <xf numFmtId="0" fontId="112" fillId="0" borderId="0" applyFont="0" applyFill="0" applyBorder="0" applyAlignment="0" applyProtection="0"/>
    <xf numFmtId="0" fontId="112" fillId="0" borderId="0" applyFont="0" applyFill="0" applyBorder="0" applyAlignment="0" applyProtection="0"/>
    <xf numFmtId="0" fontId="112" fillId="0" borderId="0" applyFont="0" applyFill="0" applyBorder="0" applyAlignment="0" applyProtection="0"/>
    <xf numFmtId="0" fontId="112" fillId="0" borderId="0" applyFont="0" applyFill="0" applyBorder="0" applyAlignment="0" applyProtection="0"/>
    <xf numFmtId="0" fontId="111" fillId="0" borderId="0" applyFont="0" applyFill="0" applyBorder="0" applyAlignment="0" applyProtection="0"/>
    <xf numFmtId="0" fontId="10" fillId="0" borderId="0" applyFont="0" applyFill="0" applyBorder="0" applyAlignment="0" applyProtection="0"/>
    <xf numFmtId="302" fontId="43" fillId="0" borderId="0" applyFont="0" applyFill="0" applyBorder="0" applyAlignment="0" applyProtection="0"/>
    <xf numFmtId="38" fontId="43" fillId="0" borderId="0" applyFont="0" applyFill="0" applyBorder="0" applyAlignment="0" applyProtection="0"/>
    <xf numFmtId="40" fontId="43" fillId="0" borderId="0" applyFont="0" applyFill="0" applyBorder="0" applyAlignment="0" applyProtection="0"/>
    <xf numFmtId="0" fontId="113" fillId="0" borderId="0"/>
    <xf numFmtId="0" fontId="43" fillId="0" borderId="0"/>
    <xf numFmtId="0" fontId="114" fillId="0" borderId="0"/>
    <xf numFmtId="0" fontId="115" fillId="0" borderId="0"/>
    <xf numFmtId="0" fontId="116" fillId="0" borderId="0" applyNumberFormat="0" applyFill="0" applyBorder="0" applyAlignment="0" applyProtection="0">
      <alignment vertical="top"/>
      <protection locked="0"/>
    </xf>
    <xf numFmtId="9" fontId="117" fillId="0" borderId="0" applyFont="0" applyFill="0" applyBorder="0" applyAlignment="0" applyProtection="0">
      <alignment vertical="center"/>
    </xf>
    <xf numFmtId="9" fontId="10" fillId="0" borderId="0" applyFont="0" applyFill="0" applyBorder="0" applyAlignment="0" applyProtection="0"/>
    <xf numFmtId="9" fontId="1" fillId="0" borderId="0" applyFont="0" applyFill="0" applyBorder="0" applyAlignment="0" applyProtection="0">
      <alignment vertical="center"/>
    </xf>
    <xf numFmtId="0" fontId="10" fillId="0" borderId="0" applyFont="0" applyFill="0" applyBorder="0" applyAlignment="0" applyProtection="0"/>
    <xf numFmtId="0" fontId="10" fillId="0" borderId="0" applyFont="0" applyFill="0" applyBorder="0" applyAlignment="0" applyProtection="0"/>
    <xf numFmtId="41" fontId="117" fillId="0" borderId="0" applyFont="0" applyFill="0" applyBorder="0" applyAlignment="0" applyProtection="0">
      <alignment vertical="center"/>
    </xf>
    <xf numFmtId="41" fontId="1" fillId="0" borderId="0" applyFont="0" applyFill="0" applyBorder="0" applyAlignment="0" applyProtection="0">
      <alignment vertical="center"/>
    </xf>
    <xf numFmtId="41" fontId="1" fillId="0" borderId="0" applyFont="0" applyFill="0" applyBorder="0" applyAlignment="0" applyProtection="0">
      <alignment vertical="center"/>
    </xf>
    <xf numFmtId="41" fontId="1" fillId="0" borderId="0" applyFont="0" applyFill="0" applyBorder="0" applyAlignment="0" applyProtection="0">
      <alignment vertical="center"/>
    </xf>
    <xf numFmtId="0" fontId="61" fillId="0" borderId="0"/>
    <xf numFmtId="0" fontId="61" fillId="0" borderId="0"/>
    <xf numFmtId="0" fontId="61" fillId="0" borderId="0"/>
    <xf numFmtId="0" fontId="118" fillId="0" borderId="127" applyNumberFormat="0" applyFill="0" applyAlignment="0" applyProtection="0">
      <alignment vertical="center"/>
    </xf>
    <xf numFmtId="208" fontId="33" fillId="0" borderId="0" applyFont="0" applyFill="0" applyBorder="0" applyAlignment="0" applyProtection="0"/>
    <xf numFmtId="209" fontId="33" fillId="0" borderId="0" applyFont="0" applyFill="0" applyBorder="0" applyAlignment="0" applyProtection="0"/>
    <xf numFmtId="0" fontId="1" fillId="0" borderId="0">
      <alignment vertical="center"/>
    </xf>
    <xf numFmtId="0" fontId="9" fillId="0" borderId="0"/>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 fillId="0" borderId="0">
      <alignment vertical="center"/>
    </xf>
    <xf numFmtId="0" fontId="117" fillId="0" borderId="0">
      <alignment vertical="center"/>
    </xf>
    <xf numFmtId="9" fontId="1" fillId="0" borderId="0" applyFont="0" applyFill="0" applyBorder="0" applyAlignment="0" applyProtection="0">
      <alignment vertical="center"/>
    </xf>
    <xf numFmtId="9" fontId="122" fillId="0" borderId="0" applyFont="0" applyFill="0" applyBorder="0" applyAlignment="0" applyProtection="0">
      <alignment vertical="center"/>
    </xf>
    <xf numFmtId="9" fontId="1" fillId="0" borderId="0" applyFont="0" applyFill="0" applyBorder="0" applyAlignment="0" applyProtection="0">
      <alignment vertical="center"/>
    </xf>
    <xf numFmtId="9" fontId="1" fillId="0" borderId="0" applyFont="0" applyFill="0" applyBorder="0" applyAlignment="0" applyProtection="0">
      <alignment vertical="center"/>
    </xf>
    <xf numFmtId="9" fontId="10" fillId="0" borderId="0" applyFont="0" applyFill="0" applyBorder="0" applyAlignment="0" applyProtection="0"/>
    <xf numFmtId="9" fontId="10" fillId="0" borderId="0" applyFont="0" applyFill="0" applyBorder="0" applyAlignment="0" applyProtection="0"/>
    <xf numFmtId="9" fontId="2" fillId="0" borderId="0" applyFont="0" applyFill="0" applyBorder="0" applyAlignment="0" applyProtection="0">
      <alignment vertical="center"/>
    </xf>
    <xf numFmtId="41" fontId="1" fillId="0" borderId="0" applyFont="0" applyFill="0" applyBorder="0" applyAlignment="0" applyProtection="0">
      <alignment vertical="center"/>
    </xf>
    <xf numFmtId="41" fontId="1" fillId="0" borderId="0" applyFont="0" applyFill="0" applyBorder="0" applyAlignment="0" applyProtection="0">
      <alignment vertical="center"/>
    </xf>
    <xf numFmtId="41" fontId="1" fillId="0" borderId="0" applyFont="0" applyFill="0" applyBorder="0" applyAlignment="0" applyProtection="0">
      <alignment vertical="center"/>
    </xf>
    <xf numFmtId="180" fontId="10" fillId="0" borderId="0" applyFont="0" applyFill="0" applyBorder="0" applyAlignment="0" applyProtection="0"/>
    <xf numFmtId="41" fontId="1" fillId="0" borderId="0" applyFont="0" applyFill="0" applyBorder="0" applyAlignment="0" applyProtection="0">
      <alignment vertical="center"/>
    </xf>
    <xf numFmtId="180" fontId="1" fillId="0" borderId="0" applyFont="0" applyFill="0" applyBorder="0" applyAlignment="0" applyProtection="0">
      <alignment vertical="center"/>
    </xf>
    <xf numFmtId="180" fontId="2" fillId="0" borderId="0" applyFont="0" applyFill="0" applyBorder="0" applyAlignment="0" applyProtection="0">
      <alignment vertical="center"/>
    </xf>
    <xf numFmtId="0" fontId="1" fillId="0" borderId="0">
      <alignment vertical="center"/>
    </xf>
    <xf numFmtId="0" fontId="1" fillId="0" borderId="0">
      <alignment vertical="center"/>
    </xf>
    <xf numFmtId="0" fontId="1" fillId="0" borderId="0">
      <alignment vertical="center"/>
    </xf>
    <xf numFmtId="0" fontId="10" fillId="0" borderId="0"/>
    <xf numFmtId="0" fontId="1" fillId="0" borderId="0">
      <alignment vertical="center"/>
    </xf>
    <xf numFmtId="0" fontId="10" fillId="0" borderId="0">
      <alignment vertical="center"/>
    </xf>
    <xf numFmtId="0" fontId="2" fillId="0" borderId="0">
      <alignment vertical="center"/>
    </xf>
    <xf numFmtId="0" fontId="123" fillId="0" borderId="0" applyNumberFormat="0" applyFill="0" applyBorder="0" applyAlignment="0" applyProtection="0">
      <alignment vertical="top"/>
      <protection locked="0"/>
    </xf>
    <xf numFmtId="321" fontId="146" fillId="0" borderId="0" applyAlignment="0" applyProtection="0"/>
    <xf numFmtId="41" fontId="8" fillId="0" borderId="0" applyFont="0" applyFill="0" applyBorder="0" applyAlignment="0" applyProtection="0">
      <alignment vertical="center"/>
    </xf>
    <xf numFmtId="323" fontId="8" fillId="0" borderId="0">
      <alignment vertical="center"/>
    </xf>
    <xf numFmtId="0" fontId="152" fillId="0" borderId="0" applyNumberFormat="0" applyFill="0" applyBorder="0" applyAlignment="0" applyProtection="0">
      <alignment vertical="center"/>
    </xf>
  </cellStyleXfs>
  <cellXfs count="2579">
    <xf numFmtId="0" fontId="0" fillId="0" borderId="0" xfId="0">
      <alignment vertical="center"/>
    </xf>
    <xf numFmtId="0" fontId="0" fillId="2" borderId="0" xfId="0" applyFill="1">
      <alignment vertical="center"/>
    </xf>
    <xf numFmtId="0" fontId="0" fillId="2" borderId="0" xfId="0" applyFill="1" applyAlignment="1">
      <alignment horizontal="center" vertical="center"/>
    </xf>
    <xf numFmtId="0" fontId="7" fillId="0" borderId="0" xfId="0" applyFont="1" applyAlignment="1">
      <alignment horizontal="center" vertical="center" textRotation="255"/>
    </xf>
    <xf numFmtId="0" fontId="9" fillId="0" borderId="0" xfId="0" applyFont="1" applyAlignment="1">
      <alignment horizontal="center" vertical="center"/>
    </xf>
    <xf numFmtId="176" fontId="7" fillId="0" borderId="0" xfId="0" applyNumberFormat="1" applyFont="1" applyAlignment="1">
      <alignment horizontal="center" vertical="center" textRotation="255"/>
    </xf>
    <xf numFmtId="193" fontId="9" fillId="0" borderId="0" xfId="0" applyNumberFormat="1" applyFont="1">
      <alignment vertical="center"/>
    </xf>
    <xf numFmtId="0" fontId="0" fillId="0" borderId="0" xfId="0" applyAlignment="1">
      <alignment horizontal="center" vertical="center"/>
    </xf>
    <xf numFmtId="0" fontId="8" fillId="2" borderId="0" xfId="0" applyFont="1" applyFill="1" applyAlignment="1">
      <alignment horizontal="right" vertical="center"/>
    </xf>
    <xf numFmtId="0" fontId="17" fillId="0" borderId="55" xfId="0" applyFont="1" applyBorder="1" applyAlignment="1">
      <alignment horizontal="center" vertical="center" wrapText="1"/>
    </xf>
    <xf numFmtId="0" fontId="17" fillId="0" borderId="53" xfId="0" applyFont="1" applyBorder="1" applyAlignment="1">
      <alignment horizontal="center" vertical="center" wrapText="1"/>
    </xf>
    <xf numFmtId="0" fontId="17" fillId="0" borderId="54" xfId="0" applyFont="1" applyBorder="1" applyAlignment="1">
      <alignment horizontal="center" vertical="center" wrapText="1"/>
    </xf>
    <xf numFmtId="0" fontId="17" fillId="12" borderId="27" xfId="0" applyFont="1" applyFill="1" applyBorder="1" applyAlignment="1">
      <alignment horizontal="center" vertical="center" wrapText="1"/>
    </xf>
    <xf numFmtId="0" fontId="17" fillId="0" borderId="27" xfId="0" applyFont="1" applyBorder="1" applyAlignment="1">
      <alignment horizontal="center" vertical="center" wrapText="1"/>
    </xf>
    <xf numFmtId="41" fontId="0" fillId="0" borderId="27" xfId="1" applyFont="1" applyBorder="1" applyAlignment="1">
      <alignment horizontal="center" vertical="center"/>
    </xf>
    <xf numFmtId="0" fontId="0" fillId="9" borderId="27" xfId="0" applyFill="1" applyBorder="1" applyAlignment="1">
      <alignment horizontal="center" vertical="center"/>
    </xf>
    <xf numFmtId="0" fontId="0" fillId="0" borderId="27" xfId="0" applyBorder="1" applyAlignment="1">
      <alignment horizontal="center" vertical="center"/>
    </xf>
    <xf numFmtId="41" fontId="0" fillId="0" borderId="27" xfId="1" applyFont="1" applyBorder="1">
      <alignment vertical="center"/>
    </xf>
    <xf numFmtId="41" fontId="0" fillId="0" borderId="27" xfId="0" applyNumberFormat="1" applyBorder="1" applyAlignment="1">
      <alignment horizontal="center" vertical="center"/>
    </xf>
    <xf numFmtId="0" fontId="0" fillId="18" borderId="27" xfId="0" applyFill="1" applyBorder="1" applyAlignment="1">
      <alignment horizontal="center" vertical="center"/>
    </xf>
    <xf numFmtId="0" fontId="0" fillId="20" borderId="27" xfId="0" applyFill="1" applyBorder="1" applyAlignment="1">
      <alignment horizontal="center" vertical="center"/>
    </xf>
    <xf numFmtId="41" fontId="7" fillId="0" borderId="27" xfId="1" applyFont="1" applyBorder="1" applyAlignment="1">
      <alignment horizontal="center" vertical="center"/>
    </xf>
    <xf numFmtId="0" fontId="0" fillId="0" borderId="27" xfId="0" applyBorder="1" applyAlignment="1">
      <alignment horizontal="center" vertical="center" shrinkToFit="1"/>
    </xf>
    <xf numFmtId="0" fontId="0" fillId="0" borderId="27" xfId="0" applyBorder="1" applyAlignment="1">
      <alignment horizontal="center" vertical="center" wrapText="1"/>
    </xf>
    <xf numFmtId="0" fontId="0" fillId="0" borderId="0" xfId="0" applyAlignment="1">
      <alignment horizontal="right" vertical="center"/>
    </xf>
    <xf numFmtId="0" fontId="21" fillId="9" borderId="27" xfId="0" applyFont="1" applyFill="1" applyBorder="1" applyAlignment="1">
      <alignment horizontal="center" vertical="center"/>
    </xf>
    <xf numFmtId="0" fontId="12" fillId="0" borderId="27" xfId="0" applyFont="1" applyBorder="1" applyAlignment="1">
      <alignment horizontal="center" vertical="center"/>
    </xf>
    <xf numFmtId="41" fontId="12" fillId="0" borderId="27" xfId="1" applyFont="1" applyBorder="1" applyAlignment="1">
      <alignment horizontal="center" vertical="center"/>
    </xf>
    <xf numFmtId="0" fontId="12" fillId="22" borderId="27" xfId="0" applyFont="1" applyFill="1" applyBorder="1" applyAlignment="1">
      <alignment horizontal="center" vertical="center"/>
    </xf>
    <xf numFmtId="41" fontId="12" fillId="22" borderId="27" xfId="1" applyFont="1" applyFill="1" applyBorder="1" applyAlignment="1">
      <alignment horizontal="center" vertical="center"/>
    </xf>
    <xf numFmtId="0" fontId="12" fillId="0" borderId="0" xfId="0" applyFont="1">
      <alignment vertical="center"/>
    </xf>
    <xf numFmtId="41" fontId="12" fillId="0" borderId="27" xfId="1" applyFont="1" applyFill="1" applyBorder="1" applyAlignment="1">
      <alignment vertical="center"/>
    </xf>
    <xf numFmtId="41" fontId="12" fillId="22" borderId="27" xfId="1" applyFont="1" applyFill="1" applyBorder="1" applyAlignment="1">
      <alignment vertical="center"/>
    </xf>
    <xf numFmtId="41" fontId="12" fillId="0" borderId="27" xfId="1" applyFont="1" applyBorder="1" applyAlignment="1">
      <alignment vertical="center"/>
    </xf>
    <xf numFmtId="0" fontId="12" fillId="0" borderId="27" xfId="0" applyFont="1" applyBorder="1" applyAlignment="1">
      <alignment horizontal="center" vertical="center" wrapText="1"/>
    </xf>
    <xf numFmtId="41" fontId="12" fillId="0" borderId="27" xfId="0" applyNumberFormat="1" applyFont="1" applyBorder="1">
      <alignment vertical="center"/>
    </xf>
    <xf numFmtId="195" fontId="18" fillId="0" borderId="27" xfId="0" applyNumberFormat="1" applyFont="1" applyBorder="1">
      <alignment vertical="center"/>
    </xf>
    <xf numFmtId="0" fontId="22" fillId="23" borderId="55" xfId="0" applyFont="1" applyFill="1" applyBorder="1" applyAlignment="1">
      <alignment horizontal="center" vertical="center" wrapText="1"/>
    </xf>
    <xf numFmtId="0" fontId="22" fillId="23" borderId="60" xfId="0" applyFont="1" applyFill="1" applyBorder="1" applyAlignment="1">
      <alignment horizontal="center" vertical="center" wrapText="1"/>
    </xf>
    <xf numFmtId="0" fontId="22" fillId="23" borderId="61" xfId="0" applyFont="1" applyFill="1" applyBorder="1" applyAlignment="1">
      <alignment horizontal="center" vertical="center" wrapText="1"/>
    </xf>
    <xf numFmtId="0" fontId="22" fillId="23" borderId="62" xfId="0" applyFont="1" applyFill="1" applyBorder="1" applyAlignment="1">
      <alignment horizontal="center" vertical="center" wrapText="1"/>
    </xf>
    <xf numFmtId="0" fontId="17" fillId="0" borderId="55" xfId="0" applyFont="1" applyBorder="1" applyAlignment="1">
      <alignment horizontal="left" vertical="center" wrapText="1"/>
    </xf>
    <xf numFmtId="0" fontId="17" fillId="0" borderId="60" xfId="0" applyFont="1" applyBorder="1" applyAlignment="1">
      <alignment horizontal="center" vertical="center" wrapText="1"/>
    </xf>
    <xf numFmtId="0" fontId="22" fillId="0" borderId="63" xfId="0" applyFont="1" applyBorder="1" applyAlignment="1">
      <alignment horizontal="center" vertical="center" wrapText="1"/>
    </xf>
    <xf numFmtId="0" fontId="17" fillId="0" borderId="62" xfId="0" applyFont="1" applyBorder="1" applyAlignment="1">
      <alignment horizontal="center" vertical="center" wrapText="1"/>
    </xf>
    <xf numFmtId="0" fontId="17" fillId="0" borderId="59" xfId="0" applyFont="1" applyBorder="1" applyAlignment="1">
      <alignment horizontal="center" vertical="center" wrapText="1"/>
    </xf>
    <xf numFmtId="0" fontId="0" fillId="0" borderId="59" xfId="0" applyBorder="1" applyAlignment="1">
      <alignment vertical="center" wrapText="1"/>
    </xf>
    <xf numFmtId="0" fontId="0" fillId="0" borderId="54" xfId="0" applyBorder="1" applyAlignment="1">
      <alignment vertical="center" wrapText="1"/>
    </xf>
    <xf numFmtId="0" fontId="22" fillId="23" borderId="64" xfId="0" applyFont="1" applyFill="1" applyBorder="1" applyAlignment="1">
      <alignment horizontal="center" vertical="center" wrapText="1"/>
    </xf>
    <xf numFmtId="0" fontId="17" fillId="23" borderId="55" xfId="0" applyFont="1" applyFill="1" applyBorder="1" applyAlignment="1">
      <alignment horizontal="center" vertical="center" wrapText="1"/>
    </xf>
    <xf numFmtId="41" fontId="17" fillId="0" borderId="27" xfId="1" applyFont="1" applyBorder="1" applyAlignment="1">
      <alignment horizontal="center" vertical="center" wrapText="1"/>
    </xf>
    <xf numFmtId="10" fontId="17" fillId="0" borderId="27" xfId="0" applyNumberFormat="1" applyFont="1" applyBorder="1" applyAlignment="1">
      <alignment horizontal="center" vertical="center" wrapText="1"/>
    </xf>
    <xf numFmtId="41" fontId="22" fillId="0" borderId="27" xfId="1" applyFont="1" applyBorder="1" applyAlignment="1">
      <alignment horizontal="center" vertical="center" wrapText="1"/>
    </xf>
    <xf numFmtId="41" fontId="7" fillId="0" borderId="27" xfId="1" applyFont="1" applyBorder="1">
      <alignment vertical="center"/>
    </xf>
    <xf numFmtId="3" fontId="0" fillId="0" borderId="27" xfId="0" applyNumberFormat="1" applyBorder="1" applyAlignment="1">
      <alignment horizontal="right" vertical="center"/>
    </xf>
    <xf numFmtId="10" fontId="0" fillId="0" borderId="27" xfId="0" applyNumberFormat="1" applyBorder="1" applyAlignment="1">
      <alignment horizontal="center" vertical="center"/>
    </xf>
    <xf numFmtId="0" fontId="24" fillId="0" borderId="0" xfId="0" applyFont="1">
      <alignment vertical="center"/>
    </xf>
    <xf numFmtId="0" fontId="25" fillId="0" borderId="0" xfId="0" applyFont="1">
      <alignment vertical="center"/>
    </xf>
    <xf numFmtId="0" fontId="26" fillId="0" borderId="0" xfId="0" applyFont="1">
      <alignment vertical="center"/>
    </xf>
    <xf numFmtId="0" fontId="27" fillId="0" borderId="0" xfId="0" applyFont="1">
      <alignment vertical="center"/>
    </xf>
    <xf numFmtId="3" fontId="25" fillId="3" borderId="84" xfId="1" applyNumberFormat="1" applyFont="1" applyFill="1" applyBorder="1" applyAlignment="1">
      <alignment horizontal="center" vertical="center"/>
    </xf>
    <xf numFmtId="0" fontId="25" fillId="0" borderId="0" xfId="0" applyFont="1" applyAlignment="1">
      <alignment horizontal="right" vertical="center"/>
    </xf>
    <xf numFmtId="3" fontId="25" fillId="0" borderId="0" xfId="1" applyNumberFormat="1" applyFont="1" applyAlignment="1">
      <alignment vertical="center"/>
    </xf>
    <xf numFmtId="41" fontId="25" fillId="0" borderId="0" xfId="1" applyFont="1" applyAlignment="1">
      <alignment vertical="center"/>
    </xf>
    <xf numFmtId="3" fontId="25" fillId="0" borderId="0" xfId="1" applyNumberFormat="1" applyFont="1" applyAlignment="1">
      <alignment horizontal="center" vertical="center"/>
    </xf>
    <xf numFmtId="0" fontId="25" fillId="0" borderId="0" xfId="0" applyFont="1" applyAlignment="1">
      <alignment horizontal="center" vertical="center"/>
    </xf>
    <xf numFmtId="41" fontId="25" fillId="0" borderId="85" xfId="1" applyFont="1" applyBorder="1" applyAlignment="1">
      <alignment vertical="center"/>
    </xf>
    <xf numFmtId="41" fontId="25" fillId="0" borderId="0" xfId="1" applyFont="1" applyBorder="1" applyAlignment="1">
      <alignment vertical="center"/>
    </xf>
    <xf numFmtId="3" fontId="25" fillId="0" borderId="0" xfId="1" applyNumberFormat="1" applyFont="1" applyBorder="1" applyAlignment="1">
      <alignment horizontal="center" vertical="center"/>
    </xf>
    <xf numFmtId="3" fontId="25" fillId="8" borderId="82" xfId="1" applyNumberFormat="1" applyFont="1" applyFill="1" applyBorder="1" applyAlignment="1">
      <alignment horizontal="center" vertical="center"/>
    </xf>
    <xf numFmtId="3" fontId="25" fillId="8" borderId="84" xfId="1" applyNumberFormat="1" applyFont="1" applyFill="1" applyBorder="1" applyAlignment="1">
      <alignment horizontal="center" vertical="center"/>
    </xf>
    <xf numFmtId="41" fontId="25" fillId="3" borderId="87" xfId="0" applyNumberFormat="1" applyFont="1" applyFill="1" applyBorder="1">
      <alignment vertical="center"/>
    </xf>
    <xf numFmtId="0" fontId="25" fillId="0" borderId="87" xfId="0" applyFont="1" applyBorder="1">
      <alignment vertical="center"/>
    </xf>
    <xf numFmtId="4" fontId="25" fillId="0" borderId="87" xfId="0" applyNumberFormat="1" applyFont="1" applyBorder="1">
      <alignment vertical="center"/>
    </xf>
    <xf numFmtId="202" fontId="25" fillId="0" borderId="87" xfId="1" applyNumberFormat="1" applyFont="1" applyBorder="1" applyAlignment="1">
      <alignment vertical="center"/>
    </xf>
    <xf numFmtId="185" fontId="25" fillId="0" borderId="88" xfId="0" applyNumberFormat="1" applyFont="1" applyBorder="1">
      <alignment vertical="center"/>
    </xf>
    <xf numFmtId="203" fontId="25" fillId="0" borderId="0" xfId="0" applyNumberFormat="1" applyFont="1">
      <alignment vertical="center"/>
    </xf>
    <xf numFmtId="3" fontId="25" fillId="0" borderId="86" xfId="1" applyNumberFormat="1" applyFont="1" applyBorder="1" applyAlignment="1">
      <alignment horizontal="center" vertical="center"/>
    </xf>
    <xf numFmtId="3" fontId="25" fillId="0" borderId="88" xfId="1" applyNumberFormat="1" applyFont="1" applyBorder="1" applyAlignment="1">
      <alignment horizontal="center" vertical="center"/>
    </xf>
    <xf numFmtId="41" fontId="25" fillId="0" borderId="87" xfId="0" applyNumberFormat="1" applyFont="1" applyBorder="1">
      <alignment vertical="center"/>
    </xf>
    <xf numFmtId="41" fontId="25" fillId="0" borderId="87" xfId="1" applyFont="1" applyBorder="1" applyAlignment="1">
      <alignment vertical="center"/>
    </xf>
    <xf numFmtId="0" fontId="25" fillId="8" borderId="83" xfId="0" applyFont="1" applyFill="1" applyBorder="1" applyAlignment="1">
      <alignment horizontal="center" vertical="center"/>
    </xf>
    <xf numFmtId="0" fontId="25" fillId="6" borderId="87" xfId="0" applyFont="1" applyFill="1" applyBorder="1">
      <alignment vertical="center"/>
    </xf>
    <xf numFmtId="41" fontId="25" fillId="6" borderId="87" xfId="1" applyFont="1" applyFill="1" applyBorder="1" applyAlignment="1">
      <alignment vertical="center"/>
    </xf>
    <xf numFmtId="43" fontId="25" fillId="0" borderId="87" xfId="0" applyNumberFormat="1" applyFont="1" applyBorder="1">
      <alignment vertical="center"/>
    </xf>
    <xf numFmtId="41" fontId="25" fillId="8" borderId="83" xfId="1" applyFont="1" applyFill="1" applyBorder="1" applyAlignment="1">
      <alignment horizontal="center" vertical="center"/>
    </xf>
    <xf numFmtId="3" fontId="25" fillId="0" borderId="87" xfId="1" applyNumberFormat="1" applyFont="1" applyBorder="1" applyAlignment="1">
      <alignment horizontal="center" vertical="center"/>
    </xf>
    <xf numFmtId="3" fontId="25" fillId="0" borderId="87" xfId="1" applyNumberFormat="1" applyFont="1" applyBorder="1" applyAlignment="1">
      <alignment horizontal="center" vertical="center" wrapText="1"/>
    </xf>
    <xf numFmtId="0" fontId="25" fillId="0" borderId="87" xfId="0" applyFont="1" applyBorder="1" applyAlignment="1">
      <alignment horizontal="left" vertical="center"/>
    </xf>
    <xf numFmtId="0" fontId="30" fillId="0" borderId="87" xfId="0" applyFont="1" applyBorder="1" applyAlignment="1">
      <alignment horizontal="center" vertical="center" wrapText="1"/>
    </xf>
    <xf numFmtId="0" fontId="30" fillId="0" borderId="88" xfId="0" applyFont="1" applyBorder="1" applyAlignment="1">
      <alignment horizontal="center" vertical="center" wrapText="1"/>
    </xf>
    <xf numFmtId="43" fontId="25" fillId="0" borderId="0" xfId="0" applyNumberFormat="1" applyFont="1">
      <alignment vertical="center"/>
    </xf>
    <xf numFmtId="0" fontId="30" fillId="3" borderId="88" xfId="0" applyFont="1" applyFill="1" applyBorder="1" applyAlignment="1">
      <alignment horizontal="center" vertical="center" wrapText="1"/>
    </xf>
    <xf numFmtId="43" fontId="25" fillId="0" borderId="87" xfId="0" applyNumberFormat="1" applyFont="1" applyBorder="1" applyAlignment="1">
      <alignment horizontal="center" vertical="center"/>
    </xf>
    <xf numFmtId="204" fontId="25" fillId="0" borderId="87" xfId="1" applyNumberFormat="1" applyFont="1" applyFill="1" applyBorder="1" applyAlignment="1">
      <alignment vertical="center"/>
    </xf>
    <xf numFmtId="204" fontId="25" fillId="0" borderId="87" xfId="2" applyNumberFormat="1" applyFont="1" applyFill="1" applyBorder="1" applyAlignment="1">
      <alignment vertical="center"/>
    </xf>
    <xf numFmtId="0" fontId="25" fillId="0" borderId="87" xfId="0" applyFont="1" applyBorder="1" applyAlignment="1">
      <alignment horizontal="center" vertical="center"/>
    </xf>
    <xf numFmtId="41" fontId="25" fillId="0" borderId="0" xfId="0" applyNumberFormat="1" applyFont="1">
      <alignment vertical="center"/>
    </xf>
    <xf numFmtId="0" fontId="25" fillId="0" borderId="93" xfId="0" applyFont="1" applyBorder="1">
      <alignment vertical="center"/>
    </xf>
    <xf numFmtId="0" fontId="26" fillId="0" borderId="93" xfId="0" applyFont="1" applyBorder="1">
      <alignment vertical="center"/>
    </xf>
    <xf numFmtId="0" fontId="25" fillId="0" borderId="0" xfId="0" applyFont="1" applyAlignment="1">
      <alignment horizontal="left" vertical="center"/>
    </xf>
    <xf numFmtId="0" fontId="25" fillId="0" borderId="0" xfId="0" applyFont="1" applyAlignment="1">
      <alignment vertical="center" wrapText="1"/>
    </xf>
    <xf numFmtId="187" fontId="25" fillId="8" borderId="0" xfId="0" quotePrefix="1" applyNumberFormat="1" applyFont="1" applyFill="1">
      <alignment vertical="center"/>
    </xf>
    <xf numFmtId="230" fontId="25" fillId="8" borderId="0" xfId="0" applyNumberFormat="1" applyFont="1" applyFill="1">
      <alignment vertical="center"/>
    </xf>
    <xf numFmtId="231" fontId="25" fillId="8" borderId="0" xfId="0" applyNumberFormat="1" applyFont="1" applyFill="1">
      <alignment vertical="center"/>
    </xf>
    <xf numFmtId="232" fontId="25" fillId="8" borderId="0" xfId="0" applyNumberFormat="1" applyFont="1" applyFill="1">
      <alignment vertical="center"/>
    </xf>
    <xf numFmtId="233" fontId="25" fillId="8" borderId="0" xfId="0" applyNumberFormat="1" applyFont="1" applyFill="1">
      <alignment vertical="center"/>
    </xf>
    <xf numFmtId="234" fontId="25" fillId="0" borderId="0" xfId="0" applyNumberFormat="1" applyFont="1">
      <alignment vertical="center"/>
    </xf>
    <xf numFmtId="235" fontId="83" fillId="0" borderId="0" xfId="1" applyNumberFormat="1" applyFont="1" applyBorder="1" applyAlignment="1">
      <alignment vertical="center"/>
    </xf>
    <xf numFmtId="236" fontId="25" fillId="8" borderId="0" xfId="0" quotePrefix="1" applyNumberFormat="1" applyFont="1" applyFill="1">
      <alignment vertical="center"/>
    </xf>
    <xf numFmtId="237" fontId="25" fillId="8" borderId="0" xfId="0" applyNumberFormat="1" applyFont="1" applyFill="1">
      <alignment vertical="center"/>
    </xf>
    <xf numFmtId="238" fontId="25" fillId="8" borderId="0" xfId="0" applyNumberFormat="1" applyFont="1" applyFill="1">
      <alignment vertical="center"/>
    </xf>
    <xf numFmtId="0" fontId="25" fillId="0" borderId="96" xfId="0" applyFont="1" applyBorder="1">
      <alignment vertical="center"/>
    </xf>
    <xf numFmtId="0" fontId="25" fillId="0" borderId="0" xfId="0" quotePrefix="1" applyFont="1">
      <alignment vertical="center"/>
    </xf>
    <xf numFmtId="0" fontId="25" fillId="8" borderId="98" xfId="0" applyFont="1" applyFill="1" applyBorder="1">
      <alignment vertical="center"/>
    </xf>
    <xf numFmtId="239" fontId="25" fillId="8" borderId="98" xfId="1" applyNumberFormat="1" applyFont="1" applyFill="1" applyBorder="1" applyAlignment="1">
      <alignment vertical="center"/>
    </xf>
    <xf numFmtId="240" fontId="25" fillId="8" borderId="98" xfId="1" applyNumberFormat="1" applyFont="1" applyFill="1" applyBorder="1" applyAlignment="1">
      <alignment vertical="center"/>
    </xf>
    <xf numFmtId="187" fontId="25" fillId="8" borderId="98" xfId="0" applyNumberFormat="1" applyFont="1" applyFill="1" applyBorder="1">
      <alignment vertical="center"/>
    </xf>
    <xf numFmtId="241" fontId="25" fillId="8" borderId="98" xfId="0" applyNumberFormat="1" applyFont="1" applyFill="1" applyBorder="1">
      <alignment vertical="center"/>
    </xf>
    <xf numFmtId="233" fontId="25" fillId="8" borderId="98" xfId="0" applyNumberFormat="1" applyFont="1" applyFill="1" applyBorder="1" applyAlignment="1">
      <alignment horizontal="right" vertical="center"/>
    </xf>
    <xf numFmtId="242" fontId="25" fillId="0" borderId="0" xfId="0" applyNumberFormat="1" applyFont="1">
      <alignment vertical="center"/>
    </xf>
    <xf numFmtId="243" fontId="83" fillId="0" borderId="0" xfId="1" applyNumberFormat="1" applyFont="1" applyBorder="1" applyAlignment="1">
      <alignment vertical="center"/>
    </xf>
    <xf numFmtId="200" fontId="25" fillId="0" borderId="0" xfId="0" applyNumberFormat="1" applyFont="1" applyAlignment="1">
      <alignment horizontal="center" vertical="center"/>
    </xf>
    <xf numFmtId="244" fontId="25" fillId="8" borderId="0" xfId="0" applyNumberFormat="1" applyFont="1" applyFill="1">
      <alignment vertical="center"/>
    </xf>
    <xf numFmtId="245" fontId="25" fillId="8" borderId="0" xfId="0" applyNumberFormat="1" applyFont="1" applyFill="1">
      <alignment vertical="center"/>
    </xf>
    <xf numFmtId="246" fontId="25" fillId="8" borderId="0" xfId="2" applyNumberFormat="1" applyFont="1" applyFill="1" applyBorder="1" applyAlignment="1">
      <alignment vertical="center"/>
    </xf>
    <xf numFmtId="187" fontId="25" fillId="8" borderId="0" xfId="2" applyNumberFormat="1" applyFont="1" applyFill="1" applyBorder="1" applyAlignment="1">
      <alignment vertical="center"/>
    </xf>
    <xf numFmtId="233" fontId="25" fillId="8" borderId="0" xfId="1" applyNumberFormat="1" applyFont="1" applyFill="1" applyBorder="1" applyAlignment="1">
      <alignment vertical="center"/>
    </xf>
    <xf numFmtId="247" fontId="25" fillId="0" borderId="0" xfId="1" applyNumberFormat="1" applyFont="1" applyBorder="1" applyAlignment="1">
      <alignment vertical="center"/>
    </xf>
    <xf numFmtId="243" fontId="83" fillId="0" borderId="0" xfId="1" quotePrefix="1" applyNumberFormat="1" applyFont="1" applyBorder="1" applyAlignment="1">
      <alignment vertical="center"/>
    </xf>
    <xf numFmtId="187" fontId="84" fillId="8" borderId="0" xfId="0" applyNumberFormat="1" applyFont="1" applyFill="1">
      <alignment vertical="center"/>
    </xf>
    <xf numFmtId="248" fontId="25" fillId="8" borderId="0" xfId="0" applyNumberFormat="1" applyFont="1" applyFill="1">
      <alignment vertical="center"/>
    </xf>
    <xf numFmtId="236" fontId="25" fillId="8" borderId="0" xfId="0" applyNumberFormat="1" applyFont="1" applyFill="1">
      <alignment vertical="center"/>
    </xf>
    <xf numFmtId="249" fontId="25" fillId="8" borderId="0" xfId="0" applyNumberFormat="1" applyFont="1" applyFill="1">
      <alignment vertical="center"/>
    </xf>
    <xf numFmtId="233" fontId="25" fillId="8" borderId="0" xfId="0" applyNumberFormat="1" applyFont="1" applyFill="1" applyAlignment="1">
      <alignment horizontal="right" vertical="center"/>
    </xf>
    <xf numFmtId="250" fontId="25" fillId="0" borderId="0" xfId="1" applyNumberFormat="1" applyFont="1" applyBorder="1" applyAlignment="1">
      <alignment vertical="center"/>
    </xf>
    <xf numFmtId="248" fontId="25" fillId="8" borderId="98" xfId="0" applyNumberFormat="1" applyFont="1" applyFill="1" applyBorder="1">
      <alignment vertical="center"/>
    </xf>
    <xf numFmtId="236" fontId="25" fillId="8" borderId="98" xfId="0" applyNumberFormat="1" applyFont="1" applyFill="1" applyBorder="1">
      <alignment vertical="center"/>
    </xf>
    <xf numFmtId="249" fontId="25" fillId="8" borderId="98" xfId="0" applyNumberFormat="1" applyFont="1" applyFill="1" applyBorder="1">
      <alignment vertical="center"/>
    </xf>
    <xf numFmtId="250" fontId="83" fillId="0" borderId="0" xfId="1" applyNumberFormat="1" applyFont="1" applyBorder="1" applyAlignment="1">
      <alignment vertical="center"/>
    </xf>
    <xf numFmtId="251" fontId="25" fillId="8" borderId="98" xfId="1" applyNumberFormat="1" applyFont="1" applyFill="1" applyBorder="1" applyAlignment="1">
      <alignment vertical="center"/>
    </xf>
    <xf numFmtId="252" fontId="25" fillId="8" borderId="98" xfId="1" applyNumberFormat="1" applyFont="1" applyFill="1" applyBorder="1" applyAlignment="1">
      <alignment vertical="center"/>
    </xf>
    <xf numFmtId="0" fontId="25" fillId="8" borderId="98" xfId="0" applyFont="1" applyFill="1" applyBorder="1" applyAlignment="1">
      <alignment horizontal="center" vertical="center"/>
    </xf>
    <xf numFmtId="233" fontId="25" fillId="8" borderId="98" xfId="0" applyNumberFormat="1" applyFont="1" applyFill="1" applyBorder="1">
      <alignment vertical="center"/>
    </xf>
    <xf numFmtId="0" fontId="26" fillId="25" borderId="0" xfId="0" applyFont="1" applyFill="1">
      <alignment vertical="center"/>
    </xf>
    <xf numFmtId="204" fontId="26" fillId="25" borderId="0" xfId="0" applyNumberFormat="1" applyFont="1" applyFill="1">
      <alignment vertical="center"/>
    </xf>
    <xf numFmtId="0" fontId="25" fillId="0" borderId="96" xfId="0" applyFont="1" applyBorder="1" applyAlignment="1">
      <alignment horizontal="left" vertical="center"/>
    </xf>
    <xf numFmtId="0" fontId="26" fillId="0" borderId="96" xfId="0" applyFont="1" applyBorder="1">
      <alignment vertical="center"/>
    </xf>
    <xf numFmtId="41" fontId="86" fillId="0" borderId="0" xfId="0" applyNumberFormat="1" applyFont="1">
      <alignment vertical="center"/>
    </xf>
    <xf numFmtId="0" fontId="25" fillId="0" borderId="84" xfId="0" applyFont="1" applyBorder="1" applyAlignment="1">
      <alignment horizontal="left" vertical="center"/>
    </xf>
    <xf numFmtId="0" fontId="25" fillId="0" borderId="88" xfId="0" applyFont="1" applyBorder="1" applyAlignment="1">
      <alignment horizontal="left" vertical="center"/>
    </xf>
    <xf numFmtId="10" fontId="25" fillId="0" borderId="88" xfId="0" applyNumberFormat="1" applyFont="1" applyBorder="1" applyAlignment="1">
      <alignment horizontal="left" vertical="center"/>
    </xf>
    <xf numFmtId="10" fontId="84" fillId="0" borderId="0" xfId="0" applyNumberFormat="1" applyFont="1">
      <alignment vertical="center"/>
    </xf>
    <xf numFmtId="0" fontId="87" fillId="8" borderId="98" xfId="0" applyFont="1" applyFill="1" applyBorder="1">
      <alignment vertical="center"/>
    </xf>
    <xf numFmtId="0" fontId="83" fillId="8" borderId="98" xfId="0" applyFont="1" applyFill="1" applyBorder="1" applyAlignment="1">
      <alignment horizontal="center" vertical="center"/>
    </xf>
    <xf numFmtId="185" fontId="83" fillId="8" borderId="98" xfId="1" applyNumberFormat="1" applyFont="1" applyFill="1" applyBorder="1" applyAlignment="1">
      <alignment vertical="center"/>
    </xf>
    <xf numFmtId="0" fontId="83" fillId="8" borderId="98" xfId="0" applyFont="1" applyFill="1" applyBorder="1" applyAlignment="1">
      <alignment horizontal="left" vertical="center"/>
    </xf>
    <xf numFmtId="41" fontId="26" fillId="0" borderId="0" xfId="1" applyFont="1" applyAlignment="1">
      <alignment vertical="center"/>
    </xf>
    <xf numFmtId="0" fontId="26" fillId="0" borderId="0" xfId="0" applyFont="1" applyAlignment="1">
      <alignment horizontal="center" vertical="center"/>
    </xf>
    <xf numFmtId="0" fontId="25" fillId="0" borderId="99" xfId="0" applyFont="1" applyBorder="1">
      <alignment vertical="center"/>
    </xf>
    <xf numFmtId="253" fontId="25" fillId="0" borderId="100" xfId="0" applyNumberFormat="1" applyFont="1" applyBorder="1">
      <alignment vertical="center"/>
    </xf>
    <xf numFmtId="253" fontId="25" fillId="0" borderId="0" xfId="0" applyNumberFormat="1" applyFont="1" applyAlignment="1">
      <alignment horizontal="left" vertical="center"/>
    </xf>
    <xf numFmtId="253" fontId="25" fillId="0" borderId="100" xfId="0" quotePrefix="1" applyNumberFormat="1" applyFont="1" applyBorder="1">
      <alignment vertical="center"/>
    </xf>
    <xf numFmtId="254" fontId="25" fillId="0" borderId="0" xfId="0" applyNumberFormat="1" applyFont="1">
      <alignment vertical="center"/>
    </xf>
    <xf numFmtId="0" fontId="25" fillId="0" borderId="100" xfId="0" quotePrefix="1" applyFont="1" applyBorder="1">
      <alignment vertical="center"/>
    </xf>
    <xf numFmtId="0" fontId="25" fillId="0" borderId="100" xfId="0" applyFont="1" applyBorder="1">
      <alignment vertical="center"/>
    </xf>
    <xf numFmtId="0" fontId="25" fillId="8" borderId="0" xfId="0" applyFont="1" applyFill="1" applyAlignment="1">
      <alignment horizontal="center" vertical="center"/>
    </xf>
    <xf numFmtId="239" fontId="26" fillId="8" borderId="0" xfId="0" applyNumberFormat="1" applyFont="1" applyFill="1" applyAlignment="1">
      <alignment horizontal="right" vertical="center"/>
    </xf>
    <xf numFmtId="255" fontId="26" fillId="8" borderId="0" xfId="0" applyNumberFormat="1" applyFont="1" applyFill="1" applyAlignment="1">
      <alignment horizontal="right" vertical="center"/>
    </xf>
    <xf numFmtId="0" fontId="26" fillId="3" borderId="0" xfId="0" applyFont="1" applyFill="1">
      <alignment vertical="center"/>
    </xf>
    <xf numFmtId="256" fontId="26" fillId="3" borderId="0" xfId="0" applyNumberFormat="1" applyFont="1" applyFill="1">
      <alignment vertical="center"/>
    </xf>
    <xf numFmtId="233" fontId="26" fillId="3" borderId="0" xfId="0" applyNumberFormat="1" applyFont="1" applyFill="1" applyAlignment="1">
      <alignment horizontal="right" vertical="center"/>
    </xf>
    <xf numFmtId="257" fontId="26" fillId="8" borderId="0" xfId="0" applyNumberFormat="1" applyFont="1" applyFill="1" applyAlignment="1">
      <alignment horizontal="right" vertical="center"/>
    </xf>
    <xf numFmtId="233" fontId="26" fillId="8" borderId="0" xfId="0" applyNumberFormat="1" applyFont="1" applyFill="1" applyAlignment="1">
      <alignment horizontal="right" vertical="center"/>
    </xf>
    <xf numFmtId="41" fontId="84" fillId="8" borderId="98" xfId="1" applyFont="1" applyFill="1" applyBorder="1" applyAlignment="1">
      <alignment horizontal="right" vertical="center"/>
    </xf>
    <xf numFmtId="0" fontId="25" fillId="0" borderId="102" xfId="0" applyFont="1" applyBorder="1" applyAlignment="1">
      <alignment horizontal="left" vertical="center"/>
    </xf>
    <xf numFmtId="0" fontId="25" fillId="0" borderId="100" xfId="0" applyFont="1" applyBorder="1" applyAlignment="1">
      <alignment horizontal="left" vertical="center"/>
    </xf>
    <xf numFmtId="0" fontId="25" fillId="3" borderId="100" xfId="0" applyFont="1" applyFill="1" applyBorder="1" applyAlignment="1">
      <alignment horizontal="left" vertical="center"/>
    </xf>
    <xf numFmtId="0" fontId="26" fillId="8" borderId="0" xfId="0" applyFont="1" applyFill="1" applyAlignment="1">
      <alignment horizontal="center" vertical="center"/>
    </xf>
    <xf numFmtId="10" fontId="26" fillId="8" borderId="0" xfId="0" applyNumberFormat="1" applyFont="1" applyFill="1" applyAlignment="1">
      <alignment horizontal="center" vertical="center"/>
    </xf>
    <xf numFmtId="0" fontId="26" fillId="8" borderId="0" xfId="0" applyFont="1" applyFill="1">
      <alignment vertical="center"/>
    </xf>
    <xf numFmtId="41" fontId="26" fillId="8" borderId="98" xfId="0" applyNumberFormat="1" applyFont="1" applyFill="1" applyBorder="1">
      <alignment vertical="center"/>
    </xf>
    <xf numFmtId="10" fontId="26" fillId="3" borderId="98" xfId="0" applyNumberFormat="1" applyFont="1" applyFill="1" applyBorder="1">
      <alignment vertical="center"/>
    </xf>
    <xf numFmtId="10" fontId="26" fillId="8" borderId="98" xfId="0" applyNumberFormat="1" applyFont="1" applyFill="1" applyBorder="1">
      <alignment vertical="center"/>
    </xf>
    <xf numFmtId="0" fontId="26" fillId="8" borderId="98" xfId="0" applyFont="1" applyFill="1" applyBorder="1">
      <alignment vertical="center"/>
    </xf>
    <xf numFmtId="41" fontId="26" fillId="8" borderId="98" xfId="1" applyFont="1" applyFill="1" applyBorder="1" applyAlignment="1">
      <alignment vertical="center"/>
    </xf>
    <xf numFmtId="0" fontId="25" fillId="0" borderId="96" xfId="0" applyFont="1" applyBorder="1" applyAlignment="1">
      <alignment horizontal="center" vertical="center"/>
    </xf>
    <xf numFmtId="49" fontId="25" fillId="0" borderId="0" xfId="0" applyNumberFormat="1" applyFont="1">
      <alignment vertical="center"/>
    </xf>
    <xf numFmtId="0" fontId="25" fillId="0" borderId="6" xfId="0" applyFont="1" applyBorder="1" applyAlignment="1">
      <alignment horizontal="center" vertical="center"/>
    </xf>
    <xf numFmtId="0" fontId="25" fillId="0" borderId="19" xfId="0" applyFont="1" applyBorder="1" applyAlignment="1">
      <alignment horizontal="center" vertical="center"/>
    </xf>
    <xf numFmtId="258" fontId="25" fillId="0" borderId="0" xfId="1" applyNumberFormat="1" applyFont="1" applyBorder="1" applyAlignment="1">
      <alignment horizontal="center" vertical="center"/>
    </xf>
    <xf numFmtId="258" fontId="25" fillId="0" borderId="0" xfId="0" quotePrefix="1" applyNumberFormat="1" applyFont="1" applyAlignment="1">
      <alignment horizontal="center" vertical="center"/>
    </xf>
    <xf numFmtId="0" fontId="25" fillId="0" borderId="35" xfId="0" applyFont="1" applyBorder="1">
      <alignment vertical="center"/>
    </xf>
    <xf numFmtId="0" fontId="88" fillId="0" borderId="35" xfId="0" applyFont="1" applyBorder="1" applyAlignment="1">
      <alignment horizontal="right" vertical="center" wrapText="1"/>
    </xf>
    <xf numFmtId="4" fontId="88" fillId="0" borderId="35" xfId="0" applyNumberFormat="1" applyFont="1" applyBorder="1" applyAlignment="1">
      <alignment horizontal="right" vertical="center" wrapText="1"/>
    </xf>
    <xf numFmtId="253" fontId="25" fillId="0" borderId="0" xfId="0" applyNumberFormat="1" applyFont="1">
      <alignment vertical="center"/>
    </xf>
    <xf numFmtId="239" fontId="26" fillId="8" borderId="0" xfId="0" applyNumberFormat="1" applyFont="1" applyFill="1">
      <alignment vertical="center"/>
    </xf>
    <xf numFmtId="233" fontId="84" fillId="8" borderId="0" xfId="0" applyNumberFormat="1" applyFont="1" applyFill="1">
      <alignment vertical="center"/>
    </xf>
    <xf numFmtId="9" fontId="84" fillId="8" borderId="0" xfId="0" applyNumberFormat="1" applyFont="1" applyFill="1">
      <alignment vertical="center"/>
    </xf>
    <xf numFmtId="9" fontId="26" fillId="8" borderId="0" xfId="1" applyNumberFormat="1" applyFont="1" applyFill="1" applyBorder="1" applyAlignment="1">
      <alignment vertical="center"/>
    </xf>
    <xf numFmtId="41" fontId="25" fillId="8" borderId="0" xfId="1" applyFont="1" applyFill="1" applyBorder="1" applyAlignment="1">
      <alignment vertical="center"/>
    </xf>
    <xf numFmtId="259" fontId="26" fillId="8" borderId="0" xfId="0" applyNumberFormat="1" applyFont="1" applyFill="1">
      <alignment vertical="center"/>
    </xf>
    <xf numFmtId="260" fontId="26" fillId="8" borderId="98" xfId="0" applyNumberFormat="1" applyFont="1" applyFill="1" applyBorder="1">
      <alignment vertical="center"/>
    </xf>
    <xf numFmtId="9" fontId="26" fillId="0" borderId="0" xfId="0" applyNumberFormat="1" applyFont="1">
      <alignment vertical="center"/>
    </xf>
    <xf numFmtId="0" fontId="25" fillId="0" borderId="29" xfId="0" applyFont="1" applyBorder="1">
      <alignment vertical="center"/>
    </xf>
    <xf numFmtId="0" fontId="88" fillId="0" borderId="29" xfId="0" applyFont="1" applyBorder="1" applyAlignment="1">
      <alignment horizontal="right" vertical="center" wrapText="1"/>
    </xf>
    <xf numFmtId="0" fontId="26" fillId="0" borderId="6" xfId="0" applyFont="1" applyBorder="1" applyAlignment="1">
      <alignment horizontal="center" vertical="center"/>
    </xf>
    <xf numFmtId="0" fontId="26" fillId="0" borderId="19" xfId="0" applyFont="1" applyBorder="1" applyAlignment="1">
      <alignment horizontal="center" vertical="center"/>
    </xf>
    <xf numFmtId="261" fontId="26" fillId="0" borderId="11" xfId="0" applyNumberFormat="1" applyFont="1" applyBorder="1" applyAlignment="1">
      <alignment horizontal="center" vertical="center"/>
    </xf>
    <xf numFmtId="233" fontId="84" fillId="0" borderId="35" xfId="0" applyNumberFormat="1" applyFont="1" applyBorder="1" applyAlignment="1">
      <alignment horizontal="center" vertical="center"/>
    </xf>
    <xf numFmtId="9" fontId="26" fillId="0" borderId="35" xfId="2" applyFont="1" applyBorder="1" applyAlignment="1">
      <alignment horizontal="center" vertical="center"/>
    </xf>
    <xf numFmtId="41" fontId="26" fillId="0" borderId="35" xfId="1" applyFont="1" applyBorder="1" applyAlignment="1">
      <alignment horizontal="center" vertical="center"/>
    </xf>
    <xf numFmtId="0" fontId="26" fillId="0" borderId="35" xfId="0" applyFont="1" applyBorder="1" applyAlignment="1">
      <alignment horizontal="center" vertical="center"/>
    </xf>
    <xf numFmtId="41" fontId="25" fillId="0" borderId="0" xfId="1" applyFont="1" applyBorder="1" applyAlignment="1">
      <alignment horizontal="center" vertical="center"/>
    </xf>
    <xf numFmtId="244" fontId="25" fillId="0" borderId="0" xfId="0" applyNumberFormat="1" applyFont="1">
      <alignment vertical="center"/>
    </xf>
    <xf numFmtId="200" fontId="25" fillId="0" borderId="0" xfId="2" applyNumberFormat="1" applyFont="1" applyBorder="1" applyAlignment="1">
      <alignment vertical="center"/>
    </xf>
    <xf numFmtId="244" fontId="25" fillId="0" borderId="0" xfId="0" applyNumberFormat="1" applyFont="1" applyAlignment="1">
      <alignment horizontal="center" vertical="center"/>
    </xf>
    <xf numFmtId="200" fontId="25" fillId="0" borderId="0" xfId="2" applyNumberFormat="1" applyFont="1" applyBorder="1" applyAlignment="1">
      <alignment horizontal="center" vertical="center"/>
    </xf>
    <xf numFmtId="233" fontId="26" fillId="8" borderId="0" xfId="0" applyNumberFormat="1" applyFont="1" applyFill="1" applyAlignment="1">
      <alignment horizontal="center" vertical="center"/>
    </xf>
    <xf numFmtId="239" fontId="84" fillId="8" borderId="0" xfId="0" applyNumberFormat="1" applyFont="1" applyFill="1" applyAlignment="1">
      <alignment horizontal="center" vertical="center"/>
    </xf>
    <xf numFmtId="41" fontId="26" fillId="8" borderId="0" xfId="0" applyNumberFormat="1" applyFont="1" applyFill="1" applyAlignment="1">
      <alignment horizontal="center" vertical="center"/>
    </xf>
    <xf numFmtId="9" fontId="26" fillId="8" borderId="0" xfId="0" applyNumberFormat="1" applyFont="1" applyFill="1" applyAlignment="1">
      <alignment horizontal="center" vertical="center"/>
    </xf>
    <xf numFmtId="262" fontId="26" fillId="8" borderId="0" xfId="0" applyNumberFormat="1" applyFont="1" applyFill="1" applyAlignment="1">
      <alignment horizontal="center" vertical="center"/>
    </xf>
    <xf numFmtId="9" fontId="84" fillId="0" borderId="35" xfId="0" applyNumberFormat="1" applyFont="1" applyBorder="1" applyAlignment="1">
      <alignment horizontal="center" vertical="center"/>
    </xf>
    <xf numFmtId="41" fontId="26" fillId="8" borderId="0" xfId="1" applyFont="1" applyFill="1" applyBorder="1" applyAlignment="1">
      <alignment horizontal="center" vertical="center"/>
    </xf>
    <xf numFmtId="233" fontId="26" fillId="0" borderId="35" xfId="0" applyNumberFormat="1" applyFont="1" applyBorder="1" applyAlignment="1">
      <alignment horizontal="center" vertical="center"/>
    </xf>
    <xf numFmtId="9" fontId="26" fillId="0" borderId="35" xfId="0" applyNumberFormat="1" applyFont="1" applyBorder="1" applyAlignment="1">
      <alignment horizontal="center" vertical="center"/>
    </xf>
    <xf numFmtId="261" fontId="26" fillId="0" borderId="32" xfId="0" applyNumberFormat="1" applyFont="1" applyBorder="1" applyAlignment="1">
      <alignment horizontal="center" vertical="center"/>
    </xf>
    <xf numFmtId="233" fontId="26" fillId="0" borderId="29" xfId="0" applyNumberFormat="1" applyFont="1" applyBorder="1" applyAlignment="1">
      <alignment horizontal="center" vertical="center"/>
    </xf>
    <xf numFmtId="9" fontId="26" fillId="0" borderId="29" xfId="2" applyFont="1" applyBorder="1" applyAlignment="1">
      <alignment horizontal="center" vertical="center"/>
    </xf>
    <xf numFmtId="41" fontId="26" fillId="0" borderId="29" xfId="1" applyFont="1" applyBorder="1" applyAlignment="1">
      <alignment horizontal="center" vertical="center"/>
    </xf>
    <xf numFmtId="9" fontId="26" fillId="0" borderId="29" xfId="0" applyNumberFormat="1" applyFont="1" applyBorder="1" applyAlignment="1">
      <alignment horizontal="center" vertical="center"/>
    </xf>
    <xf numFmtId="0" fontId="89" fillId="0" borderId="0" xfId="0" applyFont="1">
      <alignment vertical="center"/>
    </xf>
    <xf numFmtId="263" fontId="25" fillId="0" borderId="0" xfId="0" applyNumberFormat="1" applyFont="1">
      <alignment vertical="center"/>
    </xf>
    <xf numFmtId="41" fontId="25" fillId="0" borderId="0" xfId="1" applyFont="1" applyBorder="1" applyAlignment="1">
      <alignment horizontal="left" vertical="center"/>
    </xf>
    <xf numFmtId="0" fontId="25" fillId="0" borderId="0" xfId="0" quotePrefix="1" applyFont="1" applyAlignment="1">
      <alignment horizontal="right" vertical="center"/>
    </xf>
    <xf numFmtId="0" fontId="25" fillId="0" borderId="35" xfId="0" applyFont="1" applyBorder="1" applyAlignment="1">
      <alignment horizontal="center" vertical="center"/>
    </xf>
    <xf numFmtId="41" fontId="25" fillId="0" borderId="35" xfId="1" applyFont="1" applyFill="1" applyBorder="1" applyAlignment="1">
      <alignment horizontal="center" vertical="center"/>
    </xf>
    <xf numFmtId="264" fontId="25" fillId="0" borderId="35" xfId="1" applyNumberFormat="1" applyFont="1" applyFill="1" applyBorder="1" applyAlignment="1">
      <alignment horizontal="center" vertical="center"/>
    </xf>
    <xf numFmtId="264" fontId="25" fillId="0" borderId="0" xfId="1" applyNumberFormat="1" applyFont="1" applyBorder="1" applyAlignment="1">
      <alignment horizontal="center" vertical="center"/>
    </xf>
    <xf numFmtId="0" fontId="25" fillId="0" borderId="11" xfId="0" applyFont="1" applyBorder="1" applyAlignment="1">
      <alignment horizontal="center" vertical="center"/>
    </xf>
    <xf numFmtId="258" fontId="25" fillId="0" borderId="35" xfId="1" applyNumberFormat="1" applyFont="1" applyFill="1" applyBorder="1" applyAlignment="1">
      <alignment horizontal="center" vertical="center"/>
    </xf>
    <xf numFmtId="258" fontId="25" fillId="0" borderId="35" xfId="0" quotePrefix="1" applyNumberFormat="1" applyFont="1" applyBorder="1" applyAlignment="1">
      <alignment horizontal="center" vertical="center"/>
    </xf>
    <xf numFmtId="263" fontId="25" fillId="0" borderId="0" xfId="0" applyNumberFormat="1" applyFont="1" applyAlignment="1">
      <alignment horizontal="center" vertical="center"/>
    </xf>
    <xf numFmtId="265" fontId="25" fillId="8" borderId="98" xfId="0" applyNumberFormat="1" applyFont="1" applyFill="1" applyBorder="1">
      <alignment vertical="center"/>
    </xf>
    <xf numFmtId="266" fontId="84" fillId="8" borderId="98" xfId="0" applyNumberFormat="1" applyFont="1" applyFill="1" applyBorder="1" applyAlignment="1">
      <alignment horizontal="center" vertical="center"/>
    </xf>
    <xf numFmtId="202" fontId="84" fillId="8" borderId="98" xfId="1" applyNumberFormat="1" applyFont="1" applyFill="1" applyBorder="1" applyAlignment="1">
      <alignment horizontal="left" vertical="center"/>
    </xf>
    <xf numFmtId="41" fontId="25" fillId="8" borderId="98" xfId="1" applyFont="1" applyFill="1" applyBorder="1" applyAlignment="1">
      <alignment horizontal="left" vertical="center"/>
    </xf>
    <xf numFmtId="41" fontId="25" fillId="8" borderId="98" xfId="1" applyFont="1" applyFill="1" applyBorder="1" applyAlignment="1">
      <alignment horizontal="center" vertical="center"/>
    </xf>
    <xf numFmtId="0" fontId="25" fillId="0" borderId="32" xfId="0" applyFont="1" applyBorder="1" applyAlignment="1">
      <alignment horizontal="center" vertical="center"/>
    </xf>
    <xf numFmtId="0" fontId="25" fillId="0" borderId="29" xfId="0" applyFont="1" applyBorder="1" applyAlignment="1">
      <alignment horizontal="center" vertical="center"/>
    </xf>
    <xf numFmtId="258" fontId="25" fillId="0" borderId="29" xfId="1" applyNumberFormat="1" applyFont="1" applyFill="1" applyBorder="1" applyAlignment="1">
      <alignment horizontal="center" vertical="center"/>
    </xf>
    <xf numFmtId="258" fontId="25" fillId="0" borderId="29" xfId="0" quotePrefix="1" applyNumberFormat="1" applyFont="1" applyBorder="1" applyAlignment="1">
      <alignment horizontal="center" vertical="center"/>
    </xf>
    <xf numFmtId="0" fontId="24" fillId="0" borderId="0" xfId="0" applyFont="1" applyAlignment="1"/>
    <xf numFmtId="9" fontId="26" fillId="0" borderId="0" xfId="0" applyNumberFormat="1" applyFont="1" applyAlignment="1">
      <alignment horizontal="center" vertical="center"/>
    </xf>
    <xf numFmtId="0" fontId="25" fillId="8" borderId="0" xfId="0" applyFont="1" applyFill="1" applyAlignment="1">
      <alignment horizontal="left" vertical="center"/>
    </xf>
    <xf numFmtId="267" fontId="25" fillId="8" borderId="0" xfId="0" applyNumberFormat="1" applyFont="1" applyFill="1" applyAlignment="1">
      <alignment horizontal="center" vertical="center"/>
    </xf>
    <xf numFmtId="268" fontId="25" fillId="8" borderId="0" xfId="0" applyNumberFormat="1" applyFont="1" applyFill="1" applyAlignment="1">
      <alignment horizontal="center" vertical="center"/>
    </xf>
    <xf numFmtId="41" fontId="26" fillId="8" borderId="0" xfId="1" applyFont="1" applyFill="1" applyBorder="1" applyAlignment="1">
      <alignment vertical="center"/>
    </xf>
    <xf numFmtId="252" fontId="25" fillId="0" borderId="29" xfId="0" applyNumberFormat="1" applyFont="1" applyBorder="1" applyAlignment="1">
      <alignment horizontal="center" vertical="center"/>
    </xf>
    <xf numFmtId="269" fontId="25" fillId="8" borderId="98" xfId="0" applyNumberFormat="1" applyFont="1" applyFill="1" applyBorder="1" applyAlignment="1">
      <alignment horizontal="center" vertical="center"/>
    </xf>
    <xf numFmtId="268" fontId="25" fillId="8" borderId="98" xfId="0" applyNumberFormat="1" applyFont="1" applyFill="1" applyBorder="1" applyAlignment="1">
      <alignment horizontal="center" vertical="center"/>
    </xf>
    <xf numFmtId="263" fontId="89" fillId="0" borderId="0" xfId="0" applyNumberFormat="1" applyFont="1">
      <alignment vertical="center"/>
    </xf>
    <xf numFmtId="0" fontId="89" fillId="0" borderId="0" xfId="0" applyFont="1" applyAlignment="1">
      <alignment horizontal="center" vertical="center"/>
    </xf>
    <xf numFmtId="41" fontId="89" fillId="0" borderId="0" xfId="1" applyFont="1" applyBorder="1" applyAlignment="1">
      <alignment horizontal="left" vertical="center"/>
    </xf>
    <xf numFmtId="0" fontId="89" fillId="0" borderId="0" xfId="0" applyFont="1" applyAlignment="1"/>
    <xf numFmtId="270" fontId="89" fillId="0" borderId="0" xfId="1" applyNumberFormat="1" applyFont="1" applyBorder="1" applyAlignment="1">
      <alignment horizontal="center" vertical="center"/>
    </xf>
    <xf numFmtId="271" fontId="89" fillId="0" borderId="0" xfId="0" applyNumberFormat="1" applyFont="1" applyAlignment="1"/>
    <xf numFmtId="272" fontId="89" fillId="0" borderId="0" xfId="0" applyNumberFormat="1" applyFont="1" applyAlignment="1"/>
    <xf numFmtId="0" fontId="89" fillId="8" borderId="98" xfId="0" applyFont="1" applyFill="1" applyBorder="1" applyAlignment="1"/>
    <xf numFmtId="0" fontId="25" fillId="8" borderId="101" xfId="0" applyFont="1" applyFill="1" applyBorder="1">
      <alignment vertical="center"/>
    </xf>
    <xf numFmtId="273" fontId="25" fillId="8" borderId="98" xfId="0" applyNumberFormat="1" applyFont="1" applyFill="1" applyBorder="1" applyAlignment="1">
      <alignment horizontal="center" vertical="center"/>
    </xf>
    <xf numFmtId="274" fontId="84" fillId="8" borderId="98" xfId="0" applyNumberFormat="1" applyFont="1" applyFill="1" applyBorder="1" applyAlignment="1">
      <alignment horizontal="center" vertical="center"/>
    </xf>
    <xf numFmtId="275" fontId="90" fillId="0" borderId="0" xfId="1" applyNumberFormat="1" applyFont="1" applyBorder="1" applyAlignment="1">
      <alignment vertical="center"/>
    </xf>
    <xf numFmtId="276" fontId="25" fillId="0" borderId="0" xfId="0" applyNumberFormat="1" applyFont="1">
      <alignment vertical="center"/>
    </xf>
    <xf numFmtId="0" fontId="25" fillId="8" borderId="100" xfId="0" applyFont="1" applyFill="1" applyBorder="1">
      <alignment vertical="center"/>
    </xf>
    <xf numFmtId="273" fontId="25" fillId="8" borderId="0" xfId="0" applyNumberFormat="1" applyFont="1" applyFill="1" applyAlignment="1">
      <alignment horizontal="center" vertical="center"/>
    </xf>
    <xf numFmtId="274" fontId="84" fillId="8" borderId="0" xfId="0" applyNumberFormat="1" applyFont="1" applyFill="1" applyAlignment="1">
      <alignment horizontal="center" vertical="center"/>
    </xf>
    <xf numFmtId="233" fontId="25" fillId="8" borderId="0" xfId="1" applyNumberFormat="1" applyFont="1" applyFill="1" applyBorder="1" applyAlignment="1">
      <alignment horizontal="right" vertical="center"/>
    </xf>
    <xf numFmtId="0" fontId="25" fillId="0" borderId="102" xfId="0" applyFont="1" applyBorder="1">
      <alignment vertical="center"/>
    </xf>
    <xf numFmtId="233" fontId="25" fillId="8" borderId="98" xfId="1" applyNumberFormat="1" applyFont="1" applyFill="1" applyBorder="1" applyAlignment="1">
      <alignment horizontal="right" vertical="center"/>
    </xf>
    <xf numFmtId="277" fontId="90" fillId="0" borderId="0" xfId="1" applyNumberFormat="1" applyFont="1" applyBorder="1" applyAlignment="1">
      <alignment vertical="center"/>
    </xf>
    <xf numFmtId="0" fontId="26" fillId="0" borderId="100" xfId="0" applyFont="1" applyBorder="1">
      <alignment vertical="center"/>
    </xf>
    <xf numFmtId="278" fontId="25" fillId="0" borderId="19" xfId="1" applyNumberFormat="1" applyFont="1" applyFill="1" applyBorder="1" applyAlignment="1">
      <alignment horizontal="center" vertical="center"/>
    </xf>
    <xf numFmtId="279" fontId="25" fillId="0" borderId="19" xfId="0" applyNumberFormat="1" applyFont="1" applyBorder="1" applyAlignment="1">
      <alignment horizontal="center" vertical="center"/>
    </xf>
    <xf numFmtId="278" fontId="25" fillId="0" borderId="35" xfId="1" applyNumberFormat="1" applyFont="1" applyFill="1" applyBorder="1" applyAlignment="1">
      <alignment horizontal="center" vertical="center" shrinkToFit="1"/>
    </xf>
    <xf numFmtId="279" fontId="25" fillId="0" borderId="35" xfId="0" applyNumberFormat="1" applyFont="1" applyBorder="1" applyAlignment="1">
      <alignment horizontal="center" vertical="center" shrinkToFit="1"/>
    </xf>
    <xf numFmtId="278" fontId="25" fillId="0" borderId="29" xfId="1" applyNumberFormat="1" applyFont="1" applyFill="1" applyBorder="1" applyAlignment="1">
      <alignment horizontal="center" vertical="center" shrinkToFit="1"/>
    </xf>
    <xf numFmtId="279" fontId="25" fillId="0" borderId="29" xfId="0" applyNumberFormat="1" applyFont="1" applyBorder="1" applyAlignment="1">
      <alignment horizontal="center" vertical="center" shrinkToFit="1"/>
    </xf>
    <xf numFmtId="0" fontId="25" fillId="0" borderId="103" xfId="0" applyFont="1" applyBorder="1" applyAlignment="1">
      <alignment horizontal="right" vertical="center" shrinkToFit="1"/>
    </xf>
    <xf numFmtId="41" fontId="25" fillId="0" borderId="103" xfId="1" applyFont="1" applyBorder="1" applyAlignment="1">
      <alignment horizontal="right" vertical="center" shrinkToFit="1"/>
    </xf>
    <xf numFmtId="0" fontId="25" fillId="0" borderId="0" xfId="0" applyFont="1" applyAlignment="1">
      <alignment vertical="center" shrinkToFit="1"/>
    </xf>
    <xf numFmtId="0" fontId="25" fillId="0" borderId="0" xfId="0" applyFont="1" applyAlignment="1">
      <alignment horizontal="right" vertical="center" shrinkToFit="1"/>
    </xf>
    <xf numFmtId="9" fontId="25" fillId="0" borderId="0" xfId="0" quotePrefix="1" applyNumberFormat="1" applyFont="1" applyAlignment="1">
      <alignment horizontal="center" vertical="center"/>
    </xf>
    <xf numFmtId="41" fontId="25" fillId="0" borderId="0" xfId="1" applyFont="1" applyBorder="1" applyAlignment="1">
      <alignment horizontal="right" vertical="center" shrinkToFit="1"/>
    </xf>
    <xf numFmtId="233" fontId="84" fillId="8" borderId="98" xfId="1" applyNumberFormat="1" applyFont="1" applyFill="1" applyBorder="1" applyAlignment="1">
      <alignment vertical="center"/>
    </xf>
    <xf numFmtId="277" fontId="90" fillId="0" borderId="0" xfId="1" applyNumberFormat="1" applyFont="1" applyFill="1" applyBorder="1" applyAlignment="1">
      <alignment vertical="center"/>
    </xf>
    <xf numFmtId="244" fontId="25" fillId="8" borderId="101" xfId="0" applyNumberFormat="1" applyFont="1" applyFill="1" applyBorder="1">
      <alignment vertical="center"/>
    </xf>
    <xf numFmtId="250" fontId="25" fillId="0" borderId="0" xfId="1" applyNumberFormat="1" applyFont="1" applyFill="1" applyBorder="1" applyAlignment="1">
      <alignment vertical="center"/>
    </xf>
    <xf numFmtId="0" fontId="25" fillId="0" borderId="104" xfId="0" applyFont="1" applyBorder="1" applyAlignment="1">
      <alignment horizontal="center" vertical="center"/>
    </xf>
    <xf numFmtId="41" fontId="25" fillId="0" borderId="104" xfId="1" applyFont="1" applyFill="1" applyBorder="1">
      <alignment vertical="center"/>
    </xf>
    <xf numFmtId="41" fontId="25" fillId="0" borderId="104" xfId="1" applyFont="1" applyBorder="1">
      <alignment vertical="center"/>
    </xf>
    <xf numFmtId="250" fontId="25" fillId="0" borderId="0" xfId="1" applyNumberFormat="1" applyFont="1" applyFill="1" applyBorder="1" applyAlignment="1">
      <alignment horizontal="center" vertical="center"/>
    </xf>
    <xf numFmtId="41" fontId="26" fillId="0" borderId="0" xfId="1" applyFont="1" applyAlignment="1">
      <alignment horizontal="center" vertical="center"/>
    </xf>
    <xf numFmtId="41" fontId="84" fillId="0" borderId="0" xfId="1" applyFont="1" applyAlignment="1">
      <alignment horizontal="center" vertical="center"/>
    </xf>
    <xf numFmtId="280" fontId="84" fillId="0" borderId="0" xfId="0" applyNumberFormat="1" applyFont="1" applyAlignment="1">
      <alignment horizontal="center" vertical="center"/>
    </xf>
    <xf numFmtId="41" fontId="26" fillId="8" borderId="0" xfId="1" applyFont="1" applyFill="1" applyAlignment="1">
      <alignment horizontal="center" vertical="center"/>
    </xf>
    <xf numFmtId="41" fontId="25" fillId="0" borderId="105" xfId="1" applyFont="1" applyBorder="1">
      <alignment vertical="center"/>
    </xf>
    <xf numFmtId="0" fontId="25" fillId="0" borderId="105" xfId="0" applyFont="1" applyBorder="1" applyAlignment="1">
      <alignment horizontal="center" vertical="center"/>
    </xf>
    <xf numFmtId="281" fontId="26" fillId="0" borderId="19" xfId="1" applyNumberFormat="1" applyFont="1" applyBorder="1" applyAlignment="1">
      <alignment horizontal="right" vertical="center"/>
    </xf>
    <xf numFmtId="282" fontId="26" fillId="0" borderId="19" xfId="1" applyNumberFormat="1" applyFont="1" applyBorder="1">
      <alignment vertical="center"/>
    </xf>
    <xf numFmtId="10" fontId="26" fillId="0" borderId="19" xfId="0" applyNumberFormat="1" applyFont="1" applyBorder="1">
      <alignment vertical="center"/>
    </xf>
    <xf numFmtId="10" fontId="84" fillId="0" borderId="0" xfId="0" applyNumberFormat="1" applyFont="1" applyAlignment="1">
      <alignment horizontal="center" vertical="center"/>
    </xf>
    <xf numFmtId="281" fontId="26" fillId="0" borderId="104" xfId="1" applyNumberFormat="1" applyFont="1" applyBorder="1" applyAlignment="1">
      <alignment horizontal="right" vertical="center"/>
    </xf>
    <xf numFmtId="282" fontId="26" fillId="0" borderId="104" xfId="1" applyNumberFormat="1" applyFont="1" applyBorder="1">
      <alignment vertical="center"/>
    </xf>
    <xf numFmtId="10" fontId="26" fillId="0" borderId="104" xfId="0" applyNumberFormat="1" applyFont="1" applyBorder="1">
      <alignment vertical="center"/>
    </xf>
    <xf numFmtId="0" fontId="25" fillId="0" borderId="2" xfId="0" applyFont="1" applyBorder="1">
      <alignment vertical="center"/>
    </xf>
    <xf numFmtId="0" fontId="25" fillId="8" borderId="0" xfId="0" applyFont="1" applyFill="1">
      <alignment vertical="center"/>
    </xf>
    <xf numFmtId="41" fontId="26" fillId="0" borderId="0" xfId="0" applyNumberFormat="1" applyFont="1" applyAlignment="1">
      <alignment horizontal="center" vertical="center"/>
    </xf>
    <xf numFmtId="41" fontId="84" fillId="8" borderId="0" xfId="1" applyFont="1" applyFill="1" applyAlignment="1">
      <alignment horizontal="center" vertical="center"/>
    </xf>
    <xf numFmtId="9" fontId="84" fillId="0" borderId="0" xfId="0" applyNumberFormat="1" applyFont="1" applyAlignment="1">
      <alignment horizontal="center" vertical="center"/>
    </xf>
    <xf numFmtId="41" fontId="25" fillId="0" borderId="26" xfId="1" applyFont="1" applyBorder="1" applyAlignment="1">
      <alignment horizontal="center" vertical="center"/>
    </xf>
    <xf numFmtId="0" fontId="25" fillId="0" borderId="5" xfId="0" applyFont="1" applyBorder="1" applyAlignment="1">
      <alignment horizontal="center" vertical="center"/>
    </xf>
    <xf numFmtId="0" fontId="25" fillId="0" borderId="107" xfId="0" applyFont="1" applyBorder="1" applyAlignment="1">
      <alignment horizontal="center" vertical="center"/>
    </xf>
    <xf numFmtId="0" fontId="25" fillId="0" borderId="108" xfId="0" applyFont="1" applyBorder="1" applyAlignment="1">
      <alignment horizontal="center" vertical="center"/>
    </xf>
    <xf numFmtId="41" fontId="26" fillId="8" borderId="0" xfId="0" applyNumberFormat="1" applyFont="1" applyFill="1">
      <alignment vertical="center"/>
    </xf>
    <xf numFmtId="41" fontId="25" fillId="0" borderId="106" xfId="1" applyFont="1" applyBorder="1" applyAlignment="1">
      <alignment horizontal="center" vertical="center"/>
    </xf>
    <xf numFmtId="10" fontId="25" fillId="0" borderId="107" xfId="2" applyNumberFormat="1" applyFont="1" applyBorder="1" applyAlignment="1">
      <alignment horizontal="center" vertical="center"/>
    </xf>
    <xf numFmtId="9" fontId="25" fillId="0" borderId="107" xfId="0" applyNumberFormat="1" applyFont="1" applyBorder="1" applyAlignment="1">
      <alignment horizontal="center" vertical="center"/>
    </xf>
    <xf numFmtId="10" fontId="25" fillId="0" borderId="107" xfId="0" applyNumberFormat="1" applyFont="1" applyBorder="1" applyAlignment="1">
      <alignment horizontal="center" vertical="center"/>
    </xf>
    <xf numFmtId="9" fontId="25" fillId="0" borderId="108" xfId="0" applyNumberFormat="1" applyFont="1" applyBorder="1" applyAlignment="1">
      <alignment horizontal="center" vertical="center"/>
    </xf>
    <xf numFmtId="41" fontId="25" fillId="0" borderId="109" xfId="1" applyFont="1" applyFill="1" applyBorder="1" applyAlignment="1">
      <alignment horizontal="center" vertical="center"/>
    </xf>
    <xf numFmtId="0" fontId="25" fillId="0" borderId="110" xfId="0" applyFont="1" applyBorder="1" applyAlignment="1">
      <alignment horizontal="center" vertical="center"/>
    </xf>
    <xf numFmtId="0" fontId="25" fillId="0" borderId="111" xfId="0" applyFont="1" applyBorder="1" applyAlignment="1">
      <alignment horizontal="center" vertical="center"/>
    </xf>
    <xf numFmtId="239" fontId="26" fillId="0" borderId="0" xfId="0" applyNumberFormat="1" applyFont="1" applyAlignment="1">
      <alignment horizontal="center" vertical="center"/>
    </xf>
    <xf numFmtId="9" fontId="25" fillId="0" borderId="0" xfId="0" applyNumberFormat="1" applyFont="1" applyAlignment="1">
      <alignment horizontal="center" vertical="center"/>
    </xf>
    <xf numFmtId="0" fontId="26" fillId="0" borderId="19" xfId="0" applyFont="1" applyBorder="1">
      <alignment vertical="center"/>
    </xf>
    <xf numFmtId="0" fontId="26" fillId="0" borderId="104" xfId="0" applyFont="1" applyBorder="1" applyAlignment="1">
      <alignment horizontal="center" vertical="center"/>
    </xf>
    <xf numFmtId="0" fontId="26" fillId="0" borderId="104" xfId="0" applyFont="1" applyBorder="1">
      <alignment vertical="center"/>
    </xf>
    <xf numFmtId="0" fontId="84" fillId="0" borderId="0" xfId="0" applyFont="1" applyAlignment="1">
      <alignment horizontal="center" vertical="center"/>
    </xf>
    <xf numFmtId="10" fontId="25" fillId="0" borderId="104" xfId="2" applyNumberFormat="1" applyFont="1" applyBorder="1" applyAlignment="1">
      <alignment horizontal="center" vertical="center"/>
    </xf>
    <xf numFmtId="10" fontId="25" fillId="0" borderId="105" xfId="2" applyNumberFormat="1" applyFont="1" applyBorder="1" applyAlignment="1">
      <alignment horizontal="center" vertical="center"/>
    </xf>
    <xf numFmtId="200" fontId="84" fillId="0" borderId="0" xfId="0" applyNumberFormat="1" applyFont="1" applyAlignment="1">
      <alignment horizontal="center" vertical="center"/>
    </xf>
    <xf numFmtId="0" fontId="26" fillId="0" borderId="105" xfId="0" applyFont="1" applyBorder="1" applyAlignment="1">
      <alignment horizontal="center" vertical="center"/>
    </xf>
    <xf numFmtId="0" fontId="26" fillId="0" borderId="105" xfId="0" applyFont="1" applyBorder="1">
      <alignment vertical="center"/>
    </xf>
    <xf numFmtId="0" fontId="91" fillId="0" borderId="0" xfId="0" applyFont="1">
      <alignment vertical="center"/>
    </xf>
    <xf numFmtId="0" fontId="26" fillId="0" borderId="0" xfId="0" applyFont="1" applyAlignment="1">
      <alignment horizontal="left" vertical="center"/>
    </xf>
    <xf numFmtId="200" fontId="25" fillId="0" borderId="104" xfId="2" applyNumberFormat="1" applyFont="1" applyBorder="1" applyAlignment="1">
      <alignment horizontal="center" vertical="center"/>
    </xf>
    <xf numFmtId="0" fontId="26" fillId="0" borderId="27" xfId="0" applyFont="1" applyBorder="1" applyAlignment="1">
      <alignment horizontal="center" vertical="center"/>
    </xf>
    <xf numFmtId="0" fontId="26" fillId="0" borderId="27" xfId="0" applyFont="1" applyBorder="1">
      <alignment vertical="center"/>
    </xf>
    <xf numFmtId="200" fontId="25" fillId="0" borderId="105" xfId="2" applyNumberFormat="1" applyFont="1" applyBorder="1" applyAlignment="1">
      <alignment horizontal="center" vertical="center"/>
    </xf>
    <xf numFmtId="10" fontId="25" fillId="0" borderId="19" xfId="2" applyNumberFormat="1" applyFont="1" applyBorder="1" applyAlignment="1">
      <alignment horizontal="center" vertical="center"/>
    </xf>
    <xf numFmtId="0" fontId="92" fillId="0" borderId="0" xfId="550" applyFont="1" applyAlignment="1">
      <alignment vertical="center"/>
    </xf>
    <xf numFmtId="283" fontId="25" fillId="0" borderId="0" xfId="550" applyNumberFormat="1" applyFont="1" applyAlignment="1">
      <alignment vertical="center"/>
    </xf>
    <xf numFmtId="284" fontId="25" fillId="0" borderId="0" xfId="550" applyNumberFormat="1" applyFont="1" applyAlignment="1">
      <alignment vertical="center"/>
    </xf>
    <xf numFmtId="283" fontId="25" fillId="0" borderId="0" xfId="550" applyNumberFormat="1" applyFont="1" applyAlignment="1">
      <alignment horizontal="center" vertical="center"/>
    </xf>
    <xf numFmtId="0" fontId="25" fillId="0" borderId="0" xfId="550" applyFont="1" applyAlignment="1">
      <alignment vertical="center"/>
    </xf>
    <xf numFmtId="283" fontId="25" fillId="0" borderId="0" xfId="2" applyNumberFormat="1" applyFont="1" applyFill="1" applyAlignment="1">
      <alignment horizontal="center" vertical="center"/>
    </xf>
    <xf numFmtId="284" fontId="25" fillId="0" borderId="0" xfId="550" applyNumberFormat="1" applyFont="1" applyAlignment="1">
      <alignment horizontal="center" vertical="center"/>
    </xf>
    <xf numFmtId="285" fontId="25" fillId="0" borderId="48" xfId="550" applyNumberFormat="1" applyFont="1" applyBorder="1" applyAlignment="1">
      <alignment vertical="center"/>
    </xf>
    <xf numFmtId="286" fontId="25" fillId="0" borderId="113" xfId="2" applyNumberFormat="1" applyFont="1" applyFill="1" applyBorder="1" applyAlignment="1">
      <alignment vertical="center"/>
    </xf>
    <xf numFmtId="286" fontId="25" fillId="0" borderId="0" xfId="2" applyNumberFormat="1" applyFont="1" applyFill="1" applyAlignment="1">
      <alignment vertical="center"/>
    </xf>
    <xf numFmtId="286" fontId="25" fillId="0" borderId="27" xfId="2" applyNumberFormat="1" applyFont="1" applyFill="1" applyBorder="1" applyAlignment="1">
      <alignment horizontal="center" vertical="center"/>
    </xf>
    <xf numFmtId="280" fontId="25" fillId="0" borderId="0" xfId="2" applyNumberFormat="1" applyFont="1" applyFill="1" applyAlignment="1">
      <alignment horizontal="center" vertical="center"/>
    </xf>
    <xf numFmtId="0" fontId="25" fillId="0" borderId="27" xfId="550" applyFont="1" applyBorder="1" applyAlignment="1">
      <alignment horizontal="center" vertical="center"/>
    </xf>
    <xf numFmtId="10" fontId="25" fillId="0" borderId="27" xfId="550" applyNumberFormat="1" applyFont="1" applyBorder="1" applyAlignment="1">
      <alignment vertical="center"/>
    </xf>
    <xf numFmtId="283" fontId="25" fillId="0" borderId="0" xfId="2" applyNumberFormat="1" applyFont="1" applyAlignment="1">
      <alignment vertical="center"/>
    </xf>
    <xf numFmtId="286" fontId="25" fillId="0" borderId="0" xfId="2" applyNumberFormat="1" applyFont="1" applyAlignment="1">
      <alignment vertical="center"/>
    </xf>
    <xf numFmtId="283" fontId="25" fillId="0" borderId="0" xfId="550" applyNumberFormat="1" applyFont="1" applyAlignment="1">
      <alignment horizontal="right" vertical="center"/>
    </xf>
    <xf numFmtId="0" fontId="25" fillId="0" borderId="0" xfId="550" applyFont="1" applyAlignment="1">
      <alignment horizontal="right" vertical="center"/>
    </xf>
    <xf numFmtId="0" fontId="86" fillId="0" borderId="0" xfId="550" applyFont="1" applyAlignment="1">
      <alignment vertical="center"/>
    </xf>
    <xf numFmtId="0" fontId="9" fillId="7" borderId="9" xfId="0" applyFont="1" applyFill="1" applyBorder="1" applyAlignment="1">
      <alignment horizontal="center" vertical="center" wrapText="1"/>
    </xf>
    <xf numFmtId="0" fontId="9" fillId="0" borderId="0" xfId="0" applyFont="1" applyAlignment="1">
      <alignment horizontal="center" vertical="center" wrapText="1"/>
    </xf>
    <xf numFmtId="0" fontId="9" fillId="7" borderId="25" xfId="0" applyFont="1" applyFill="1" applyBorder="1" applyAlignment="1">
      <alignment horizontal="center" vertical="center"/>
    </xf>
    <xf numFmtId="0" fontId="103" fillId="2" borderId="0" xfId="0" applyFont="1" applyFill="1">
      <alignment vertical="center"/>
    </xf>
    <xf numFmtId="287" fontId="9" fillId="26" borderId="3" xfId="0" applyNumberFormat="1" applyFont="1" applyFill="1" applyBorder="1">
      <alignment vertical="center"/>
    </xf>
    <xf numFmtId="191" fontId="16" fillId="0" borderId="27" xfId="0" applyNumberFormat="1" applyFont="1" applyBorder="1" applyAlignment="1">
      <alignment horizontal="center" vertical="center"/>
    </xf>
    <xf numFmtId="41" fontId="16" fillId="0" borderId="27" xfId="1" applyFont="1" applyBorder="1" applyAlignment="1">
      <alignment horizontal="center" vertical="center"/>
    </xf>
    <xf numFmtId="193" fontId="9" fillId="0" borderId="14" xfId="0" applyNumberFormat="1" applyFont="1" applyBorder="1">
      <alignment vertical="center"/>
    </xf>
    <xf numFmtId="0" fontId="6" fillId="2" borderId="0" xfId="0" applyFont="1" applyFill="1" applyAlignment="1">
      <alignment horizontal="right" vertical="center"/>
    </xf>
    <xf numFmtId="0" fontId="7" fillId="0" borderId="0" xfId="0" applyFont="1" applyAlignment="1">
      <alignment horizontal="center" vertical="center"/>
    </xf>
    <xf numFmtId="188" fontId="9" fillId="0" borderId="10" xfId="0" applyNumberFormat="1" applyFont="1" applyBorder="1" applyAlignment="1">
      <alignment horizontal="center" vertical="center"/>
    </xf>
    <xf numFmtId="188" fontId="9" fillId="0" borderId="7" xfId="0" applyNumberFormat="1" applyFont="1" applyBorder="1" applyAlignment="1">
      <alignment horizontal="center" vertical="center"/>
    </xf>
    <xf numFmtId="0" fontId="9" fillId="0" borderId="13" xfId="0" applyFont="1" applyBorder="1" applyAlignment="1">
      <alignment horizontal="center" vertical="center"/>
    </xf>
    <xf numFmtId="0" fontId="7" fillId="0" borderId="12" xfId="0" applyFont="1" applyBorder="1" applyAlignment="1">
      <alignment horizontal="center" vertical="center" textRotation="255"/>
    </xf>
    <xf numFmtId="189" fontId="9" fillId="0" borderId="0" xfId="0" applyNumberFormat="1" applyFont="1" applyAlignment="1">
      <alignment horizontal="center" vertical="center"/>
    </xf>
    <xf numFmtId="0" fontId="8" fillId="0" borderId="0" xfId="0" applyFont="1">
      <alignment vertical="center"/>
    </xf>
    <xf numFmtId="0" fontId="8" fillId="0" borderId="0" xfId="0" applyFont="1" applyAlignment="1">
      <alignment horizontal="right" vertical="center"/>
    </xf>
    <xf numFmtId="0" fontId="7" fillId="0" borderId="0" xfId="0" applyFont="1" applyAlignment="1">
      <alignment vertical="center" textRotation="255"/>
    </xf>
    <xf numFmtId="0" fontId="8" fillId="0" borderId="0" xfId="0" applyFont="1" applyAlignment="1">
      <alignment horizontal="center" vertical="center"/>
    </xf>
    <xf numFmtId="0" fontId="11" fillId="0" borderId="0" xfId="0" applyFont="1" applyAlignment="1">
      <alignment horizontal="center" vertical="center"/>
    </xf>
    <xf numFmtId="189" fontId="9" fillId="0" borderId="40" xfId="0" applyNumberFormat="1" applyFont="1" applyBorder="1" applyAlignment="1">
      <alignment horizontal="center" vertical="center"/>
    </xf>
    <xf numFmtId="0" fontId="9" fillId="2" borderId="0" xfId="0" applyFont="1" applyFill="1" applyAlignment="1">
      <alignment horizontal="right" vertical="center"/>
    </xf>
    <xf numFmtId="284" fontId="25" fillId="22" borderId="112" xfId="550" applyNumberFormat="1" applyFont="1" applyFill="1" applyBorder="1" applyAlignment="1">
      <alignment vertical="center"/>
    </xf>
    <xf numFmtId="0" fontId="103" fillId="2" borderId="0" xfId="0" applyFont="1" applyFill="1" applyAlignment="1">
      <alignment horizontal="center" vertical="center"/>
    </xf>
    <xf numFmtId="0" fontId="133" fillId="2" borderId="0" xfId="0" applyFont="1" applyFill="1" applyAlignment="1">
      <alignment horizontal="center" vertical="center"/>
    </xf>
    <xf numFmtId="3" fontId="0" fillId="0" borderId="0" xfId="0" applyNumberFormat="1">
      <alignment vertical="center"/>
    </xf>
    <xf numFmtId="41" fontId="0" fillId="0" borderId="0" xfId="0" applyNumberFormat="1">
      <alignment vertical="center"/>
    </xf>
    <xf numFmtId="41" fontId="0" fillId="0" borderId="0" xfId="1" applyFont="1" applyProtection="1">
      <alignment vertical="center"/>
    </xf>
    <xf numFmtId="41" fontId="127" fillId="13" borderId="16" xfId="1" applyFont="1" applyFill="1" applyBorder="1" applyAlignment="1" applyProtection="1">
      <alignment vertical="center" wrapText="1"/>
    </xf>
    <xf numFmtId="0" fontId="7" fillId="0" borderId="0" xfId="0" applyFont="1" applyAlignment="1">
      <alignment horizontal="left" vertical="center"/>
    </xf>
    <xf numFmtId="14" fontId="11" fillId="0" borderId="0" xfId="0" applyNumberFormat="1" applyFont="1" applyAlignment="1">
      <alignment horizontal="center" vertical="center"/>
    </xf>
    <xf numFmtId="181" fontId="9" fillId="0" borderId="3" xfId="0" applyNumberFormat="1" applyFont="1" applyBorder="1" applyAlignment="1">
      <alignment horizontal="center" vertical="center"/>
    </xf>
    <xf numFmtId="181" fontId="9" fillId="0" borderId="9" xfId="0" applyNumberFormat="1" applyFont="1" applyBorder="1" applyAlignment="1">
      <alignment horizontal="center" vertical="center"/>
    </xf>
    <xf numFmtId="0" fontId="100" fillId="0" borderId="0" xfId="0" applyFont="1" applyAlignment="1">
      <alignment horizontal="center" vertical="center"/>
    </xf>
    <xf numFmtId="0" fontId="100" fillId="0" borderId="0" xfId="0" applyFont="1" applyAlignment="1">
      <alignment horizontal="centerContinuous" vertical="center"/>
    </xf>
    <xf numFmtId="200" fontId="100" fillId="0" borderId="0" xfId="518" applyNumberFormat="1" applyFont="1" applyFill="1" applyBorder="1" applyAlignment="1" applyProtection="1">
      <alignment horizontal="center" vertical="center"/>
    </xf>
    <xf numFmtId="41" fontId="100" fillId="0" borderId="0" xfId="0" applyNumberFormat="1" applyFont="1" applyAlignment="1">
      <alignment horizontal="center" vertical="center"/>
    </xf>
    <xf numFmtId="200" fontId="101" fillId="0" borderId="0" xfId="518" applyNumberFormat="1" applyFont="1" applyFill="1" applyBorder="1" applyAlignment="1" applyProtection="1">
      <alignment horizontal="center" vertical="center"/>
    </xf>
    <xf numFmtId="290" fontId="101" fillId="0" borderId="0" xfId="0" applyNumberFormat="1" applyFont="1" applyAlignment="1">
      <alignment horizontal="left" vertical="center"/>
    </xf>
    <xf numFmtId="41" fontId="101" fillId="0" borderId="0" xfId="0" applyNumberFormat="1" applyFont="1">
      <alignment vertical="center"/>
    </xf>
    <xf numFmtId="291" fontId="101" fillId="0" borderId="0" xfId="0" quotePrefix="1" applyNumberFormat="1" applyFont="1" applyAlignment="1">
      <alignment horizontal="left" vertical="center"/>
    </xf>
    <xf numFmtId="0" fontId="101" fillId="0" borderId="0" xfId="0" applyFont="1" applyAlignment="1">
      <alignment horizontal="center" vertical="center"/>
    </xf>
    <xf numFmtId="185" fontId="101" fillId="0" borderId="0" xfId="525" applyNumberFormat="1" applyFont="1" applyFill="1" applyBorder="1" applyAlignment="1" applyProtection="1">
      <alignment vertical="center"/>
    </xf>
    <xf numFmtId="292" fontId="101" fillId="0" borderId="0" xfId="0" quotePrefix="1" applyNumberFormat="1" applyFont="1" applyAlignment="1">
      <alignment horizontal="left" vertical="center"/>
    </xf>
    <xf numFmtId="293" fontId="101" fillId="0" borderId="0" xfId="0" quotePrefix="1" applyNumberFormat="1" applyFont="1" applyAlignment="1">
      <alignment horizontal="left" vertical="center"/>
    </xf>
    <xf numFmtId="41" fontId="100" fillId="0" borderId="0" xfId="0" applyNumberFormat="1" applyFont="1">
      <alignment vertical="center"/>
    </xf>
    <xf numFmtId="293" fontId="100" fillId="0" borderId="0" xfId="0" applyNumberFormat="1" applyFont="1" applyAlignment="1">
      <alignment horizontal="left" vertical="center"/>
    </xf>
    <xf numFmtId="294" fontId="101" fillId="0" borderId="0" xfId="0" quotePrefix="1" applyNumberFormat="1" applyFont="1" applyAlignment="1">
      <alignment horizontal="center" vertical="center"/>
    </xf>
    <xf numFmtId="41" fontId="101" fillId="0" borderId="0" xfId="525" applyFont="1" applyFill="1" applyBorder="1" applyAlignment="1" applyProtection="1">
      <alignment vertical="center"/>
    </xf>
    <xf numFmtId="297" fontId="101" fillId="0" borderId="0" xfId="0" quotePrefix="1" applyNumberFormat="1" applyFont="1" applyAlignment="1">
      <alignment horizontal="center" vertical="center"/>
    </xf>
    <xf numFmtId="185" fontId="101" fillId="0" borderId="0" xfId="0" applyNumberFormat="1" applyFont="1">
      <alignment vertical="center"/>
    </xf>
    <xf numFmtId="0" fontId="101" fillId="0" borderId="0" xfId="0" applyFont="1" applyAlignment="1">
      <alignment horizontal="centerContinuous" vertical="center"/>
    </xf>
    <xf numFmtId="0" fontId="2" fillId="0" borderId="0" xfId="3">
      <alignment vertical="center"/>
    </xf>
    <xf numFmtId="295" fontId="101" fillId="0" borderId="0" xfId="0" applyNumberFormat="1" applyFont="1" applyAlignment="1">
      <alignment horizontal="left" vertical="center"/>
    </xf>
    <xf numFmtId="185" fontId="100" fillId="0" borderId="0" xfId="0" applyNumberFormat="1" applyFont="1">
      <alignment vertical="center"/>
    </xf>
    <xf numFmtId="296" fontId="101" fillId="0" borderId="0" xfId="518" applyNumberFormat="1" applyFont="1" applyFill="1" applyBorder="1" applyAlignment="1" applyProtection="1">
      <alignment vertical="center"/>
    </xf>
    <xf numFmtId="177" fontId="9" fillId="0" borderId="115" xfId="0" applyNumberFormat="1" applyFont="1" applyBorder="1" applyAlignment="1">
      <alignment horizontal="center" vertical="center"/>
    </xf>
    <xf numFmtId="177" fontId="9" fillId="0" borderId="9" xfId="0" applyNumberFormat="1" applyFont="1" applyBorder="1" applyAlignment="1">
      <alignment horizontal="center" vertical="center"/>
    </xf>
    <xf numFmtId="204" fontId="135" fillId="2" borderId="13" xfId="0" applyNumberFormat="1" applyFont="1" applyFill="1" applyBorder="1" applyAlignment="1">
      <alignment horizontal="center" vertical="center"/>
    </xf>
    <xf numFmtId="0" fontId="135" fillId="2" borderId="0" xfId="0" applyFont="1" applyFill="1" applyAlignment="1">
      <alignment horizontal="center" vertical="center"/>
    </xf>
    <xf numFmtId="0" fontId="97" fillId="2" borderId="0" xfId="0" applyFont="1" applyFill="1" applyAlignment="1">
      <alignment horizontal="center" vertical="center"/>
    </xf>
    <xf numFmtId="2" fontId="97" fillId="2" borderId="0" xfId="0" applyNumberFormat="1" applyFont="1" applyFill="1" applyAlignment="1">
      <alignment horizontal="center" vertical="center"/>
    </xf>
    <xf numFmtId="177" fontId="9" fillId="0" borderId="22" xfId="0" applyNumberFormat="1" applyFont="1" applyBorder="1" applyAlignment="1">
      <alignment horizontal="center" vertical="center"/>
    </xf>
    <xf numFmtId="177" fontId="9" fillId="0" borderId="46" xfId="0" applyNumberFormat="1" applyFont="1" applyBorder="1" applyAlignment="1">
      <alignment horizontal="center" vertical="center"/>
    </xf>
    <xf numFmtId="0" fontId="9" fillId="0" borderId="139" xfId="0" applyFont="1" applyBorder="1" applyAlignment="1">
      <alignment horizontal="center" vertical="center"/>
    </xf>
    <xf numFmtId="186" fontId="9" fillId="0" borderId="108" xfId="0" applyNumberFormat="1" applyFont="1" applyBorder="1" applyAlignment="1">
      <alignment horizontal="center" vertical="center"/>
    </xf>
    <xf numFmtId="186" fontId="9" fillId="0" borderId="9" xfId="1" applyNumberFormat="1" applyFont="1" applyFill="1" applyBorder="1" applyAlignment="1" applyProtection="1">
      <alignment horizontal="center" vertical="center"/>
    </xf>
    <xf numFmtId="186" fontId="9" fillId="0" borderId="142" xfId="0" applyNumberFormat="1" applyFont="1" applyBorder="1" applyAlignment="1">
      <alignment horizontal="center" vertical="center"/>
    </xf>
    <xf numFmtId="179" fontId="9" fillId="0" borderId="9" xfId="0" applyNumberFormat="1" applyFont="1" applyBorder="1" applyAlignment="1">
      <alignment horizontal="center" vertical="center"/>
    </xf>
    <xf numFmtId="289" fontId="9" fillId="0" borderId="115" xfId="0" applyNumberFormat="1" applyFont="1" applyBorder="1" applyAlignment="1">
      <alignment horizontal="center" vertical="center"/>
    </xf>
    <xf numFmtId="289" fontId="9" fillId="0" borderId="9" xfId="0" applyNumberFormat="1" applyFont="1" applyBorder="1" applyAlignment="1">
      <alignment horizontal="center" vertical="center"/>
    </xf>
    <xf numFmtId="0" fontId="133" fillId="2" borderId="18" xfId="0" applyFont="1" applyFill="1" applyBorder="1" applyAlignment="1">
      <alignment horizontal="center" vertical="center"/>
    </xf>
    <xf numFmtId="41" fontId="133" fillId="2" borderId="23" xfId="1" applyFont="1" applyFill="1" applyBorder="1" applyAlignment="1" applyProtection="1">
      <alignment horizontal="left" vertical="center"/>
    </xf>
    <xf numFmtId="0" fontId="96" fillId="0" borderId="0" xfId="0" applyFont="1" applyAlignment="1">
      <alignment horizontal="center" vertical="center"/>
    </xf>
    <xf numFmtId="0" fontId="133" fillId="2" borderId="34" xfId="0" applyFont="1" applyFill="1" applyBorder="1" applyAlignment="1">
      <alignment horizontal="center" vertical="center"/>
    </xf>
    <xf numFmtId="0" fontId="133" fillId="2" borderId="33" xfId="0" applyFont="1" applyFill="1" applyBorder="1" applyAlignment="1">
      <alignment horizontal="center" vertical="center"/>
    </xf>
    <xf numFmtId="0" fontId="103" fillId="2" borderId="20" xfId="0" applyFont="1" applyFill="1" applyBorder="1" applyAlignment="1">
      <alignment horizontal="center" vertical="center"/>
    </xf>
    <xf numFmtId="0" fontId="103" fillId="2" borderId="20" xfId="0" applyFont="1" applyFill="1" applyBorder="1" applyAlignment="1">
      <alignment horizontal="left" vertical="center"/>
    </xf>
    <xf numFmtId="186" fontId="9" fillId="0" borderId="39" xfId="0" applyNumberFormat="1" applyFont="1" applyBorder="1" applyAlignment="1">
      <alignment horizontal="center" vertical="center"/>
    </xf>
    <xf numFmtId="0" fontId="9" fillId="0" borderId="138" xfId="0" applyFont="1" applyBorder="1" applyAlignment="1">
      <alignment horizontal="center" vertical="center"/>
    </xf>
    <xf numFmtId="0" fontId="103" fillId="2" borderId="34" xfId="0" applyFont="1" applyFill="1" applyBorder="1" applyAlignment="1">
      <alignment horizontal="left" vertical="center"/>
    </xf>
    <xf numFmtId="0" fontId="9" fillId="0" borderId="27" xfId="0" applyFont="1" applyBorder="1" applyAlignment="1">
      <alignment horizontal="center" vertical="center"/>
    </xf>
    <xf numFmtId="3" fontId="9" fillId="0" borderId="27" xfId="0" applyNumberFormat="1" applyFont="1" applyBorder="1" applyAlignment="1">
      <alignment horizontal="center" vertical="center"/>
    </xf>
    <xf numFmtId="177" fontId="9" fillId="0" borderId="50" xfId="0" applyNumberFormat="1" applyFont="1" applyBorder="1" applyAlignment="1">
      <alignment horizontal="center" vertical="center"/>
    </xf>
    <xf numFmtId="176" fontId="9" fillId="0" borderId="10" xfId="0" applyNumberFormat="1" applyFont="1" applyBorder="1" applyAlignment="1">
      <alignment horizontal="center" vertical="center"/>
    </xf>
    <xf numFmtId="186" fontId="9" fillId="0" borderId="38" xfId="0" applyNumberFormat="1" applyFont="1" applyBorder="1" applyAlignment="1">
      <alignment horizontal="center" vertical="center"/>
    </xf>
    <xf numFmtId="0" fontId="9" fillId="26" borderId="28" xfId="0" applyFont="1" applyFill="1" applyBorder="1" applyAlignment="1">
      <alignment horizontal="center" vertical="center"/>
    </xf>
    <xf numFmtId="287" fontId="9" fillId="26" borderId="15" xfId="0" applyNumberFormat="1" applyFont="1" applyFill="1" applyBorder="1" applyAlignment="1">
      <alignment horizontal="center" vertical="center"/>
    </xf>
    <xf numFmtId="185" fontId="9" fillId="26" borderId="14" xfId="0" applyNumberFormat="1" applyFont="1" applyFill="1" applyBorder="1" applyAlignment="1">
      <alignment horizontal="center" vertical="center"/>
    </xf>
    <xf numFmtId="0" fontId="9" fillId="26" borderId="120" xfId="0" applyFont="1" applyFill="1" applyBorder="1" applyAlignment="1">
      <alignment horizontal="center" vertical="center"/>
    </xf>
    <xf numFmtId="186" fontId="9" fillId="0" borderId="104" xfId="0" applyNumberFormat="1" applyFont="1" applyBorder="1" applyAlignment="1">
      <alignment horizontal="center" vertical="center"/>
    </xf>
    <xf numFmtId="186" fontId="9" fillId="0" borderId="105" xfId="0" applyNumberFormat="1" applyFont="1" applyBorder="1" applyAlignment="1">
      <alignment horizontal="center" vertical="center"/>
    </xf>
    <xf numFmtId="0" fontId="98" fillId="0" borderId="119" xfId="0" applyFont="1" applyBorder="1" applyAlignment="1">
      <alignment horizontal="center" vertical="center"/>
    </xf>
    <xf numFmtId="0" fontId="98" fillId="0" borderId="10" xfId="0" applyFont="1" applyBorder="1" applyAlignment="1">
      <alignment horizontal="center" vertical="center"/>
    </xf>
    <xf numFmtId="0" fontId="98" fillId="0" borderId="120" xfId="0" applyFont="1" applyBorder="1" applyAlignment="1">
      <alignment horizontal="center" vertical="center"/>
    </xf>
    <xf numFmtId="0" fontId="103" fillId="2" borderId="2" xfId="0" applyFont="1" applyFill="1" applyBorder="1" applyAlignment="1">
      <alignment horizontal="left" vertical="center"/>
    </xf>
    <xf numFmtId="0" fontId="133" fillId="2" borderId="2" xfId="0" applyFont="1" applyFill="1" applyBorder="1" applyAlignment="1">
      <alignment horizontal="center" vertical="center"/>
    </xf>
    <xf numFmtId="0" fontId="103" fillId="2" borderId="13" xfId="0" applyFont="1" applyFill="1" applyBorder="1" applyAlignment="1">
      <alignment horizontal="center" vertical="center"/>
    </xf>
    <xf numFmtId="41" fontId="133" fillId="2" borderId="13" xfId="1" applyFont="1" applyFill="1" applyBorder="1" applyAlignment="1" applyProtection="1">
      <alignment horizontal="left" vertical="center"/>
    </xf>
    <xf numFmtId="0" fontId="7" fillId="47" borderId="1" xfId="0" applyFont="1" applyFill="1" applyBorder="1" applyAlignment="1">
      <alignment horizontal="center" vertical="center"/>
    </xf>
    <xf numFmtId="0" fontId="7" fillId="18" borderId="7" xfId="0" applyFont="1" applyFill="1" applyBorder="1" applyAlignment="1">
      <alignment horizontal="center" vertical="center"/>
    </xf>
    <xf numFmtId="0" fontId="7" fillId="20" borderId="12" xfId="0" applyFont="1" applyFill="1" applyBorder="1" applyAlignment="1">
      <alignment horizontal="center" vertical="center"/>
    </xf>
    <xf numFmtId="0" fontId="136" fillId="0" borderId="0" xfId="0" applyFont="1">
      <alignment vertical="center"/>
    </xf>
    <xf numFmtId="41" fontId="127" fillId="13" borderId="81" xfId="1" applyFont="1" applyFill="1" applyBorder="1" applyAlignment="1" applyProtection="1">
      <alignment vertical="center" wrapText="1"/>
    </xf>
    <xf numFmtId="41" fontId="23" fillId="0" borderId="37" xfId="1" applyFont="1" applyBorder="1" applyProtection="1">
      <alignment vertical="center"/>
    </xf>
    <xf numFmtId="41" fontId="9" fillId="0" borderId="37" xfId="1" applyFont="1" applyBorder="1" applyProtection="1">
      <alignment vertical="center"/>
    </xf>
    <xf numFmtId="41" fontId="9" fillId="0" borderId="40" xfId="1" applyFont="1" applyBorder="1" applyProtection="1">
      <alignment vertical="center"/>
    </xf>
    <xf numFmtId="41" fontId="9" fillId="0" borderId="123" xfId="1" applyFont="1" applyBorder="1" applyProtection="1">
      <alignment vertical="center"/>
    </xf>
    <xf numFmtId="41" fontId="9" fillId="0" borderId="46" xfId="1" applyFont="1" applyBorder="1" applyAlignment="1" applyProtection="1">
      <alignment vertical="center"/>
    </xf>
    <xf numFmtId="200" fontId="9" fillId="0" borderId="37" xfId="2" applyNumberFormat="1" applyFont="1" applyBorder="1" applyAlignment="1" applyProtection="1">
      <alignment horizontal="right" vertical="center"/>
    </xf>
    <xf numFmtId="41" fontId="9" fillId="0" borderId="14" xfId="1" applyFont="1" applyBorder="1" applyAlignment="1" applyProtection="1">
      <alignment vertical="center"/>
    </xf>
    <xf numFmtId="200" fontId="9" fillId="0" borderId="16" xfId="2" applyNumberFormat="1" applyFont="1" applyBorder="1" applyAlignment="1" applyProtection="1">
      <alignment horizontal="right" vertical="center"/>
    </xf>
    <xf numFmtId="0" fontId="127" fillId="0" borderId="36" xfId="0" applyFont="1" applyBorder="1" applyAlignment="1">
      <alignment horizontal="center" vertical="center" wrapText="1"/>
    </xf>
    <xf numFmtId="9" fontId="97" fillId="0" borderId="46" xfId="0" applyNumberFormat="1" applyFont="1" applyBorder="1" applyAlignment="1">
      <alignment horizontal="center" vertical="center" wrapText="1"/>
    </xf>
    <xf numFmtId="9" fontId="97" fillId="0" borderId="37" xfId="0" applyNumberFormat="1" applyFont="1" applyBorder="1" applyAlignment="1">
      <alignment horizontal="center" vertical="center" wrapText="1"/>
    </xf>
    <xf numFmtId="0" fontId="9" fillId="0" borderId="0" xfId="0" applyFont="1">
      <alignment vertical="center"/>
    </xf>
    <xf numFmtId="3" fontId="127" fillId="16" borderId="9" xfId="0" applyNumberFormat="1" applyFont="1" applyFill="1" applyBorder="1" applyAlignment="1">
      <alignment horizontal="center" vertical="center" wrapText="1"/>
    </xf>
    <xf numFmtId="41" fontId="127" fillId="16" borderId="9" xfId="0" applyNumberFormat="1" applyFont="1" applyFill="1" applyBorder="1" applyAlignment="1">
      <alignment horizontal="center" vertical="center" wrapText="1"/>
    </xf>
    <xf numFmtId="200" fontId="127" fillId="0" borderId="9" xfId="0" applyNumberFormat="1" applyFont="1" applyBorder="1" applyAlignment="1">
      <alignment horizontal="center" vertical="center" wrapText="1"/>
    </xf>
    <xf numFmtId="3" fontId="127" fillId="8" borderId="9" xfId="0" applyNumberFormat="1" applyFont="1" applyFill="1" applyBorder="1" applyAlignment="1">
      <alignment horizontal="center" vertical="center" wrapText="1"/>
    </xf>
    <xf numFmtId="200" fontId="9" fillId="0" borderId="0" xfId="0" applyNumberFormat="1" applyFont="1">
      <alignment vertical="center"/>
    </xf>
    <xf numFmtId="3" fontId="127" fillId="27" borderId="9" xfId="0" applyNumberFormat="1" applyFont="1" applyFill="1" applyBorder="1" applyAlignment="1">
      <alignment horizontal="center" vertical="center" wrapText="1"/>
    </xf>
    <xf numFmtId="3" fontId="127" fillId="18" borderId="9" xfId="0" applyNumberFormat="1" applyFont="1" applyFill="1" applyBorder="1" applyAlignment="1">
      <alignment horizontal="center" vertical="center" wrapText="1"/>
    </xf>
    <xf numFmtId="41" fontId="127" fillId="18" borderId="9" xfId="0" applyNumberFormat="1" applyFont="1" applyFill="1" applyBorder="1" applyAlignment="1">
      <alignment horizontal="center" vertical="center" wrapText="1"/>
    </xf>
    <xf numFmtId="200" fontId="127" fillId="18" borderId="9" xfId="0" applyNumberFormat="1" applyFont="1" applyFill="1" applyBorder="1" applyAlignment="1">
      <alignment horizontal="center" vertical="center" wrapText="1"/>
    </xf>
    <xf numFmtId="3" fontId="127" fillId="16" borderId="14" xfId="0" applyNumberFormat="1" applyFont="1" applyFill="1" applyBorder="1" applyAlignment="1">
      <alignment horizontal="center" vertical="center" wrapText="1"/>
    </xf>
    <xf numFmtId="41" fontId="127" fillId="16" borderId="14" xfId="0" applyNumberFormat="1" applyFont="1" applyFill="1" applyBorder="1" applyAlignment="1">
      <alignment horizontal="center" vertical="center" wrapText="1"/>
    </xf>
    <xf numFmtId="200" fontId="127" fillId="0" borderId="14" xfId="0" applyNumberFormat="1" applyFont="1" applyBorder="1" applyAlignment="1">
      <alignment horizontal="center" vertical="center" wrapText="1"/>
    </xf>
    <xf numFmtId="3" fontId="127" fillId="8" borderId="14" xfId="0" applyNumberFormat="1" applyFont="1" applyFill="1" applyBorder="1" applyAlignment="1">
      <alignment horizontal="center" vertical="center" wrapText="1"/>
    </xf>
    <xf numFmtId="3" fontId="127" fillId="0" borderId="0" xfId="0" applyNumberFormat="1" applyFont="1" applyAlignment="1">
      <alignment horizontal="center" vertical="center" wrapText="1"/>
    </xf>
    <xf numFmtId="3" fontId="9" fillId="0" borderId="0" xfId="0" applyNumberFormat="1" applyFont="1" applyAlignment="1">
      <alignment horizontal="center" vertical="center" wrapText="1"/>
    </xf>
    <xf numFmtId="200" fontId="127" fillId="0" borderId="0" xfId="0" applyNumberFormat="1" applyFont="1" applyAlignment="1">
      <alignment horizontal="center" vertical="center" wrapText="1"/>
    </xf>
    <xf numFmtId="3" fontId="97" fillId="0" borderId="0" xfId="0" applyNumberFormat="1" applyFont="1" applyAlignment="1">
      <alignment horizontal="center" vertical="center" wrapText="1"/>
    </xf>
    <xf numFmtId="3" fontId="127" fillId="16" borderId="46" xfId="0" applyNumberFormat="1" applyFont="1" applyFill="1" applyBorder="1" applyAlignment="1">
      <alignment horizontal="center" vertical="center" wrapText="1"/>
    </xf>
    <xf numFmtId="41" fontId="127" fillId="16" borderId="46" xfId="0" applyNumberFormat="1" applyFont="1" applyFill="1" applyBorder="1" applyAlignment="1">
      <alignment horizontal="center" vertical="center" wrapText="1"/>
    </xf>
    <xf numFmtId="200" fontId="127" fillId="0" borderId="46" xfId="0" applyNumberFormat="1" applyFont="1" applyBorder="1" applyAlignment="1">
      <alignment horizontal="center" vertical="center" wrapText="1"/>
    </xf>
    <xf numFmtId="3" fontId="127" fillId="8" borderId="46" xfId="0" applyNumberFormat="1" applyFont="1" applyFill="1" applyBorder="1" applyAlignment="1">
      <alignment horizontal="center" vertical="center" wrapText="1"/>
    </xf>
    <xf numFmtId="3" fontId="127" fillId="16" borderId="50" xfId="0" applyNumberFormat="1" applyFont="1" applyFill="1" applyBorder="1" applyAlignment="1">
      <alignment horizontal="center" vertical="center" wrapText="1"/>
    </xf>
    <xf numFmtId="3" fontId="127" fillId="16" borderId="115" xfId="0" applyNumberFormat="1" applyFont="1" applyFill="1" applyBorder="1" applyAlignment="1">
      <alignment horizontal="center" vertical="center" wrapText="1"/>
    </xf>
    <xf numFmtId="3" fontId="127" fillId="18" borderId="115" xfId="0" applyNumberFormat="1" applyFont="1" applyFill="1" applyBorder="1" applyAlignment="1">
      <alignment horizontal="center" vertical="center" wrapText="1"/>
    </xf>
    <xf numFmtId="3" fontId="127" fillId="16" borderId="15" xfId="0" applyNumberFormat="1" applyFont="1" applyFill="1" applyBorder="1" applyAlignment="1">
      <alignment horizontal="center" vertical="center" wrapText="1"/>
    </xf>
    <xf numFmtId="200" fontId="9" fillId="16" borderId="38" xfId="0" applyNumberFormat="1" applyFont="1" applyFill="1" applyBorder="1" applyAlignment="1">
      <alignment horizontal="center" vertical="center" wrapText="1"/>
    </xf>
    <xf numFmtId="200" fontId="127" fillId="16" borderId="104" xfId="0" applyNumberFormat="1" applyFont="1" applyFill="1" applyBorder="1" applyAlignment="1">
      <alignment horizontal="center" vertical="center" wrapText="1"/>
    </xf>
    <xf numFmtId="200" fontId="9" fillId="16" borderId="104" xfId="0" applyNumberFormat="1" applyFont="1" applyFill="1" applyBorder="1" applyAlignment="1">
      <alignment horizontal="center" vertical="center" wrapText="1"/>
    </xf>
    <xf numFmtId="200" fontId="9" fillId="0" borderId="104" xfId="0" applyNumberFormat="1" applyFont="1" applyBorder="1" applyAlignment="1">
      <alignment horizontal="center" vertical="center" wrapText="1"/>
    </xf>
    <xf numFmtId="200" fontId="7" fillId="18" borderId="104" xfId="0" applyNumberFormat="1" applyFont="1" applyFill="1" applyBorder="1" applyAlignment="1" applyProtection="1">
      <alignment horizontal="center" vertical="center" wrapText="1"/>
      <protection locked="0"/>
    </xf>
    <xf numFmtId="200" fontId="9" fillId="0" borderId="105" xfId="0" applyNumberFormat="1" applyFont="1" applyBorder="1" applyAlignment="1" applyProtection="1">
      <alignment horizontal="center" vertical="center" wrapText="1"/>
      <protection locked="0"/>
    </xf>
    <xf numFmtId="0" fontId="127" fillId="15" borderId="28" xfId="0" applyFont="1" applyFill="1" applyBorder="1" applyAlignment="1">
      <alignment horizontal="center" vertical="center" wrapText="1"/>
    </xf>
    <xf numFmtId="3" fontId="127" fillId="16" borderId="36" xfId="0" applyNumberFormat="1" applyFont="1" applyFill="1" applyBorder="1" applyAlignment="1">
      <alignment horizontal="center" vertical="center" wrapText="1"/>
    </xf>
    <xf numFmtId="41" fontId="127" fillId="16" borderId="37" xfId="1" applyFont="1" applyFill="1" applyBorder="1" applyAlignment="1" applyProtection="1">
      <alignment horizontal="center" vertical="center" wrapText="1"/>
    </xf>
    <xf numFmtId="3" fontId="127" fillId="16" borderId="41" xfId="0" applyNumberFormat="1" applyFont="1" applyFill="1" applyBorder="1" applyAlignment="1">
      <alignment horizontal="center" vertical="center" wrapText="1"/>
    </xf>
    <xf numFmtId="41" fontId="127" fillId="16" borderId="40" xfId="1" applyFont="1" applyFill="1" applyBorder="1" applyAlignment="1" applyProtection="1">
      <alignment horizontal="center" vertical="center" wrapText="1"/>
    </xf>
    <xf numFmtId="3" fontId="127" fillId="18" borderId="41" xfId="0" applyNumberFormat="1" applyFont="1" applyFill="1" applyBorder="1" applyAlignment="1">
      <alignment horizontal="center" vertical="center" wrapText="1"/>
    </xf>
    <xf numFmtId="41" fontId="127" fillId="18" borderId="40" xfId="1" applyFont="1" applyFill="1" applyBorder="1" applyAlignment="1" applyProtection="1">
      <alignment horizontal="center" vertical="center" wrapText="1"/>
    </xf>
    <xf numFmtId="3" fontId="127" fillId="16" borderId="28" xfId="0" applyNumberFormat="1" applyFont="1" applyFill="1" applyBorder="1" applyAlignment="1">
      <alignment horizontal="center" vertical="center" wrapText="1"/>
    </xf>
    <xf numFmtId="41" fontId="127" fillId="16" borderId="119" xfId="0" applyNumberFormat="1" applyFont="1" applyFill="1" applyBorder="1" applyAlignment="1">
      <alignment horizontal="center" vertical="center" wrapText="1"/>
    </xf>
    <xf numFmtId="41" fontId="127" fillId="16" borderId="10" xfId="0" applyNumberFormat="1" applyFont="1" applyFill="1" applyBorder="1" applyAlignment="1">
      <alignment horizontal="center" vertical="center" wrapText="1"/>
    </xf>
    <xf numFmtId="41" fontId="127" fillId="18" borderId="10" xfId="0" applyNumberFormat="1" applyFont="1" applyFill="1" applyBorder="1" applyAlignment="1">
      <alignment horizontal="center" vertical="center" wrapText="1"/>
    </xf>
    <xf numFmtId="41" fontId="127" fillId="16" borderId="120" xfId="0" applyNumberFormat="1" applyFont="1" applyFill="1" applyBorder="1" applyAlignment="1">
      <alignment horizontal="center" vertical="center" wrapText="1"/>
    </xf>
    <xf numFmtId="3" fontId="127" fillId="16" borderId="37" xfId="0" applyNumberFormat="1" applyFont="1" applyFill="1" applyBorder="1" applyAlignment="1">
      <alignment horizontal="center" vertical="center" wrapText="1"/>
    </xf>
    <xf numFmtId="3" fontId="127" fillId="16" borderId="40" xfId="0" applyNumberFormat="1" applyFont="1" applyFill="1" applyBorder="1" applyAlignment="1">
      <alignment horizontal="center" vertical="center" wrapText="1"/>
    </xf>
    <xf numFmtId="3" fontId="127" fillId="18" borderId="40" xfId="0" applyNumberFormat="1" applyFont="1" applyFill="1" applyBorder="1" applyAlignment="1">
      <alignment horizontal="center" vertical="center" wrapText="1"/>
    </xf>
    <xf numFmtId="3" fontId="127" fillId="16" borderId="16" xfId="0" applyNumberFormat="1" applyFont="1" applyFill="1" applyBorder="1" applyAlignment="1">
      <alignment horizontal="center" vertical="center" wrapText="1"/>
    </xf>
    <xf numFmtId="3" fontId="127" fillId="16" borderId="107" xfId="0" applyNumberFormat="1" applyFont="1" applyFill="1" applyBorder="1" applyAlignment="1">
      <alignment horizontal="center" vertical="center" wrapText="1"/>
    </xf>
    <xf numFmtId="3" fontId="9" fillId="0" borderId="107" xfId="0" applyNumberFormat="1" applyFont="1" applyBorder="1" applyAlignment="1">
      <alignment horizontal="center" vertical="center" wrapText="1"/>
    </xf>
    <xf numFmtId="3" fontId="9" fillId="18" borderId="107" xfId="0" applyNumberFormat="1" applyFont="1" applyFill="1" applyBorder="1" applyAlignment="1">
      <alignment horizontal="center" vertical="center" wrapText="1"/>
    </xf>
    <xf numFmtId="3" fontId="9" fillId="0" borderId="110" xfId="0" applyNumberFormat="1" applyFont="1" applyBorder="1" applyAlignment="1">
      <alignment horizontal="center" vertical="center" wrapText="1"/>
    </xf>
    <xf numFmtId="0" fontId="127" fillId="15" borderId="19" xfId="0" applyFont="1" applyFill="1" applyBorder="1" applyAlignment="1">
      <alignment horizontal="center" vertical="center" wrapText="1"/>
    </xf>
    <xf numFmtId="3" fontId="127" fillId="16" borderId="38" xfId="0" applyNumberFormat="1" applyFont="1" applyFill="1" applyBorder="1" applyAlignment="1">
      <alignment horizontal="center" vertical="center" wrapText="1"/>
    </xf>
    <xf numFmtId="3" fontId="127" fillId="16" borderId="104" xfId="0" applyNumberFormat="1" applyFont="1" applyFill="1" applyBorder="1" applyAlignment="1">
      <alignment horizontal="center" vertical="center" wrapText="1"/>
    </xf>
    <xf numFmtId="3" fontId="127" fillId="18" borderId="104" xfId="0" applyNumberFormat="1" applyFont="1" applyFill="1" applyBorder="1" applyAlignment="1">
      <alignment horizontal="center" vertical="center" wrapText="1"/>
    </xf>
    <xf numFmtId="3" fontId="127" fillId="16" borderId="105" xfId="0" applyNumberFormat="1" applyFont="1" applyFill="1" applyBorder="1" applyAlignment="1">
      <alignment horizontal="center" vertical="center" wrapText="1"/>
    </xf>
    <xf numFmtId="3" fontId="127" fillId="8" borderId="50" xfId="0" applyNumberFormat="1" applyFont="1" applyFill="1" applyBorder="1" applyAlignment="1">
      <alignment horizontal="center" vertical="center" wrapText="1"/>
    </xf>
    <xf numFmtId="3" fontId="127" fillId="8" borderId="115" xfId="0" applyNumberFormat="1" applyFont="1" applyFill="1" applyBorder="1" applyAlignment="1">
      <alignment horizontal="center" vertical="center" wrapText="1"/>
    </xf>
    <xf numFmtId="3" fontId="127" fillId="8" borderId="15" xfId="0" applyNumberFormat="1" applyFont="1" applyFill="1" applyBorder="1" applyAlignment="1">
      <alignment horizontal="center" vertical="center" wrapText="1"/>
    </xf>
    <xf numFmtId="200" fontId="127" fillId="0" borderId="36" xfId="0" applyNumberFormat="1" applyFont="1" applyBorder="1" applyAlignment="1">
      <alignment horizontal="center" vertical="center" wrapText="1"/>
    </xf>
    <xf numFmtId="200" fontId="127" fillId="0" borderId="37" xfId="0" applyNumberFormat="1" applyFont="1" applyBorder="1" applyAlignment="1">
      <alignment horizontal="center" vertical="center" wrapText="1"/>
    </xf>
    <xf numFmtId="200" fontId="127" fillId="0" borderId="41" xfId="0" applyNumberFormat="1" applyFont="1" applyBorder="1" applyAlignment="1">
      <alignment horizontal="center" vertical="center" wrapText="1"/>
    </xf>
    <xf numFmtId="200" fontId="127" fillId="0" borderId="40" xfId="0" applyNumberFormat="1" applyFont="1" applyBorder="1" applyAlignment="1">
      <alignment horizontal="center" vertical="center" wrapText="1"/>
    </xf>
    <xf numFmtId="200" fontId="127" fillId="18" borderId="41" xfId="0" applyNumberFormat="1" applyFont="1" applyFill="1" applyBorder="1" applyAlignment="1">
      <alignment horizontal="center" vertical="center" wrapText="1"/>
    </xf>
    <xf numFmtId="200" fontId="127" fillId="18" borderId="40" xfId="0" applyNumberFormat="1" applyFont="1" applyFill="1" applyBorder="1" applyAlignment="1">
      <alignment horizontal="center" vertical="center" wrapText="1"/>
    </xf>
    <xf numFmtId="200" fontId="127" fillId="0" borderId="28" xfId="0" applyNumberFormat="1" applyFont="1" applyBorder="1" applyAlignment="1">
      <alignment horizontal="center" vertical="center" wrapText="1"/>
    </xf>
    <xf numFmtId="200" fontId="127" fillId="0" borderId="16" xfId="0" applyNumberFormat="1" applyFont="1" applyBorder="1" applyAlignment="1">
      <alignment horizontal="center" vertical="center" wrapText="1"/>
    </xf>
    <xf numFmtId="200" fontId="127" fillId="16" borderId="37" xfId="2" applyNumberFormat="1" applyFont="1" applyFill="1" applyBorder="1" applyAlignment="1" applyProtection="1">
      <alignment horizontal="center" vertical="center" wrapText="1"/>
    </xf>
    <xf numFmtId="3" fontId="127" fillId="16" borderId="24" xfId="0" applyNumberFormat="1" applyFont="1" applyFill="1" applyBorder="1" applyAlignment="1">
      <alignment horizontal="center" vertical="center" wrapText="1"/>
    </xf>
    <xf numFmtId="3" fontId="127" fillId="16" borderId="3" xfId="0" applyNumberFormat="1" applyFont="1" applyFill="1" applyBorder="1" applyAlignment="1">
      <alignment horizontal="center" vertical="center" wrapText="1"/>
    </xf>
    <xf numFmtId="41" fontId="127" fillId="16" borderId="25" xfId="1" applyFont="1" applyFill="1" applyBorder="1" applyAlignment="1" applyProtection="1">
      <alignment horizontal="center" vertical="center" wrapText="1"/>
    </xf>
    <xf numFmtId="3" fontId="127" fillId="16" borderId="124" xfId="0" applyNumberFormat="1" applyFont="1" applyFill="1" applyBorder="1" applyAlignment="1">
      <alignment horizontal="center" vertical="center" wrapText="1"/>
    </xf>
    <xf numFmtId="41" fontId="127" fillId="16" borderId="3" xfId="0" applyNumberFormat="1" applyFont="1" applyFill="1" applyBorder="1" applyAlignment="1">
      <alignment horizontal="center" vertical="center" wrapText="1"/>
    </xf>
    <xf numFmtId="41" fontId="127" fillId="16" borderId="4" xfId="0" applyNumberFormat="1" applyFont="1" applyFill="1" applyBorder="1" applyAlignment="1">
      <alignment horizontal="center" vertical="center" wrapText="1"/>
    </xf>
    <xf numFmtId="3" fontId="127" fillId="16" borderId="25" xfId="0" applyNumberFormat="1" applyFont="1" applyFill="1" applyBorder="1" applyAlignment="1">
      <alignment horizontal="center" vertical="center" wrapText="1"/>
    </xf>
    <xf numFmtId="3" fontId="127" fillId="16" borderId="5" xfId="0" applyNumberFormat="1" applyFont="1" applyFill="1" applyBorder="1" applyAlignment="1">
      <alignment horizontal="center" vertical="center" wrapText="1"/>
    </xf>
    <xf numFmtId="3" fontId="127" fillId="16" borderId="19" xfId="0" applyNumberFormat="1" applyFont="1" applyFill="1" applyBorder="1" applyAlignment="1">
      <alignment horizontal="center" vertical="center" wrapText="1"/>
    </xf>
    <xf numFmtId="200" fontId="127" fillId="0" borderId="24" xfId="0" applyNumberFormat="1" applyFont="1" applyBorder="1" applyAlignment="1">
      <alignment horizontal="center" vertical="center" wrapText="1"/>
    </xf>
    <xf numFmtId="200" fontId="127" fillId="0" borderId="3" xfId="0" applyNumberFormat="1" applyFont="1" applyBorder="1" applyAlignment="1">
      <alignment horizontal="center" vertical="center" wrapText="1"/>
    </xf>
    <xf numFmtId="200" fontId="127" fillId="0" borderId="25" xfId="0" applyNumberFormat="1" applyFont="1" applyBorder="1" applyAlignment="1">
      <alignment horizontal="center" vertical="center" wrapText="1"/>
    </xf>
    <xf numFmtId="3" fontId="127" fillId="8" borderId="124" xfId="0" applyNumberFormat="1" applyFont="1" applyFill="1" applyBorder="1" applyAlignment="1">
      <alignment horizontal="center" vertical="center" wrapText="1"/>
    </xf>
    <xf numFmtId="3" fontId="127" fillId="8" borderId="3" xfId="0" applyNumberFormat="1" applyFont="1" applyFill="1" applyBorder="1" applyAlignment="1">
      <alignment horizontal="center" vertical="center" wrapText="1"/>
    </xf>
    <xf numFmtId="200" fontId="127" fillId="16" borderId="25" xfId="2" applyNumberFormat="1" applyFont="1" applyFill="1" applyBorder="1" applyAlignment="1" applyProtection="1">
      <alignment horizontal="center" vertical="center" wrapText="1"/>
    </xf>
    <xf numFmtId="200" fontId="127" fillId="18" borderId="37" xfId="2" applyNumberFormat="1" applyFont="1" applyFill="1" applyBorder="1" applyAlignment="1" applyProtection="1">
      <alignment horizontal="center" vertical="center" wrapText="1"/>
    </xf>
    <xf numFmtId="200" fontId="9" fillId="0" borderId="114" xfId="0" applyNumberFormat="1" applyFont="1" applyBorder="1" applyAlignment="1">
      <alignment horizontal="center" vertical="center" wrapText="1"/>
    </xf>
    <xf numFmtId="3" fontId="127" fillId="16" borderId="126" xfId="0" applyNumberFormat="1" applyFont="1" applyFill="1" applyBorder="1" applyAlignment="1">
      <alignment horizontal="center" vertical="center" wrapText="1"/>
    </xf>
    <xf numFmtId="3" fontId="127" fillId="16" borderId="116" xfId="0" applyNumberFormat="1" applyFont="1" applyFill="1" applyBorder="1" applyAlignment="1">
      <alignment horizontal="center" vertical="center" wrapText="1"/>
    </xf>
    <xf numFmtId="41" fontId="127" fillId="16" borderId="123" xfId="1" applyFont="1" applyFill="1" applyBorder="1" applyAlignment="1" applyProtection="1">
      <alignment horizontal="center" vertical="center" wrapText="1"/>
    </xf>
    <xf numFmtId="3" fontId="127" fillId="16" borderId="122" xfId="0" applyNumberFormat="1" applyFont="1" applyFill="1" applyBorder="1" applyAlignment="1">
      <alignment horizontal="center" vertical="center" wrapText="1"/>
    </xf>
    <xf numFmtId="41" fontId="127" fillId="16" borderId="116" xfId="0" applyNumberFormat="1" applyFont="1" applyFill="1" applyBorder="1" applyAlignment="1">
      <alignment horizontal="center" vertical="center" wrapText="1"/>
    </xf>
    <xf numFmtId="41" fontId="127" fillId="16" borderId="140" xfId="0" applyNumberFormat="1" applyFont="1" applyFill="1" applyBorder="1" applyAlignment="1">
      <alignment horizontal="center" vertical="center" wrapText="1"/>
    </xf>
    <xf numFmtId="3" fontId="127" fillId="16" borderId="123" xfId="0" applyNumberFormat="1" applyFont="1" applyFill="1" applyBorder="1" applyAlignment="1">
      <alignment horizontal="center" vertical="center" wrapText="1"/>
    </xf>
    <xf numFmtId="3" fontId="9" fillId="0" borderId="103" xfId="0" applyNumberFormat="1" applyFont="1" applyBorder="1" applyAlignment="1">
      <alignment horizontal="center" vertical="center" wrapText="1"/>
    </xf>
    <xf numFmtId="3" fontId="127" fillId="16" borderId="114" xfId="0" applyNumberFormat="1" applyFont="1" applyFill="1" applyBorder="1" applyAlignment="1">
      <alignment horizontal="center" vertical="center" wrapText="1"/>
    </xf>
    <xf numFmtId="200" fontId="127" fillId="0" borderId="126" xfId="0" applyNumberFormat="1" applyFont="1" applyBorder="1" applyAlignment="1">
      <alignment horizontal="center" vertical="center" wrapText="1"/>
    </xf>
    <xf numFmtId="200" fontId="127" fillId="0" borderId="116" xfId="0" applyNumberFormat="1" applyFont="1" applyBorder="1" applyAlignment="1">
      <alignment horizontal="center" vertical="center" wrapText="1"/>
    </xf>
    <xf numFmtId="200" fontId="127" fillId="0" borderId="123" xfId="0" applyNumberFormat="1" applyFont="1" applyBorder="1" applyAlignment="1">
      <alignment horizontal="center" vertical="center" wrapText="1"/>
    </xf>
    <xf numFmtId="3" fontId="127" fillId="8" borderId="122" xfId="0" applyNumberFormat="1" applyFont="1" applyFill="1" applyBorder="1" applyAlignment="1">
      <alignment horizontal="center" vertical="center" wrapText="1"/>
    </xf>
    <xf numFmtId="3" fontId="127" fillId="8" borderId="116" xfId="0" applyNumberFormat="1" applyFont="1" applyFill="1" applyBorder="1" applyAlignment="1">
      <alignment horizontal="center" vertical="center" wrapText="1"/>
    </xf>
    <xf numFmtId="200" fontId="127" fillId="16" borderId="131" xfId="2" applyNumberFormat="1" applyFont="1" applyFill="1" applyBorder="1" applyAlignment="1" applyProtection="1">
      <alignment horizontal="center" vertical="center" wrapText="1"/>
    </xf>
    <xf numFmtId="200" fontId="9" fillId="0" borderId="38" xfId="0" applyNumberFormat="1" applyFont="1" applyBorder="1" applyAlignment="1" applyProtection="1">
      <alignment horizontal="center" vertical="center" wrapText="1"/>
      <protection locked="0"/>
    </xf>
    <xf numFmtId="3" fontId="9" fillId="0" borderId="141" xfId="0" applyNumberFormat="1" applyFont="1" applyBorder="1" applyAlignment="1">
      <alignment horizontal="center" vertical="center" wrapText="1"/>
    </xf>
    <xf numFmtId="200" fontId="7" fillId="47" borderId="19" xfId="0" applyNumberFormat="1" applyFont="1" applyFill="1" applyBorder="1" applyAlignment="1" applyProtection="1">
      <alignment horizontal="center" vertical="center" wrapText="1"/>
      <protection locked="0"/>
    </xf>
    <xf numFmtId="3" fontId="127" fillId="47" borderId="24" xfId="0" applyNumberFormat="1" applyFont="1" applyFill="1" applyBorder="1" applyAlignment="1">
      <alignment horizontal="center" vertical="center" wrapText="1"/>
    </xf>
    <xf numFmtId="3" fontId="127" fillId="47" borderId="3" xfId="0" applyNumberFormat="1" applyFont="1" applyFill="1" applyBorder="1" applyAlignment="1">
      <alignment horizontal="center" vertical="center" wrapText="1"/>
    </xf>
    <xf numFmtId="41" fontId="127" fillId="47" borderId="25" xfId="1" applyFont="1" applyFill="1" applyBorder="1" applyAlignment="1" applyProtection="1">
      <alignment horizontal="center" vertical="center" wrapText="1"/>
    </xf>
    <xf numFmtId="3" fontId="127" fillId="47" borderId="124" xfId="0" applyNumberFormat="1" applyFont="1" applyFill="1" applyBorder="1" applyAlignment="1">
      <alignment horizontal="center" vertical="center" wrapText="1"/>
    </xf>
    <xf numFmtId="41" fontId="127" fillId="47" borderId="3" xfId="0" applyNumberFormat="1" applyFont="1" applyFill="1" applyBorder="1" applyAlignment="1">
      <alignment horizontal="center" vertical="center" wrapText="1"/>
    </xf>
    <xf numFmtId="41" fontId="127" fillId="47" borderId="4" xfId="0" applyNumberFormat="1" applyFont="1" applyFill="1" applyBorder="1" applyAlignment="1">
      <alignment horizontal="center" vertical="center" wrapText="1"/>
    </xf>
    <xf numFmtId="3" fontId="127" fillId="47" borderId="25" xfId="0" applyNumberFormat="1" applyFont="1" applyFill="1" applyBorder="1" applyAlignment="1">
      <alignment horizontal="center" vertical="center" wrapText="1"/>
    </xf>
    <xf numFmtId="3" fontId="9" fillId="47" borderId="5" xfId="0" applyNumberFormat="1" applyFont="1" applyFill="1" applyBorder="1" applyAlignment="1">
      <alignment horizontal="center" vertical="center" wrapText="1"/>
    </xf>
    <xf numFmtId="3" fontId="127" fillId="47" borderId="19" xfId="0" applyNumberFormat="1" applyFont="1" applyFill="1" applyBorder="1" applyAlignment="1">
      <alignment horizontal="center" vertical="center" wrapText="1"/>
    </xf>
    <xf numFmtId="200" fontId="127" fillId="47" borderId="24" xfId="0" applyNumberFormat="1" applyFont="1" applyFill="1" applyBorder="1" applyAlignment="1">
      <alignment horizontal="center" vertical="center" wrapText="1"/>
    </xf>
    <xf numFmtId="200" fontId="127" fillId="47" borderId="3" xfId="0" applyNumberFormat="1" applyFont="1" applyFill="1" applyBorder="1" applyAlignment="1">
      <alignment horizontal="center" vertical="center" wrapText="1"/>
    </xf>
    <xf numFmtId="200" fontId="127" fillId="47" borderId="25" xfId="0" applyNumberFormat="1" applyFont="1" applyFill="1" applyBorder="1" applyAlignment="1">
      <alignment horizontal="center" vertical="center" wrapText="1"/>
    </xf>
    <xf numFmtId="200" fontId="127" fillId="47" borderId="25" xfId="2" applyNumberFormat="1" applyFont="1" applyFill="1" applyBorder="1" applyAlignment="1" applyProtection="1">
      <alignment horizontal="center" vertical="center" wrapText="1"/>
    </xf>
    <xf numFmtId="200" fontId="7" fillId="20" borderId="105" xfId="0" applyNumberFormat="1" applyFont="1" applyFill="1" applyBorder="1" applyAlignment="1" applyProtection="1">
      <alignment horizontal="center" vertical="center" wrapText="1"/>
      <protection locked="0"/>
    </xf>
    <xf numFmtId="3" fontId="127" fillId="20" borderId="28" xfId="0" applyNumberFormat="1" applyFont="1" applyFill="1" applyBorder="1" applyAlignment="1">
      <alignment horizontal="center" vertical="center" wrapText="1"/>
    </xf>
    <xf numFmtId="3" fontId="127" fillId="20" borderId="14" xfId="0" applyNumberFormat="1" applyFont="1" applyFill="1" applyBorder="1" applyAlignment="1">
      <alignment horizontal="center" vertical="center" wrapText="1"/>
    </xf>
    <xf numFmtId="41" fontId="127" fillId="20" borderId="16" xfId="1" applyFont="1" applyFill="1" applyBorder="1" applyAlignment="1" applyProtection="1">
      <alignment horizontal="center" vertical="center" wrapText="1"/>
    </xf>
    <xf numFmtId="3" fontId="127" fillId="20" borderId="15" xfId="0" applyNumberFormat="1" applyFont="1" applyFill="1" applyBorder="1" applyAlignment="1">
      <alignment horizontal="center" vertical="center" wrapText="1"/>
    </xf>
    <xf numFmtId="41" fontId="127" fillId="20" borderId="14" xfId="0" applyNumberFormat="1" applyFont="1" applyFill="1" applyBorder="1" applyAlignment="1">
      <alignment horizontal="center" vertical="center" wrapText="1"/>
    </xf>
    <xf numFmtId="41" fontId="127" fillId="20" borderId="120" xfId="0" applyNumberFormat="1" applyFont="1" applyFill="1" applyBorder="1" applyAlignment="1">
      <alignment horizontal="center" vertical="center" wrapText="1"/>
    </xf>
    <xf numFmtId="3" fontId="127" fillId="20" borderId="16" xfId="0" applyNumberFormat="1" applyFont="1" applyFill="1" applyBorder="1" applyAlignment="1">
      <alignment horizontal="center" vertical="center" wrapText="1"/>
    </xf>
    <xf numFmtId="3" fontId="9" fillId="20" borderId="110" xfId="0" applyNumberFormat="1" applyFont="1" applyFill="1" applyBorder="1" applyAlignment="1">
      <alignment horizontal="center" vertical="center" wrapText="1"/>
    </xf>
    <xf numFmtId="3" fontId="127" fillId="20" borderId="105" xfId="0" applyNumberFormat="1" applyFont="1" applyFill="1" applyBorder="1" applyAlignment="1">
      <alignment horizontal="center" vertical="center" wrapText="1"/>
    </xf>
    <xf numFmtId="200" fontId="127" fillId="20" borderId="28" xfId="0" applyNumberFormat="1" applyFont="1" applyFill="1" applyBorder="1" applyAlignment="1">
      <alignment horizontal="center" vertical="center" wrapText="1"/>
    </xf>
    <xf numFmtId="200" fontId="127" fillId="20" borderId="14" xfId="0" applyNumberFormat="1" applyFont="1" applyFill="1" applyBorder="1" applyAlignment="1">
      <alignment horizontal="center" vertical="center" wrapText="1"/>
    </xf>
    <xf numFmtId="200" fontId="127" fillId="20" borderId="16" xfId="0" applyNumberFormat="1" applyFont="1" applyFill="1" applyBorder="1" applyAlignment="1">
      <alignment horizontal="center" vertical="center" wrapText="1"/>
    </xf>
    <xf numFmtId="200" fontId="127" fillId="20" borderId="31" xfId="2" applyNumberFormat="1" applyFont="1" applyFill="1" applyBorder="1" applyAlignment="1" applyProtection="1">
      <alignment horizontal="center" vertical="center" wrapText="1"/>
    </xf>
    <xf numFmtId="303" fontId="9" fillId="0" borderId="9" xfId="0" applyNumberFormat="1" applyFont="1" applyBorder="1" applyAlignment="1">
      <alignment horizontal="center" vertical="center"/>
    </xf>
    <xf numFmtId="9" fontId="127" fillId="0" borderId="9" xfId="2" applyFont="1" applyBorder="1" applyAlignment="1" applyProtection="1">
      <alignment horizontal="center" vertical="center" wrapText="1"/>
    </xf>
    <xf numFmtId="9" fontId="127" fillId="0" borderId="40" xfId="2" applyFont="1" applyBorder="1" applyAlignment="1" applyProtection="1">
      <alignment horizontal="center" vertical="center" wrapText="1"/>
    </xf>
    <xf numFmtId="9" fontId="127" fillId="0" borderId="14" xfId="2" applyFont="1" applyBorder="1" applyAlignment="1" applyProtection="1">
      <alignment horizontal="center" vertical="center" wrapText="1"/>
    </xf>
    <xf numFmtId="9" fontId="127" fillId="0" borderId="16" xfId="2" applyFont="1" applyBorder="1" applyAlignment="1" applyProtection="1">
      <alignment horizontal="center" vertical="center" wrapText="1"/>
    </xf>
    <xf numFmtId="9" fontId="127" fillId="0" borderId="46" xfId="2" applyFont="1" applyBorder="1" applyAlignment="1" applyProtection="1">
      <alignment horizontal="center" vertical="center" wrapText="1"/>
    </xf>
    <xf numFmtId="9" fontId="127" fillId="0" borderId="37" xfId="2" applyFont="1" applyBorder="1" applyAlignment="1" applyProtection="1">
      <alignment horizontal="center" vertical="center" wrapText="1"/>
    </xf>
    <xf numFmtId="0" fontId="9" fillId="7" borderId="19" xfId="0" applyFont="1" applyFill="1" applyBorder="1" applyAlignment="1">
      <alignment horizontal="center" vertical="center"/>
    </xf>
    <xf numFmtId="0" fontId="9" fillId="7" borderId="104" xfId="0" applyFont="1" applyFill="1" applyBorder="1" applyAlignment="1">
      <alignment horizontal="center" vertical="center"/>
    </xf>
    <xf numFmtId="0" fontId="9" fillId="7" borderId="104" xfId="0" applyFont="1" applyFill="1" applyBorder="1" applyAlignment="1">
      <alignment horizontal="center" vertical="center" wrapText="1"/>
    </xf>
    <xf numFmtId="303" fontId="9" fillId="0" borderId="14" xfId="0" applyNumberFormat="1" applyFont="1" applyBorder="1" applyAlignment="1">
      <alignment horizontal="center" vertical="center"/>
    </xf>
    <xf numFmtId="303" fontId="9" fillId="0" borderId="46" xfId="0" applyNumberFormat="1" applyFont="1" applyBorder="1" applyAlignment="1">
      <alignment horizontal="center" vertical="center"/>
    </xf>
    <xf numFmtId="186" fontId="0" fillId="0" borderId="0" xfId="0" applyNumberFormat="1">
      <alignment vertical="center"/>
    </xf>
    <xf numFmtId="0" fontId="9" fillId="7" borderId="9" xfId="0" applyFont="1" applyFill="1" applyBorder="1" applyAlignment="1">
      <alignment horizontal="center" vertical="center"/>
    </xf>
    <xf numFmtId="0" fontId="9" fillId="7" borderId="14" xfId="0" applyFont="1" applyFill="1" applyBorder="1" applyAlignment="1">
      <alignment horizontal="center" vertical="center"/>
    </xf>
    <xf numFmtId="0" fontId="9" fillId="7" borderId="115" xfId="0" applyFont="1" applyFill="1" applyBorder="1" applyAlignment="1">
      <alignment horizontal="center" vertical="center"/>
    </xf>
    <xf numFmtId="0" fontId="9" fillId="7" borderId="124" xfId="0" applyFont="1" applyFill="1" applyBorder="1" applyAlignment="1">
      <alignment horizontal="center" vertical="center"/>
    </xf>
    <xf numFmtId="0" fontId="9" fillId="7" borderId="3" xfId="0" applyFont="1" applyFill="1" applyBorder="1" applyAlignment="1">
      <alignment horizontal="center" vertical="center"/>
    </xf>
    <xf numFmtId="0" fontId="9" fillId="7" borderId="15" xfId="0" applyFont="1" applyFill="1" applyBorder="1" applyAlignment="1">
      <alignment horizontal="center" vertical="center"/>
    </xf>
    <xf numFmtId="0" fontId="103" fillId="2" borderId="0" xfId="0" applyFont="1" applyFill="1" applyAlignment="1">
      <alignment horizontal="left" vertical="center"/>
    </xf>
    <xf numFmtId="0" fontId="103" fillId="2" borderId="13" xfId="0" applyFont="1" applyFill="1" applyBorder="1" applyAlignment="1">
      <alignment horizontal="left" vertical="center"/>
    </xf>
    <xf numFmtId="186" fontId="9" fillId="0" borderId="46" xfId="0" applyNumberFormat="1" applyFont="1" applyBorder="1" applyAlignment="1">
      <alignment horizontal="center" vertical="center"/>
    </xf>
    <xf numFmtId="185" fontId="9" fillId="26" borderId="19" xfId="0" applyNumberFormat="1" applyFont="1" applyFill="1" applyBorder="1" applyAlignment="1">
      <alignment horizontal="center" vertical="center"/>
    </xf>
    <xf numFmtId="287" fontId="9" fillId="26" borderId="14" xfId="0" applyNumberFormat="1" applyFont="1" applyFill="1" applyBorder="1" applyAlignment="1">
      <alignment horizontal="center" vertical="center"/>
    </xf>
    <xf numFmtId="0" fontId="127" fillId="15" borderId="14" xfId="0" applyFont="1" applyFill="1" applyBorder="1" applyAlignment="1">
      <alignment horizontal="center" vertical="center" wrapText="1"/>
    </xf>
    <xf numFmtId="0" fontId="127" fillId="15" borderId="105" xfId="0" applyFont="1" applyFill="1" applyBorder="1" applyAlignment="1">
      <alignment horizontal="center" vertical="center" wrapText="1"/>
    </xf>
    <xf numFmtId="0" fontId="127" fillId="12" borderId="80" xfId="0" applyFont="1" applyFill="1" applyBorder="1" applyAlignment="1">
      <alignment horizontal="center" vertical="center" wrapText="1"/>
    </xf>
    <xf numFmtId="0" fontId="127" fillId="12" borderId="118" xfId="0" applyFont="1" applyFill="1" applyBorder="1" applyAlignment="1">
      <alignment horizontal="center" vertical="center" wrapText="1"/>
    </xf>
    <xf numFmtId="0" fontId="127" fillId="0" borderId="46" xfId="0" applyFont="1" applyBorder="1" applyAlignment="1">
      <alignment horizontal="center" vertical="center" wrapText="1"/>
    </xf>
    <xf numFmtId="0" fontId="127" fillId="12" borderId="81" xfId="0" applyFont="1" applyFill="1" applyBorder="1" applyAlignment="1">
      <alignment horizontal="center" vertical="center" wrapText="1"/>
    </xf>
    <xf numFmtId="0" fontId="127" fillId="15" borderId="16" xfId="0" applyFont="1" applyFill="1" applyBorder="1" applyAlignment="1">
      <alignment horizontal="center" vertical="center" wrapText="1"/>
    </xf>
    <xf numFmtId="190" fontId="9" fillId="0" borderId="9" xfId="0" applyNumberFormat="1" applyFont="1" applyBorder="1" applyAlignment="1">
      <alignment horizontal="center" vertical="center"/>
    </xf>
    <xf numFmtId="177" fontId="9" fillId="0" borderId="122" xfId="0" applyNumberFormat="1" applyFont="1" applyBorder="1" applyAlignment="1">
      <alignment horizontal="center" vertical="center"/>
    </xf>
    <xf numFmtId="177" fontId="9" fillId="0" borderId="116" xfId="0" applyNumberFormat="1" applyFont="1" applyBorder="1" applyAlignment="1">
      <alignment horizontal="center" vertical="center"/>
    </xf>
    <xf numFmtId="186" fontId="9" fillId="0" borderId="116" xfId="1" applyNumberFormat="1" applyFont="1" applyFill="1" applyBorder="1" applyAlignment="1" applyProtection="1">
      <alignment horizontal="center" vertical="center"/>
    </xf>
    <xf numFmtId="179" fontId="9" fillId="0" borderId="3" xfId="0" applyNumberFormat="1" applyFont="1" applyBorder="1" applyAlignment="1">
      <alignment horizontal="center" vertical="center"/>
    </xf>
    <xf numFmtId="289" fontId="9" fillId="0" borderId="15" xfId="0" applyNumberFormat="1" applyFont="1" applyBorder="1" applyAlignment="1">
      <alignment horizontal="center" vertical="center"/>
    </xf>
    <xf numFmtId="289" fontId="9" fillId="0" borderId="14" xfId="0" applyNumberFormat="1" applyFont="1" applyBorder="1" applyAlignment="1">
      <alignment horizontal="center" vertical="center"/>
    </xf>
    <xf numFmtId="204" fontId="8" fillId="0" borderId="0" xfId="0" applyNumberFormat="1" applyFont="1">
      <alignment vertical="center"/>
    </xf>
    <xf numFmtId="204" fontId="8" fillId="0" borderId="0" xfId="0" applyNumberFormat="1" applyFont="1" applyAlignment="1">
      <alignment horizontal="right" vertical="center"/>
    </xf>
    <xf numFmtId="204" fontId="7" fillId="7" borderId="43" xfId="0" applyNumberFormat="1" applyFont="1" applyFill="1" applyBorder="1" applyAlignment="1">
      <alignment horizontal="center" vertical="center"/>
    </xf>
    <xf numFmtId="204" fontId="7" fillId="7" borderId="27" xfId="0" applyNumberFormat="1" applyFont="1" applyFill="1" applyBorder="1" applyAlignment="1">
      <alignment horizontal="center" vertical="center"/>
    </xf>
    <xf numFmtId="204" fontId="7" fillId="7" borderId="121" xfId="0" applyNumberFormat="1" applyFont="1" applyFill="1" applyBorder="1" applyAlignment="1">
      <alignment horizontal="center" vertical="center"/>
    </xf>
    <xf numFmtId="204" fontId="7" fillId="7" borderId="81" xfId="0" applyNumberFormat="1" applyFont="1" applyFill="1" applyBorder="1" applyAlignment="1">
      <alignment horizontal="center" vertical="center"/>
    </xf>
    <xf numFmtId="204" fontId="7" fillId="0" borderId="0" xfId="0" applyNumberFormat="1" applyFont="1" applyAlignment="1">
      <alignment horizontal="center" vertical="center"/>
    </xf>
    <xf numFmtId="0" fontId="7" fillId="0" borderId="0" xfId="0" applyFont="1">
      <alignment vertical="center"/>
    </xf>
    <xf numFmtId="204" fontId="6" fillId="0" borderId="0" xfId="0" applyNumberFormat="1" applyFont="1" applyAlignment="1">
      <alignment horizontal="center" vertical="center"/>
    </xf>
    <xf numFmtId="204" fontId="7" fillId="7" borderId="26" xfId="0" applyNumberFormat="1" applyFont="1" applyFill="1" applyBorder="1">
      <alignment vertical="center"/>
    </xf>
    <xf numFmtId="204" fontId="7" fillId="7" borderId="80" xfId="0" applyNumberFormat="1" applyFont="1" applyFill="1" applyBorder="1" applyAlignment="1">
      <alignment horizontal="center" vertical="center"/>
    </xf>
    <xf numFmtId="204" fontId="7" fillId="7" borderId="118" xfId="0" applyNumberFormat="1" applyFont="1" applyFill="1" applyBorder="1" applyAlignment="1">
      <alignment horizontal="center" vertical="center"/>
    </xf>
    <xf numFmtId="204" fontId="9" fillId="0" borderId="106" xfId="0" applyNumberFormat="1" applyFont="1" applyBorder="1">
      <alignment vertical="center"/>
    </xf>
    <xf numFmtId="204" fontId="9" fillId="0" borderId="115" xfId="0" applyNumberFormat="1" applyFont="1" applyBorder="1" applyAlignment="1">
      <alignment horizontal="center" vertical="center"/>
    </xf>
    <xf numFmtId="204" fontId="9" fillId="0" borderId="0" xfId="0" applyNumberFormat="1" applyFont="1">
      <alignment vertical="center"/>
    </xf>
    <xf numFmtId="0" fontId="127" fillId="0" borderId="24" xfId="0" applyFont="1" applyBorder="1" applyAlignment="1">
      <alignment horizontal="center" vertical="center" wrapText="1"/>
    </xf>
    <xf numFmtId="9" fontId="97" fillId="0" borderId="3" xfId="0" applyNumberFormat="1" applyFont="1" applyBorder="1" applyAlignment="1">
      <alignment horizontal="center" vertical="center" wrapText="1"/>
    </xf>
    <xf numFmtId="9" fontId="127" fillId="0" borderId="25" xfId="0" applyNumberFormat="1" applyFont="1" applyBorder="1" applyAlignment="1">
      <alignment horizontal="center" vertical="center" wrapText="1"/>
    </xf>
    <xf numFmtId="204" fontId="11" fillId="0" borderId="0" xfId="0" applyNumberFormat="1" applyFont="1">
      <alignment vertical="center"/>
    </xf>
    <xf numFmtId="9" fontId="127" fillId="0" borderId="40" xfId="0" applyNumberFormat="1" applyFont="1" applyBorder="1" applyAlignment="1">
      <alignment horizontal="center" vertical="center" wrapText="1"/>
    </xf>
    <xf numFmtId="0" fontId="127" fillId="0" borderId="42" xfId="0" applyFont="1" applyBorder="1" applyAlignment="1">
      <alignment horizontal="center" vertical="center" wrapText="1"/>
    </xf>
    <xf numFmtId="9" fontId="97" fillId="0" borderId="30" xfId="0" applyNumberFormat="1" applyFont="1" applyBorder="1" applyAlignment="1">
      <alignment horizontal="center" vertical="center" wrapText="1"/>
    </xf>
    <xf numFmtId="9" fontId="127" fillId="0" borderId="16" xfId="0" applyNumberFormat="1" applyFont="1" applyBorder="1" applyAlignment="1">
      <alignment horizontal="center" vertical="center" wrapText="1"/>
    </xf>
    <xf numFmtId="204" fontId="9" fillId="0" borderId="109" xfId="0" applyNumberFormat="1" applyFont="1" applyBorder="1">
      <alignment vertical="center"/>
    </xf>
    <xf numFmtId="204" fontId="9" fillId="0" borderId="15" xfId="0" applyNumberFormat="1" applyFont="1" applyBorder="1" applyAlignment="1">
      <alignment horizontal="center" vertical="center"/>
    </xf>
    <xf numFmtId="308" fontId="9" fillId="0" borderId="36" xfId="1" applyNumberFormat="1" applyFont="1" applyFill="1" applyBorder="1" applyAlignment="1" applyProtection="1">
      <alignment horizontal="center" vertical="center"/>
    </xf>
    <xf numFmtId="309" fontId="9" fillId="0" borderId="46" xfId="0" applyNumberFormat="1" applyFont="1" applyBorder="1">
      <alignment vertical="center"/>
    </xf>
    <xf numFmtId="204" fontId="9" fillId="0" borderId="46" xfId="0" applyNumberFormat="1" applyFont="1" applyBorder="1">
      <alignment vertical="center"/>
    </xf>
    <xf numFmtId="308" fontId="9" fillId="0" borderId="41" xfId="1" applyNumberFormat="1" applyFont="1" applyFill="1" applyBorder="1" applyAlignment="1" applyProtection="1">
      <alignment horizontal="center" vertical="center"/>
    </xf>
    <xf numFmtId="204" fontId="9" fillId="0" borderId="9" xfId="0" applyNumberFormat="1" applyFont="1" applyBorder="1">
      <alignment vertical="center"/>
    </xf>
    <xf numFmtId="204" fontId="11" fillId="0" borderId="9" xfId="0" applyNumberFormat="1" applyFont="1" applyBorder="1">
      <alignment vertical="center"/>
    </xf>
    <xf numFmtId="308" fontId="9" fillId="0" borderId="28" xfId="1" applyNumberFormat="1" applyFont="1" applyFill="1" applyBorder="1" applyAlignment="1" applyProtection="1">
      <alignment horizontal="center" vertical="center"/>
    </xf>
    <xf numFmtId="204" fontId="11" fillId="0" borderId="14" xfId="0" applyNumberFormat="1" applyFont="1" applyBorder="1">
      <alignment vertical="center"/>
    </xf>
    <xf numFmtId="308" fontId="9" fillId="0" borderId="80" xfId="1" applyNumberFormat="1" applyFont="1" applyFill="1" applyBorder="1" applyAlignment="1" applyProtection="1">
      <alignment horizontal="center" vertical="center"/>
    </xf>
    <xf numFmtId="303" fontId="9" fillId="0" borderId="118" xfId="0" applyNumberFormat="1" applyFont="1" applyBorder="1" applyAlignment="1">
      <alignment horizontal="center" vertical="center"/>
    </xf>
    <xf numFmtId="303" fontId="9" fillId="0" borderId="81" xfId="0" applyNumberFormat="1" applyFont="1" applyBorder="1" applyAlignment="1">
      <alignment horizontal="center" vertical="center"/>
    </xf>
    <xf numFmtId="204" fontId="8" fillId="26" borderId="2" xfId="0" applyNumberFormat="1" applyFont="1" applyFill="1" applyBorder="1" applyProtection="1">
      <alignment vertical="center"/>
      <protection locked="0"/>
    </xf>
    <xf numFmtId="9" fontId="96" fillId="26" borderId="2" xfId="2" applyFont="1" applyFill="1" applyBorder="1" applyProtection="1">
      <alignment vertical="center"/>
      <protection locked="0"/>
    </xf>
    <xf numFmtId="9" fontId="96" fillId="26" borderId="18" xfId="2" applyFont="1" applyFill="1" applyBorder="1" applyProtection="1">
      <alignment vertical="center"/>
      <protection locked="0"/>
    </xf>
    <xf numFmtId="204" fontId="8" fillId="29" borderId="2" xfId="0" applyNumberFormat="1" applyFont="1" applyFill="1" applyBorder="1" applyProtection="1">
      <alignment vertical="center"/>
      <protection locked="0"/>
    </xf>
    <xf numFmtId="9" fontId="96" fillId="29" borderId="2" xfId="2" applyFont="1" applyFill="1" applyBorder="1" applyProtection="1">
      <alignment vertical="center"/>
      <protection locked="0"/>
    </xf>
    <xf numFmtId="9" fontId="96" fillId="29" borderId="18" xfId="2" applyFont="1" applyFill="1" applyBorder="1" applyProtection="1">
      <alignment vertical="center"/>
      <protection locked="0"/>
    </xf>
    <xf numFmtId="204" fontId="8" fillId="30" borderId="2" xfId="0" applyNumberFormat="1" applyFont="1" applyFill="1" applyBorder="1" applyProtection="1">
      <alignment vertical="center"/>
      <protection locked="0"/>
    </xf>
    <xf numFmtId="9" fontId="96" fillId="30" borderId="2" xfId="2" applyFont="1" applyFill="1" applyBorder="1" applyProtection="1">
      <alignment vertical="center"/>
      <protection locked="0"/>
    </xf>
    <xf numFmtId="9" fontId="96" fillId="30" borderId="18" xfId="2" applyFont="1" applyFill="1" applyBorder="1" applyProtection="1">
      <alignment vertical="center"/>
      <protection locked="0"/>
    </xf>
    <xf numFmtId="204" fontId="8" fillId="46" borderId="2" xfId="0" applyNumberFormat="1" applyFont="1" applyFill="1" applyBorder="1" applyProtection="1">
      <alignment vertical="center"/>
      <protection locked="0"/>
    </xf>
    <xf numFmtId="9" fontId="96" fillId="46" borderId="2" xfId="2" applyFont="1" applyFill="1" applyBorder="1" applyProtection="1">
      <alignment vertical="center"/>
      <protection locked="0"/>
    </xf>
    <xf numFmtId="9" fontId="96" fillId="46" borderId="18" xfId="2" applyFont="1" applyFill="1" applyBorder="1" applyProtection="1">
      <alignment vertical="center"/>
      <protection locked="0"/>
    </xf>
    <xf numFmtId="204" fontId="8" fillId="45" borderId="2" xfId="0" applyNumberFormat="1" applyFont="1" applyFill="1" applyBorder="1" applyProtection="1">
      <alignment vertical="center"/>
      <protection locked="0"/>
    </xf>
    <xf numFmtId="9" fontId="96" fillId="45" borderId="2" xfId="2" applyFont="1" applyFill="1" applyBorder="1" applyProtection="1">
      <alignment vertical="center"/>
      <protection locked="0"/>
    </xf>
    <xf numFmtId="9" fontId="96" fillId="45" borderId="18" xfId="2" applyFont="1" applyFill="1" applyBorder="1" applyProtection="1">
      <alignment vertical="center"/>
      <protection locked="0"/>
    </xf>
    <xf numFmtId="204" fontId="8" fillId="36" borderId="2" xfId="0" applyNumberFormat="1" applyFont="1" applyFill="1" applyBorder="1" applyProtection="1">
      <alignment vertical="center"/>
      <protection locked="0"/>
    </xf>
    <xf numFmtId="9" fontId="96" fillId="36" borderId="2" xfId="2" applyFont="1" applyFill="1" applyBorder="1" applyProtection="1">
      <alignment vertical="center"/>
      <protection locked="0"/>
    </xf>
    <xf numFmtId="9" fontId="96" fillId="36" borderId="18" xfId="2" applyFont="1" applyFill="1" applyBorder="1" applyProtection="1">
      <alignment vertical="center"/>
      <protection locked="0"/>
    </xf>
    <xf numFmtId="204" fontId="8" fillId="41" borderId="2" xfId="0" applyNumberFormat="1" applyFont="1" applyFill="1" applyBorder="1" applyProtection="1">
      <alignment vertical="center"/>
      <protection locked="0"/>
    </xf>
    <xf numFmtId="9" fontId="96" fillId="41" borderId="2" xfId="2" applyFont="1" applyFill="1" applyBorder="1" applyProtection="1">
      <alignment vertical="center"/>
      <protection locked="0"/>
    </xf>
    <xf numFmtId="9" fontId="96" fillId="41" borderId="18" xfId="2" applyFont="1" applyFill="1" applyBorder="1" applyProtection="1">
      <alignment vertical="center"/>
      <protection locked="0"/>
    </xf>
    <xf numFmtId="204" fontId="8" fillId="0" borderId="1" xfId="0" applyNumberFormat="1" applyFont="1" applyBorder="1">
      <alignment vertical="center"/>
    </xf>
    <xf numFmtId="0" fontId="108" fillId="0" borderId="1" xfId="548" applyFont="1" applyBorder="1" applyAlignment="1">
      <alignment horizontal="center"/>
    </xf>
    <xf numFmtId="204" fontId="8" fillId="0" borderId="7" xfId="0" applyNumberFormat="1" applyFont="1" applyBorder="1">
      <alignment vertical="center"/>
    </xf>
    <xf numFmtId="0" fontId="108" fillId="0" borderId="43" xfId="548" applyFont="1" applyBorder="1" applyAlignment="1">
      <alignment horizontal="center"/>
    </xf>
    <xf numFmtId="204" fontId="8" fillId="0" borderId="12" xfId="0" applyNumberFormat="1" applyFont="1" applyBorder="1">
      <alignment vertical="center"/>
    </xf>
    <xf numFmtId="0" fontId="108" fillId="0" borderId="12" xfId="548" applyFont="1" applyBorder="1" applyAlignment="1">
      <alignment horizontal="center"/>
    </xf>
    <xf numFmtId="0" fontId="96" fillId="0" borderId="27" xfId="0" applyFont="1" applyBorder="1" applyAlignment="1">
      <alignment horizontal="center" vertical="center"/>
    </xf>
    <xf numFmtId="0" fontId="96" fillId="0" borderId="13" xfId="0" applyFont="1" applyBorder="1" applyAlignment="1">
      <alignment horizontal="center" vertical="center"/>
    </xf>
    <xf numFmtId="0" fontId="134" fillId="0" borderId="13" xfId="0" applyFont="1" applyBorder="1" applyAlignment="1">
      <alignment horizontal="center" vertical="center"/>
    </xf>
    <xf numFmtId="0" fontId="108" fillId="0" borderId="7" xfId="548" applyFont="1" applyBorder="1"/>
    <xf numFmtId="0" fontId="130" fillId="0" borderId="0" xfId="0" applyFont="1" applyAlignment="1">
      <alignment horizontal="center" vertical="center"/>
    </xf>
    <xf numFmtId="0" fontId="108" fillId="27" borderId="1" xfId="548" applyFont="1" applyFill="1" applyBorder="1"/>
    <xf numFmtId="204" fontId="8" fillId="26" borderId="2" xfId="0" applyNumberFormat="1" applyFont="1" applyFill="1" applyBorder="1">
      <alignment vertical="center"/>
    </xf>
    <xf numFmtId="9" fontId="8" fillId="26" borderId="17" xfId="2" applyFont="1" applyFill="1" applyBorder="1" applyProtection="1">
      <alignment vertical="center"/>
    </xf>
    <xf numFmtId="0" fontId="108" fillId="27" borderId="12" xfId="548" applyFont="1" applyFill="1" applyBorder="1"/>
    <xf numFmtId="204" fontId="8" fillId="26" borderId="13" xfId="0" applyNumberFormat="1" applyFont="1" applyFill="1" applyBorder="1">
      <alignment vertical="center"/>
    </xf>
    <xf numFmtId="204" fontId="8" fillId="26" borderId="22" xfId="0" applyNumberFormat="1" applyFont="1" applyFill="1" applyBorder="1">
      <alignment vertical="center"/>
    </xf>
    <xf numFmtId="9" fontId="96" fillId="26" borderId="13" xfId="2" applyFont="1" applyFill="1" applyBorder="1" applyProtection="1">
      <alignment vertical="center"/>
    </xf>
    <xf numFmtId="9" fontId="96" fillId="26" borderId="23" xfId="2" applyFont="1" applyFill="1" applyBorder="1" applyProtection="1">
      <alignment vertical="center"/>
    </xf>
    <xf numFmtId="204" fontId="8" fillId="0" borderId="20" xfId="0" applyNumberFormat="1" applyFont="1" applyBorder="1">
      <alignment vertical="center"/>
    </xf>
    <xf numFmtId="9" fontId="96" fillId="0" borderId="0" xfId="2" applyFont="1" applyProtection="1">
      <alignment vertical="center"/>
    </xf>
    <xf numFmtId="0" fontId="108" fillId="18" borderId="1" xfId="548" applyFont="1" applyFill="1" applyBorder="1"/>
    <xf numFmtId="204" fontId="8" fillId="29" borderId="2" xfId="0" applyNumberFormat="1" applyFont="1" applyFill="1" applyBorder="1">
      <alignment vertical="center"/>
    </xf>
    <xf numFmtId="9" fontId="8" fillId="29" borderId="17" xfId="2" applyFont="1" applyFill="1" applyBorder="1" applyProtection="1">
      <alignment vertical="center"/>
    </xf>
    <xf numFmtId="0" fontId="108" fillId="18" borderId="12" xfId="548" applyFont="1" applyFill="1" applyBorder="1"/>
    <xf numFmtId="204" fontId="8" fillId="29" borderId="13" xfId="0" applyNumberFormat="1" applyFont="1" applyFill="1" applyBorder="1">
      <alignment vertical="center"/>
    </xf>
    <xf numFmtId="204" fontId="8" fillId="29" borderId="22" xfId="0" applyNumberFormat="1" applyFont="1" applyFill="1" applyBorder="1">
      <alignment vertical="center"/>
    </xf>
    <xf numFmtId="9" fontId="96" fillId="29" borderId="13" xfId="2" applyFont="1" applyFill="1" applyBorder="1" applyProtection="1">
      <alignment vertical="center"/>
    </xf>
    <xf numFmtId="9" fontId="96" fillId="29" borderId="23" xfId="2" applyFont="1" applyFill="1" applyBorder="1" applyProtection="1">
      <alignment vertical="center"/>
    </xf>
    <xf numFmtId="0" fontId="108" fillId="20" borderId="1" xfId="548" applyFont="1" applyFill="1" applyBorder="1"/>
    <xf numFmtId="204" fontId="8" fillId="30" borderId="2" xfId="0" applyNumberFormat="1" applyFont="1" applyFill="1" applyBorder="1">
      <alignment vertical="center"/>
    </xf>
    <xf numFmtId="9" fontId="8" fillId="30" borderId="17" xfId="2" applyFont="1" applyFill="1" applyBorder="1" applyProtection="1">
      <alignment vertical="center"/>
    </xf>
    <xf numFmtId="0" fontId="108" fillId="20" borderId="12" xfId="548" applyFont="1" applyFill="1" applyBorder="1"/>
    <xf numFmtId="204" fontId="8" fillId="30" borderId="13" xfId="0" applyNumberFormat="1" applyFont="1" applyFill="1" applyBorder="1">
      <alignment vertical="center"/>
    </xf>
    <xf numFmtId="204" fontId="8" fillId="30" borderId="22" xfId="0" applyNumberFormat="1" applyFont="1" applyFill="1" applyBorder="1">
      <alignment vertical="center"/>
    </xf>
    <xf numFmtId="9" fontId="96" fillId="30" borderId="13" xfId="2" applyFont="1" applyFill="1" applyBorder="1" applyProtection="1">
      <alignment vertical="center"/>
    </xf>
    <xf numFmtId="9" fontId="96" fillId="30" borderId="23" xfId="2" applyFont="1" applyFill="1" applyBorder="1" applyProtection="1">
      <alignment vertical="center"/>
    </xf>
    <xf numFmtId="0" fontId="108" fillId="3" borderId="1" xfId="548" applyFont="1" applyFill="1" applyBorder="1"/>
    <xf numFmtId="204" fontId="8" fillId="46" borderId="2" xfId="0" applyNumberFormat="1" applyFont="1" applyFill="1" applyBorder="1">
      <alignment vertical="center"/>
    </xf>
    <xf numFmtId="9" fontId="8" fillId="46" borderId="17" xfId="2" applyFont="1" applyFill="1" applyBorder="1" applyProtection="1">
      <alignment vertical="center"/>
    </xf>
    <xf numFmtId="0" fontId="108" fillId="3" borderId="12" xfId="548" applyFont="1" applyFill="1" applyBorder="1"/>
    <xf numFmtId="204" fontId="8" fillId="46" borderId="13" xfId="0" applyNumberFormat="1" applyFont="1" applyFill="1" applyBorder="1">
      <alignment vertical="center"/>
    </xf>
    <xf numFmtId="204" fontId="8" fillId="46" borderId="22" xfId="0" applyNumberFormat="1" applyFont="1" applyFill="1" applyBorder="1">
      <alignment vertical="center"/>
    </xf>
    <xf numFmtId="9" fontId="96" fillId="46" borderId="13" xfId="2" applyFont="1" applyFill="1" applyBorder="1" applyProtection="1">
      <alignment vertical="center"/>
    </xf>
    <xf numFmtId="9" fontId="96" fillId="46" borderId="23" xfId="2" applyFont="1" applyFill="1" applyBorder="1" applyProtection="1">
      <alignment vertical="center"/>
    </xf>
    <xf numFmtId="0" fontId="108" fillId="43" borderId="1" xfId="548" applyFont="1" applyFill="1" applyBorder="1"/>
    <xf numFmtId="204" fontId="8" fillId="45" borderId="2" xfId="0" applyNumberFormat="1" applyFont="1" applyFill="1" applyBorder="1">
      <alignment vertical="center"/>
    </xf>
    <xf numFmtId="9" fontId="8" fillId="45" borderId="17" xfId="2" applyFont="1" applyFill="1" applyBorder="1" applyProtection="1">
      <alignment vertical="center"/>
    </xf>
    <xf numFmtId="0" fontId="108" fillId="43" borderId="12" xfId="548" applyFont="1" applyFill="1" applyBorder="1"/>
    <xf numFmtId="204" fontId="8" fillId="45" borderId="13" xfId="0" applyNumberFormat="1" applyFont="1" applyFill="1" applyBorder="1">
      <alignment vertical="center"/>
    </xf>
    <xf numFmtId="204" fontId="8" fillId="45" borderId="22" xfId="0" applyNumberFormat="1" applyFont="1" applyFill="1" applyBorder="1">
      <alignment vertical="center"/>
    </xf>
    <xf numFmtId="9" fontId="96" fillId="45" borderId="13" xfId="2" applyFont="1" applyFill="1" applyBorder="1" applyProtection="1">
      <alignment vertical="center"/>
    </xf>
    <xf numFmtId="9" fontId="96" fillId="45" borderId="23" xfId="2" applyFont="1" applyFill="1" applyBorder="1" applyProtection="1">
      <alignment vertical="center"/>
    </xf>
    <xf numFmtId="0" fontId="108" fillId="37" borderId="1" xfId="548" applyFont="1" applyFill="1" applyBorder="1"/>
    <xf numFmtId="204" fontId="8" fillId="36" borderId="2" xfId="0" applyNumberFormat="1" applyFont="1" applyFill="1" applyBorder="1">
      <alignment vertical="center"/>
    </xf>
    <xf numFmtId="9" fontId="8" fillId="36" borderId="17" xfId="2" applyFont="1" applyFill="1" applyBorder="1" applyProtection="1">
      <alignment vertical="center"/>
    </xf>
    <xf numFmtId="0" fontId="108" fillId="37" borderId="12" xfId="548" applyFont="1" applyFill="1" applyBorder="1"/>
    <xf numFmtId="204" fontId="8" fillId="36" borderId="13" xfId="0" applyNumberFormat="1" applyFont="1" applyFill="1" applyBorder="1">
      <alignment vertical="center"/>
    </xf>
    <xf numFmtId="204" fontId="8" fillId="36" borderId="22" xfId="0" applyNumberFormat="1" applyFont="1" applyFill="1" applyBorder="1">
      <alignment vertical="center"/>
    </xf>
    <xf numFmtId="9" fontId="96" fillId="36" borderId="13" xfId="2" applyFont="1" applyFill="1" applyBorder="1" applyProtection="1">
      <alignment vertical="center"/>
    </xf>
    <xf numFmtId="9" fontId="96" fillId="36" borderId="23" xfId="2" applyFont="1" applyFill="1" applyBorder="1" applyProtection="1">
      <alignment vertical="center"/>
    </xf>
    <xf numFmtId="0" fontId="108" fillId="42" borderId="1" xfId="548" applyFont="1" applyFill="1" applyBorder="1"/>
    <xf numFmtId="204" fontId="8" fillId="41" borderId="2" xfId="0" applyNumberFormat="1" applyFont="1" applyFill="1" applyBorder="1">
      <alignment vertical="center"/>
    </xf>
    <xf numFmtId="9" fontId="8" fillId="41" borderId="17" xfId="2" applyFont="1" applyFill="1" applyBorder="1" applyProtection="1">
      <alignment vertical="center"/>
    </xf>
    <xf numFmtId="0" fontId="108" fillId="42" borderId="12" xfId="548" applyFont="1" applyFill="1" applyBorder="1"/>
    <xf numFmtId="204" fontId="8" fillId="41" borderId="13" xfId="0" applyNumberFormat="1" applyFont="1" applyFill="1" applyBorder="1">
      <alignment vertical="center"/>
    </xf>
    <xf numFmtId="204" fontId="8" fillId="41" borderId="22" xfId="0" applyNumberFormat="1" applyFont="1" applyFill="1" applyBorder="1">
      <alignment vertical="center"/>
    </xf>
    <xf numFmtId="9" fontId="96" fillId="41" borderId="13" xfId="2" applyFont="1" applyFill="1" applyBorder="1" applyProtection="1">
      <alignment vertical="center"/>
    </xf>
    <xf numFmtId="9" fontId="96" fillId="41" borderId="23" xfId="2" applyFont="1" applyFill="1" applyBorder="1" applyProtection="1">
      <alignment vertical="center"/>
    </xf>
    <xf numFmtId="204" fontId="96" fillId="0" borderId="0" xfId="0" applyNumberFormat="1" applyFont="1">
      <alignment vertical="center"/>
    </xf>
    <xf numFmtId="204" fontId="96" fillId="0" borderId="1" xfId="0" applyNumberFormat="1" applyFont="1" applyBorder="1">
      <alignment vertical="center"/>
    </xf>
    <xf numFmtId="0" fontId="130" fillId="0" borderId="2" xfId="0" applyFont="1" applyBorder="1">
      <alignment vertical="center"/>
    </xf>
    <xf numFmtId="9" fontId="96" fillId="0" borderId="17" xfId="2" applyFont="1" applyFill="1" applyBorder="1" applyProtection="1">
      <alignment vertical="center"/>
    </xf>
    <xf numFmtId="200" fontId="130" fillId="0" borderId="2" xfId="2" applyNumberFormat="1" applyFont="1" applyFill="1" applyBorder="1" applyProtection="1">
      <alignment vertical="center"/>
    </xf>
    <xf numFmtId="200" fontId="130" fillId="0" borderId="2" xfId="2" applyNumberFormat="1" applyFont="1" applyBorder="1" applyProtection="1">
      <alignment vertical="center"/>
    </xf>
    <xf numFmtId="0" fontId="96" fillId="0" borderId="2" xfId="0" applyFont="1" applyBorder="1">
      <alignment vertical="center"/>
    </xf>
    <xf numFmtId="204" fontId="130" fillId="0" borderId="2" xfId="0" applyNumberFormat="1" applyFont="1" applyBorder="1">
      <alignment vertical="center"/>
    </xf>
    <xf numFmtId="204" fontId="130" fillId="0" borderId="18" xfId="0" applyNumberFormat="1" applyFont="1" applyBorder="1">
      <alignment vertical="center"/>
    </xf>
    <xf numFmtId="204" fontId="96" fillId="4" borderId="7" xfId="0" applyNumberFormat="1" applyFont="1" applyFill="1" applyBorder="1">
      <alignment vertical="center"/>
    </xf>
    <xf numFmtId="0" fontId="130" fillId="4" borderId="0" xfId="0" applyFont="1" applyFill="1">
      <alignment vertical="center"/>
    </xf>
    <xf numFmtId="9" fontId="96" fillId="4" borderId="20" xfId="2" applyFont="1" applyFill="1" applyBorder="1" applyProtection="1">
      <alignment vertical="center"/>
    </xf>
    <xf numFmtId="204" fontId="96" fillId="4" borderId="0" xfId="0" applyNumberFormat="1" applyFont="1" applyFill="1">
      <alignment vertical="center"/>
    </xf>
    <xf numFmtId="9" fontId="130" fillId="4" borderId="0" xfId="0" applyNumberFormat="1" applyFont="1" applyFill="1">
      <alignment vertical="center"/>
    </xf>
    <xf numFmtId="0" fontId="96" fillId="4" borderId="0" xfId="0" applyFont="1" applyFill="1">
      <alignment vertical="center"/>
    </xf>
    <xf numFmtId="204" fontId="130" fillId="4" borderId="0" xfId="0" applyNumberFormat="1" applyFont="1" applyFill="1">
      <alignment vertical="center"/>
    </xf>
    <xf numFmtId="204" fontId="130" fillId="4" borderId="44" xfId="0" applyNumberFormat="1" applyFont="1" applyFill="1" applyBorder="1">
      <alignment vertical="center"/>
    </xf>
    <xf numFmtId="204" fontId="96" fillId="0" borderId="7" xfId="0" applyNumberFormat="1" applyFont="1" applyBorder="1">
      <alignment vertical="center"/>
    </xf>
    <xf numFmtId="0" fontId="130" fillId="0" borderId="0" xfId="0" applyFont="1">
      <alignment vertical="center"/>
    </xf>
    <xf numFmtId="9" fontId="96" fillId="0" borderId="20" xfId="2" applyFont="1" applyFill="1" applyBorder="1" applyProtection="1">
      <alignment vertical="center"/>
    </xf>
    <xf numFmtId="9" fontId="130" fillId="0" borderId="0" xfId="2" applyFont="1" applyFill="1" applyBorder="1" applyProtection="1">
      <alignment vertical="center"/>
    </xf>
    <xf numFmtId="9" fontId="130" fillId="0" borderId="0" xfId="2" applyFont="1" applyBorder="1" applyProtection="1">
      <alignment vertical="center"/>
    </xf>
    <xf numFmtId="9" fontId="130" fillId="0" borderId="44" xfId="2" applyFont="1" applyBorder="1" applyProtection="1">
      <alignment vertical="center"/>
    </xf>
    <xf numFmtId="204" fontId="96" fillId="40" borderId="7" xfId="0" applyNumberFormat="1" applyFont="1" applyFill="1" applyBorder="1">
      <alignment vertical="center"/>
    </xf>
    <xf numFmtId="0" fontId="130" fillId="40" borderId="0" xfId="0" applyFont="1" applyFill="1">
      <alignment vertical="center"/>
    </xf>
    <xf numFmtId="204" fontId="96" fillId="40" borderId="20" xfId="0" applyNumberFormat="1" applyFont="1" applyFill="1" applyBorder="1">
      <alignment vertical="center"/>
    </xf>
    <xf numFmtId="204" fontId="96" fillId="40" borderId="0" xfId="0" applyNumberFormat="1" applyFont="1" applyFill="1">
      <alignment vertical="center"/>
    </xf>
    <xf numFmtId="0" fontId="96" fillId="40" borderId="0" xfId="0" applyFont="1" applyFill="1">
      <alignment vertical="center"/>
    </xf>
    <xf numFmtId="204" fontId="130" fillId="40" borderId="0" xfId="0" applyNumberFormat="1" applyFont="1" applyFill="1">
      <alignment vertical="center"/>
    </xf>
    <xf numFmtId="204" fontId="130" fillId="40" borderId="44" xfId="0" applyNumberFormat="1" applyFont="1" applyFill="1" applyBorder="1">
      <alignment vertical="center"/>
    </xf>
    <xf numFmtId="0" fontId="96" fillId="0" borderId="0" xfId="0" applyFont="1">
      <alignment vertical="center"/>
    </xf>
    <xf numFmtId="200" fontId="130" fillId="0" borderId="0" xfId="2" applyNumberFormat="1" applyFont="1" applyBorder="1" applyProtection="1">
      <alignment vertical="center"/>
    </xf>
    <xf numFmtId="200" fontId="130" fillId="0" borderId="44" xfId="2" applyNumberFormat="1" applyFont="1" applyBorder="1" applyProtection="1">
      <alignment vertical="center"/>
    </xf>
    <xf numFmtId="9" fontId="130" fillId="4" borderId="20" xfId="2" applyFont="1" applyFill="1" applyBorder="1" applyProtection="1">
      <alignment vertical="center"/>
    </xf>
    <xf numFmtId="9" fontId="130" fillId="4" borderId="0" xfId="2" applyFont="1" applyFill="1" applyBorder="1" applyProtection="1">
      <alignment vertical="center"/>
    </xf>
    <xf numFmtId="204" fontId="130" fillId="0" borderId="7" xfId="0" applyNumberFormat="1" applyFont="1" applyBorder="1">
      <alignment vertical="center"/>
    </xf>
    <xf numFmtId="204" fontId="130" fillId="0" borderId="0" xfId="0" applyNumberFormat="1" applyFont="1">
      <alignment vertical="center"/>
    </xf>
    <xf numFmtId="9" fontId="130" fillId="0" borderId="20" xfId="2" applyFont="1" applyBorder="1" applyProtection="1">
      <alignment vertical="center"/>
    </xf>
    <xf numFmtId="9" fontId="130" fillId="4" borderId="44" xfId="2" applyFont="1" applyFill="1" applyBorder="1" applyProtection="1">
      <alignment vertical="center"/>
    </xf>
    <xf numFmtId="204" fontId="130" fillId="40" borderId="7" xfId="0" applyNumberFormat="1" applyFont="1" applyFill="1" applyBorder="1">
      <alignment vertical="center"/>
    </xf>
    <xf numFmtId="9" fontId="130" fillId="40" borderId="20" xfId="2" applyFont="1" applyFill="1" applyBorder="1" applyProtection="1">
      <alignment vertical="center"/>
    </xf>
    <xf numFmtId="9" fontId="130" fillId="40" borderId="0" xfId="2" applyFont="1" applyFill="1" applyBorder="1" applyProtection="1">
      <alignment vertical="center"/>
    </xf>
    <xf numFmtId="9" fontId="130" fillId="40" borderId="44" xfId="2" applyFont="1" applyFill="1" applyBorder="1" applyProtection="1">
      <alignment vertical="center"/>
    </xf>
    <xf numFmtId="9" fontId="130" fillId="0" borderId="20" xfId="2" applyFont="1" applyFill="1" applyBorder="1" applyProtection="1">
      <alignment vertical="center"/>
    </xf>
    <xf numFmtId="9" fontId="130" fillId="0" borderId="44" xfId="2" applyFont="1" applyFill="1" applyBorder="1" applyProtection="1">
      <alignment vertical="center"/>
    </xf>
    <xf numFmtId="204" fontId="130" fillId="40" borderId="20" xfId="0" applyNumberFormat="1" applyFont="1" applyFill="1" applyBorder="1">
      <alignment vertical="center"/>
    </xf>
    <xf numFmtId="204" fontId="130" fillId="0" borderId="20" xfId="0" applyNumberFormat="1" applyFont="1" applyBorder="1">
      <alignment vertical="center"/>
    </xf>
    <xf numFmtId="200" fontId="130" fillId="4" borderId="0" xfId="2" applyNumberFormat="1" applyFont="1" applyFill="1" applyBorder="1" applyProtection="1">
      <alignment vertical="center"/>
    </xf>
    <xf numFmtId="200" fontId="130" fillId="0" borderId="0" xfId="2" applyNumberFormat="1" applyFont="1" applyFill="1" applyBorder="1" applyProtection="1">
      <alignment vertical="center"/>
    </xf>
    <xf numFmtId="204" fontId="130" fillId="4" borderId="20" xfId="0" applyNumberFormat="1" applyFont="1" applyFill="1" applyBorder="1">
      <alignment vertical="center"/>
    </xf>
    <xf numFmtId="0" fontId="130" fillId="4" borderId="0" xfId="1" applyNumberFormat="1" applyFont="1" applyFill="1" applyBorder="1" applyProtection="1">
      <alignment vertical="center"/>
    </xf>
    <xf numFmtId="0" fontId="130" fillId="4" borderId="44" xfId="1" applyNumberFormat="1" applyFont="1" applyFill="1" applyBorder="1" applyProtection="1">
      <alignment vertical="center"/>
    </xf>
    <xf numFmtId="0" fontId="130" fillId="0" borderId="0" xfId="1" applyNumberFormat="1" applyFont="1" applyFill="1" applyBorder="1" applyProtection="1">
      <alignment vertical="center"/>
    </xf>
    <xf numFmtId="41" fontId="130" fillId="0" borderId="0" xfId="1" applyFont="1" applyBorder="1" applyProtection="1">
      <alignment vertical="center"/>
    </xf>
    <xf numFmtId="41" fontId="130" fillId="0" borderId="0" xfId="1" applyFont="1" applyFill="1" applyBorder="1" applyProtection="1">
      <alignment vertical="center"/>
    </xf>
    <xf numFmtId="41" fontId="130" fillId="0" borderId="44" xfId="1" applyFont="1" applyFill="1" applyBorder="1" applyProtection="1">
      <alignment vertical="center"/>
    </xf>
    <xf numFmtId="204" fontId="96" fillId="40" borderId="12" xfId="0" applyNumberFormat="1" applyFont="1" applyFill="1" applyBorder="1">
      <alignment vertical="center"/>
    </xf>
    <xf numFmtId="0" fontId="130" fillId="40" borderId="13" xfId="0" applyFont="1" applyFill="1" applyBorder="1">
      <alignment vertical="center"/>
    </xf>
    <xf numFmtId="204" fontId="130" fillId="40" borderId="22" xfId="0" applyNumberFormat="1" applyFont="1" applyFill="1" applyBorder="1">
      <alignment vertical="center"/>
    </xf>
    <xf numFmtId="204" fontId="130" fillId="40" borderId="13" xfId="0" applyNumberFormat="1" applyFont="1" applyFill="1" applyBorder="1">
      <alignment vertical="center"/>
    </xf>
    <xf numFmtId="9" fontId="130" fillId="40" borderId="13" xfId="2" applyFont="1" applyFill="1" applyBorder="1" applyProtection="1">
      <alignment vertical="center"/>
    </xf>
    <xf numFmtId="9" fontId="130" fillId="40" borderId="23" xfId="2" applyFont="1" applyFill="1" applyBorder="1" applyProtection="1">
      <alignment vertical="center"/>
    </xf>
    <xf numFmtId="9" fontId="130" fillId="0" borderId="0" xfId="2" applyFont="1" applyFill="1" applyProtection="1">
      <alignment vertical="center"/>
    </xf>
    <xf numFmtId="204" fontId="131" fillId="0" borderId="0" xfId="0" applyNumberFormat="1" applyFont="1">
      <alignment vertical="center"/>
    </xf>
    <xf numFmtId="41" fontId="130" fillId="0" borderId="0" xfId="1" applyFont="1" applyFill="1" applyProtection="1">
      <alignment vertical="center"/>
    </xf>
    <xf numFmtId="308" fontId="130" fillId="0" borderId="0" xfId="0" applyNumberFormat="1" applyFont="1">
      <alignment vertical="center"/>
    </xf>
    <xf numFmtId="200" fontId="130" fillId="0" borderId="0" xfId="2" applyNumberFormat="1" applyFont="1" applyProtection="1">
      <alignment vertical="center"/>
    </xf>
    <xf numFmtId="200" fontId="132" fillId="0" borderId="0" xfId="548" applyNumberFormat="1" applyFont="1"/>
    <xf numFmtId="9" fontId="130" fillId="0" borderId="0" xfId="2" applyFont="1" applyProtection="1">
      <alignment vertical="center"/>
    </xf>
    <xf numFmtId="0" fontId="2" fillId="0" borderId="7" xfId="3" applyBorder="1">
      <alignment vertical="center"/>
    </xf>
    <xf numFmtId="178" fontId="9" fillId="0" borderId="0" xfId="0" applyNumberFormat="1" applyFont="1">
      <alignment vertical="center"/>
    </xf>
    <xf numFmtId="181" fontId="9" fillId="0" borderId="0" xfId="0" applyNumberFormat="1" applyFont="1" applyAlignment="1">
      <alignment horizontal="center" vertical="center"/>
    </xf>
    <xf numFmtId="179" fontId="2" fillId="0" borderId="9" xfId="3" applyNumberFormat="1" applyBorder="1" applyAlignment="1">
      <alignment horizontal="center" vertical="center"/>
    </xf>
    <xf numFmtId="182" fontId="2" fillId="0" borderId="7" xfId="3" applyNumberFormat="1" applyBorder="1" applyAlignment="1">
      <alignment vertical="center" wrapText="1"/>
    </xf>
    <xf numFmtId="182" fontId="2" fillId="0" borderId="0" xfId="3" applyNumberFormat="1">
      <alignment vertical="center"/>
    </xf>
    <xf numFmtId="190" fontId="9" fillId="0" borderId="0" xfId="0" applyNumberFormat="1" applyFont="1" applyAlignment="1">
      <alignment horizontal="center" vertical="center"/>
    </xf>
    <xf numFmtId="192" fontId="9" fillId="0" borderId="0" xfId="0" applyNumberFormat="1" applyFont="1" applyAlignment="1">
      <alignment horizontal="center" vertical="center"/>
    </xf>
    <xf numFmtId="184" fontId="2" fillId="0" borderId="7" xfId="3" applyNumberFormat="1" applyBorder="1">
      <alignment vertical="center"/>
    </xf>
    <xf numFmtId="184" fontId="2" fillId="0" borderId="0" xfId="3" applyNumberFormat="1">
      <alignment vertical="center"/>
    </xf>
    <xf numFmtId="0" fontId="2" fillId="0" borderId="0" xfId="3" applyAlignment="1">
      <alignment horizontal="center" vertical="center"/>
    </xf>
    <xf numFmtId="183" fontId="9" fillId="0" borderId="0" xfId="2" applyNumberFormat="1" applyFont="1" applyFill="1" applyBorder="1" applyAlignment="1" applyProtection="1">
      <alignment horizontal="center" vertical="center"/>
    </xf>
    <xf numFmtId="184" fontId="2" fillId="0" borderId="0" xfId="3" applyNumberFormat="1" applyAlignment="1">
      <alignment horizontal="center" vertical="center"/>
    </xf>
    <xf numFmtId="181" fontId="9" fillId="0" borderId="25" xfId="0" applyNumberFormat="1" applyFont="1" applyBorder="1" applyAlignment="1">
      <alignment horizontal="center" vertical="center"/>
    </xf>
    <xf numFmtId="190" fontId="23" fillId="0" borderId="0" xfId="0" applyNumberFormat="1" applyFont="1" applyAlignment="1">
      <alignment horizontal="center" vertical="center"/>
    </xf>
    <xf numFmtId="192" fontId="23" fillId="0" borderId="0" xfId="0" applyNumberFormat="1" applyFont="1" applyAlignment="1">
      <alignment horizontal="center" vertical="center"/>
    </xf>
    <xf numFmtId="181" fontId="9" fillId="0" borderId="40" xfId="0" applyNumberFormat="1" applyFont="1" applyBorder="1" applyAlignment="1">
      <alignment horizontal="center" vertical="center"/>
    </xf>
    <xf numFmtId="190" fontId="9" fillId="0" borderId="115" xfId="0" applyNumberFormat="1" applyFont="1" applyBorder="1" applyAlignment="1">
      <alignment horizontal="center" vertical="center"/>
    </xf>
    <xf numFmtId="192" fontId="9" fillId="0" borderId="9" xfId="0" applyNumberFormat="1" applyFont="1" applyBorder="1" applyAlignment="1">
      <alignment horizontal="center" vertical="center"/>
    </xf>
    <xf numFmtId="0" fontId="2" fillId="0" borderId="13" xfId="3" applyBorder="1" applyAlignment="1">
      <alignment horizontal="center" vertical="center"/>
    </xf>
    <xf numFmtId="41" fontId="2" fillId="0" borderId="13" xfId="1" applyFont="1" applyFill="1" applyBorder="1" applyAlignment="1" applyProtection="1">
      <alignment horizontal="center" vertical="center"/>
    </xf>
    <xf numFmtId="298" fontId="9" fillId="0" borderId="13" xfId="2" applyNumberFormat="1" applyFont="1" applyFill="1" applyBorder="1" applyAlignment="1" applyProtection="1">
      <alignment horizontal="center" vertical="center"/>
    </xf>
    <xf numFmtId="41" fontId="9" fillId="0" borderId="0" xfId="1" applyFont="1" applyFill="1" applyBorder="1" applyAlignment="1" applyProtection="1">
      <alignment horizontal="center" vertical="center"/>
    </xf>
    <xf numFmtId="0" fontId="7" fillId="7" borderId="79" xfId="0" applyFont="1" applyFill="1" applyBorder="1" applyAlignment="1">
      <alignment horizontal="center" vertical="center"/>
    </xf>
    <xf numFmtId="0" fontId="7" fillId="0" borderId="44" xfId="0" applyFont="1" applyBorder="1" applyAlignment="1">
      <alignment horizontal="center" vertical="center"/>
    </xf>
    <xf numFmtId="41" fontId="102" fillId="7" borderId="19" xfId="525" applyFont="1" applyFill="1" applyBorder="1" applyAlignment="1" applyProtection="1">
      <alignment horizontal="center" vertical="center"/>
    </xf>
    <xf numFmtId="41" fontId="102" fillId="7" borderId="124" xfId="525" applyFont="1" applyFill="1" applyBorder="1" applyAlignment="1" applyProtection="1">
      <alignment horizontal="center" vertical="center"/>
    </xf>
    <xf numFmtId="41" fontId="102" fillId="7" borderId="4" xfId="525" applyFont="1" applyFill="1" applyBorder="1" applyAlignment="1" applyProtection="1">
      <alignment horizontal="center" vertical="center"/>
    </xf>
    <xf numFmtId="41" fontId="102" fillId="7" borderId="124" xfId="1" applyFont="1" applyFill="1" applyBorder="1" applyAlignment="1" applyProtection="1">
      <alignment horizontal="center" vertical="center"/>
    </xf>
    <xf numFmtId="41" fontId="102" fillId="7" borderId="25" xfId="1" applyFont="1" applyFill="1" applyBorder="1" applyAlignment="1" applyProtection="1">
      <alignment horizontal="center" vertical="center"/>
    </xf>
    <xf numFmtId="0" fontId="0" fillId="0" borderId="76" xfId="0" applyBorder="1" applyAlignment="1">
      <alignment horizontal="center" vertical="center"/>
    </xf>
    <xf numFmtId="0" fontId="0" fillId="0" borderId="65" xfId="0" applyBorder="1" applyAlignment="1">
      <alignment horizontal="right" vertical="center"/>
    </xf>
    <xf numFmtId="0" fontId="0" fillId="0" borderId="44" xfId="0" applyBorder="1" applyAlignment="1">
      <alignment horizontal="center" vertical="center"/>
    </xf>
    <xf numFmtId="0" fontId="0" fillId="0" borderId="68" xfId="0" applyBorder="1" applyAlignment="1">
      <alignment horizontal="center" vertical="center"/>
    </xf>
    <xf numFmtId="0" fontId="0" fillId="0" borderId="51" xfId="0" applyBorder="1" applyAlignment="1">
      <alignment horizontal="right" vertical="center"/>
    </xf>
    <xf numFmtId="200" fontId="0" fillId="0" borderId="51" xfId="0" applyNumberFormat="1" applyBorder="1" applyAlignment="1">
      <alignment horizontal="right" vertical="center"/>
    </xf>
    <xf numFmtId="0" fontId="128" fillId="14" borderId="66" xfId="0" applyFont="1" applyFill="1" applyBorder="1" applyAlignment="1">
      <alignment horizontal="center" vertical="center" wrapText="1"/>
    </xf>
    <xf numFmtId="0" fontId="19" fillId="0" borderId="44" xfId="0" applyFont="1" applyBorder="1" applyAlignment="1">
      <alignment horizontal="center" vertical="center" wrapText="1"/>
    </xf>
    <xf numFmtId="0" fontId="128" fillId="14" borderId="71" xfId="0" applyFont="1" applyFill="1" applyBorder="1" applyAlignment="1">
      <alignment horizontal="center" vertical="center" wrapText="1"/>
    </xf>
    <xf numFmtId="0" fontId="0" fillId="30" borderId="68" xfId="0" applyFill="1" applyBorder="1" applyAlignment="1">
      <alignment horizontal="center" vertical="center"/>
    </xf>
    <xf numFmtId="0" fontId="0" fillId="30" borderId="51" xfId="0" applyFill="1" applyBorder="1" applyAlignment="1">
      <alignment horizontal="right" vertical="center"/>
    </xf>
    <xf numFmtId="0" fontId="19" fillId="0" borderId="44" xfId="0" applyFont="1" applyBorder="1" applyAlignment="1">
      <alignment vertical="center" wrapText="1"/>
    </xf>
    <xf numFmtId="176" fontId="0" fillId="2" borderId="51" xfId="0" applyNumberFormat="1" applyFill="1" applyBorder="1" applyAlignment="1">
      <alignment horizontal="right" vertical="center"/>
    </xf>
    <xf numFmtId="194" fontId="1" fillId="0" borderId="51" xfId="1" applyNumberFormat="1" applyFont="1" applyFill="1" applyBorder="1" applyAlignment="1" applyProtection="1">
      <alignment horizontal="right" vertical="center"/>
    </xf>
    <xf numFmtId="9" fontId="0" fillId="0" borderId="51" xfId="0" applyNumberFormat="1" applyBorder="1" applyAlignment="1">
      <alignment horizontal="right" vertical="center"/>
    </xf>
    <xf numFmtId="0" fontId="0" fillId="2" borderId="51" xfId="0" applyFill="1" applyBorder="1" applyAlignment="1">
      <alignment horizontal="right" vertical="center"/>
    </xf>
    <xf numFmtId="0" fontId="0" fillId="0" borderId="51" xfId="0" applyBorder="1" applyAlignment="1">
      <alignment horizontal="center" vertical="center"/>
    </xf>
    <xf numFmtId="0" fontId="9" fillId="5" borderId="124" xfId="0" applyFont="1" applyFill="1" applyBorder="1" applyAlignment="1">
      <alignment horizontal="center" vertical="center"/>
    </xf>
    <xf numFmtId="0" fontId="9" fillId="5" borderId="25" xfId="0" applyFont="1" applyFill="1" applyBorder="1" applyAlignment="1">
      <alignment horizontal="center" vertical="center"/>
    </xf>
    <xf numFmtId="41" fontId="1" fillId="0" borderId="51" xfId="1" applyFont="1" applyBorder="1" applyAlignment="1" applyProtection="1">
      <alignment horizontal="right" vertical="center"/>
    </xf>
    <xf numFmtId="10" fontId="0" fillId="0" borderId="51" xfId="0" applyNumberFormat="1" applyBorder="1" applyAlignment="1">
      <alignment horizontal="right" vertical="center"/>
    </xf>
    <xf numFmtId="41" fontId="0" fillId="0" borderId="44" xfId="0" applyNumberFormat="1" applyBorder="1" applyAlignment="1">
      <alignment horizontal="right" vertical="center"/>
    </xf>
    <xf numFmtId="0" fontId="0" fillId="0" borderId="0" xfId="0" applyAlignment="1">
      <alignment horizontal="center" vertical="center" shrinkToFit="1"/>
    </xf>
    <xf numFmtId="41" fontId="0" fillId="0" borderId="44" xfId="0" applyNumberFormat="1" applyBorder="1">
      <alignment vertical="center"/>
    </xf>
    <xf numFmtId="41" fontId="9" fillId="0" borderId="44" xfId="0" applyNumberFormat="1" applyFont="1" applyBorder="1" applyAlignment="1">
      <alignment horizontal="right" vertical="center"/>
    </xf>
    <xf numFmtId="41" fontId="7" fillId="0" borderId="44" xfId="0" applyNumberFormat="1" applyFont="1" applyBorder="1" applyAlignment="1">
      <alignment horizontal="right" vertical="center"/>
    </xf>
    <xf numFmtId="177" fontId="0" fillId="0" borderId="51" xfId="0" applyNumberFormat="1" applyBorder="1" applyAlignment="1">
      <alignment horizontal="right" vertical="center"/>
    </xf>
    <xf numFmtId="10" fontId="0" fillId="0" borderId="44" xfId="0" applyNumberFormat="1" applyBorder="1" applyAlignment="1">
      <alignment horizontal="center" vertical="center"/>
    </xf>
    <xf numFmtId="10" fontId="9" fillId="0" borderId="13" xfId="0" applyNumberFormat="1" applyFont="1" applyBorder="1" applyAlignment="1">
      <alignment horizontal="right" vertical="center"/>
    </xf>
    <xf numFmtId="0" fontId="22" fillId="0" borderId="44" xfId="0" applyFont="1" applyBorder="1" applyAlignment="1">
      <alignment horizontal="left" vertical="center"/>
    </xf>
    <xf numFmtId="0" fontId="17" fillId="0" borderId="44" xfId="0" applyFont="1" applyBorder="1" applyAlignment="1">
      <alignment horizontal="center" vertical="center" wrapText="1"/>
    </xf>
    <xf numFmtId="10" fontId="13" fillId="0" borderId="44" xfId="0" applyNumberFormat="1" applyFont="1" applyBorder="1" applyAlignment="1">
      <alignment horizontal="center" vertical="center" wrapText="1"/>
    </xf>
    <xf numFmtId="41" fontId="9" fillId="0" borderId="0" xfId="0" applyNumberFormat="1" applyFont="1">
      <alignment vertical="center"/>
    </xf>
    <xf numFmtId="0" fontId="2" fillId="0" borderId="0" xfId="0" applyFont="1" applyAlignment="1">
      <alignment horizontal="center" vertical="center"/>
    </xf>
    <xf numFmtId="0" fontId="2" fillId="0" borderId="44" xfId="0" applyFont="1" applyBorder="1" applyAlignment="1">
      <alignment horizontal="center" vertical="center"/>
    </xf>
    <xf numFmtId="0" fontId="127" fillId="5" borderId="3" xfId="0" applyFont="1" applyFill="1" applyBorder="1" applyAlignment="1">
      <alignment horizontal="center" vertical="center" wrapText="1"/>
    </xf>
    <xf numFmtId="0" fontId="127" fillId="5" borderId="14" xfId="0" applyFont="1" applyFill="1" applyBorder="1" applyAlignment="1">
      <alignment horizontal="center" vertical="center" wrapText="1"/>
    </xf>
    <xf numFmtId="3" fontId="127" fillId="0" borderId="30" xfId="0" applyNumberFormat="1" applyFont="1" applyBorder="1" applyAlignment="1">
      <alignment horizontal="center" vertical="center" wrapText="1"/>
    </xf>
    <xf numFmtId="0" fontId="9" fillId="0" borderId="31" xfId="0" applyFont="1" applyBorder="1" applyAlignment="1">
      <alignment horizontal="center" vertical="center"/>
    </xf>
    <xf numFmtId="0" fontId="9" fillId="5" borderId="80" xfId="0" applyFont="1" applyFill="1" applyBorder="1" applyAlignment="1">
      <alignment horizontal="center" vertical="center"/>
    </xf>
    <xf numFmtId="0" fontId="9" fillId="5" borderId="118" xfId="0" applyFont="1" applyFill="1" applyBorder="1" applyAlignment="1">
      <alignment horizontal="center" vertical="center"/>
    </xf>
    <xf numFmtId="0" fontId="9" fillId="5" borderId="81" xfId="0" applyFont="1" applyFill="1" applyBorder="1" applyAlignment="1">
      <alignment horizontal="center" vertical="center"/>
    </xf>
    <xf numFmtId="10" fontId="12" fillId="0" borderId="44" xfId="0" applyNumberFormat="1" applyFont="1" applyBorder="1" applyAlignment="1">
      <alignment horizontal="center" vertical="center" wrapText="1"/>
    </xf>
    <xf numFmtId="182" fontId="0" fillId="0" borderId="51" xfId="0" applyNumberFormat="1" applyBorder="1" applyAlignment="1">
      <alignment horizontal="right" vertical="center"/>
    </xf>
    <xf numFmtId="10" fontId="16" fillId="0" borderId="44" xfId="0" applyNumberFormat="1" applyFont="1" applyBorder="1">
      <alignment vertical="center"/>
    </xf>
    <xf numFmtId="313" fontId="0" fillId="0" borderId="51" xfId="0" applyNumberFormat="1" applyBorder="1" applyAlignment="1">
      <alignment horizontal="right" vertical="center"/>
    </xf>
    <xf numFmtId="43" fontId="0" fillId="0" borderId="0" xfId="0" applyNumberFormat="1" applyAlignment="1">
      <alignment horizontal="center" vertical="center"/>
    </xf>
    <xf numFmtId="41" fontId="0" fillId="0" borderId="51" xfId="1" applyFont="1" applyFill="1" applyBorder="1" applyAlignment="1" applyProtection="1">
      <alignment horizontal="right" vertical="center"/>
    </xf>
    <xf numFmtId="41" fontId="0" fillId="0" borderId="51" xfId="1" applyFont="1" applyBorder="1" applyAlignment="1" applyProtection="1">
      <alignment horizontal="right" vertical="center"/>
    </xf>
    <xf numFmtId="305" fontId="0" fillId="0" borderId="0" xfId="0" applyNumberFormat="1" applyAlignment="1">
      <alignment horizontal="center" vertical="center"/>
    </xf>
    <xf numFmtId="41" fontId="0" fillId="0" borderId="0" xfId="0" applyNumberFormat="1" applyAlignment="1">
      <alignment horizontal="center" vertical="center"/>
    </xf>
    <xf numFmtId="41" fontId="0" fillId="0" borderId="0" xfId="1" applyFont="1" applyAlignment="1" applyProtection="1">
      <alignment horizontal="center" vertical="center"/>
    </xf>
    <xf numFmtId="10" fontId="0" fillId="0" borderId="0" xfId="0" applyNumberFormat="1">
      <alignment vertical="center"/>
    </xf>
    <xf numFmtId="201" fontId="0" fillId="0" borderId="51" xfId="1" applyNumberFormat="1" applyFont="1" applyFill="1" applyBorder="1" applyAlignment="1" applyProtection="1">
      <alignment horizontal="right" vertical="center"/>
    </xf>
    <xf numFmtId="0" fontId="0" fillId="30" borderId="130" xfId="0" applyFill="1" applyBorder="1" applyAlignment="1">
      <alignment horizontal="right" vertical="center"/>
    </xf>
    <xf numFmtId="199" fontId="0" fillId="0" borderId="0" xfId="0" applyNumberFormat="1" applyAlignment="1">
      <alignment horizontal="center" vertical="center"/>
    </xf>
    <xf numFmtId="198" fontId="0" fillId="0" borderId="0" xfId="0" applyNumberFormat="1" applyAlignment="1">
      <alignment horizontal="center" vertical="center"/>
    </xf>
    <xf numFmtId="0" fontId="0" fillId="35" borderId="51" xfId="0" applyFill="1" applyBorder="1" applyAlignment="1">
      <alignment horizontal="right" vertical="center"/>
    </xf>
    <xf numFmtId="0" fontId="0" fillId="0" borderId="70" xfId="0" applyBorder="1">
      <alignment vertical="center"/>
    </xf>
    <xf numFmtId="200" fontId="0" fillId="0" borderId="0" xfId="0" applyNumberFormat="1" applyAlignment="1">
      <alignment horizontal="center" vertical="center"/>
    </xf>
    <xf numFmtId="3" fontId="0" fillId="0" borderId="0" xfId="0" applyNumberFormat="1" applyAlignment="1">
      <alignment horizontal="center" vertical="center"/>
    </xf>
    <xf numFmtId="186" fontId="0" fillId="0" borderId="0" xfId="0" applyNumberFormat="1" applyAlignment="1">
      <alignment horizontal="center" vertical="center"/>
    </xf>
    <xf numFmtId="10" fontId="0" fillId="0" borderId="0" xfId="2" applyNumberFormat="1" applyFont="1" applyProtection="1">
      <alignment vertical="center"/>
    </xf>
    <xf numFmtId="299" fontId="0" fillId="0" borderId="0" xfId="0" applyNumberFormat="1">
      <alignment vertical="center"/>
    </xf>
    <xf numFmtId="41" fontId="124" fillId="38" borderId="145" xfId="526" applyFont="1" applyFill="1" applyBorder="1" applyProtection="1">
      <protection locked="0"/>
    </xf>
    <xf numFmtId="41" fontId="124" fillId="38" borderId="146" xfId="526" applyFont="1" applyFill="1" applyBorder="1" applyProtection="1">
      <protection locked="0"/>
    </xf>
    <xf numFmtId="41" fontId="124" fillId="29" borderId="145" xfId="526" applyFont="1" applyFill="1" applyBorder="1" applyProtection="1">
      <protection locked="0"/>
    </xf>
    <xf numFmtId="41" fontId="124" fillId="29" borderId="146" xfId="526" applyFont="1" applyFill="1" applyBorder="1" applyProtection="1">
      <protection locked="0"/>
    </xf>
    <xf numFmtId="41" fontId="124" fillId="35" borderId="145" xfId="526" applyFont="1" applyFill="1" applyBorder="1" applyProtection="1">
      <protection locked="0"/>
    </xf>
    <xf numFmtId="41" fontId="124" fillId="35" borderId="146" xfId="526" applyFont="1" applyFill="1" applyBorder="1" applyProtection="1">
      <protection locked="0"/>
    </xf>
    <xf numFmtId="0" fontId="108" fillId="0" borderId="1" xfId="548" applyFont="1" applyBorder="1"/>
    <xf numFmtId="0" fontId="104" fillId="0" borderId="2" xfId="548" applyFont="1" applyBorder="1"/>
    <xf numFmtId="0" fontId="104" fillId="0" borderId="9" xfId="548" applyFont="1" applyBorder="1"/>
    <xf numFmtId="14" fontId="124" fillId="34" borderId="115" xfId="548" applyNumberFormat="1" applyFont="1" applyFill="1" applyBorder="1"/>
    <xf numFmtId="14" fontId="124" fillId="0" borderId="9" xfId="548" applyNumberFormat="1" applyFont="1" applyBorder="1"/>
    <xf numFmtId="14" fontId="119" fillId="0" borderId="9" xfId="548" applyNumberFormat="1" applyFont="1" applyBorder="1"/>
    <xf numFmtId="14" fontId="124" fillId="0" borderId="0" xfId="548" applyNumberFormat="1" applyFont="1" applyAlignment="1">
      <alignment horizontal="center"/>
    </xf>
    <xf numFmtId="0" fontId="104" fillId="0" borderId="0" xfId="548" applyFont="1"/>
    <xf numFmtId="14" fontId="124" fillId="0" borderId="115" xfId="548" applyNumberFormat="1" applyFont="1" applyBorder="1"/>
    <xf numFmtId="0" fontId="124" fillId="0" borderId="115" xfId="548" applyFont="1" applyBorder="1"/>
    <xf numFmtId="0" fontId="124" fillId="0" borderId="9" xfId="548" applyFont="1" applyBorder="1"/>
    <xf numFmtId="0" fontId="119" fillId="0" borderId="9" xfId="548" applyFont="1" applyBorder="1"/>
    <xf numFmtId="0" fontId="124" fillId="0" borderId="0" xfId="548" applyFont="1" applyAlignment="1">
      <alignment horizontal="center"/>
    </xf>
    <xf numFmtId="0" fontId="108" fillId="0" borderId="0" xfId="548" applyFont="1"/>
    <xf numFmtId="0" fontId="108" fillId="0" borderId="9" xfId="548" applyFont="1" applyBorder="1"/>
    <xf numFmtId="0" fontId="108" fillId="0" borderId="12" xfId="548" applyFont="1" applyBorder="1"/>
    <xf numFmtId="0" fontId="108" fillId="0" borderId="13" xfId="548" applyFont="1" applyBorder="1"/>
    <xf numFmtId="0" fontId="119" fillId="0" borderId="115" xfId="548" applyFont="1" applyBorder="1" applyAlignment="1">
      <alignment horizontal="center" shrinkToFit="1"/>
    </xf>
    <xf numFmtId="0" fontId="119" fillId="0" borderId="9" xfId="548" applyFont="1" applyBorder="1" applyAlignment="1">
      <alignment horizontal="center" shrinkToFit="1"/>
    </xf>
    <xf numFmtId="0" fontId="119" fillId="0" borderId="0" xfId="548" applyFont="1" applyAlignment="1">
      <alignment horizontal="center" shrinkToFit="1"/>
    </xf>
    <xf numFmtId="0" fontId="6" fillId="0" borderId="0" xfId="0" applyFont="1" applyAlignment="1">
      <alignment horizontal="center" vertical="center"/>
    </xf>
    <xf numFmtId="41" fontId="6" fillId="0" borderId="0" xfId="1" applyFont="1" applyFill="1" applyAlignment="1" applyProtection="1">
      <alignment horizontal="center" vertical="center"/>
    </xf>
    <xf numFmtId="0" fontId="104" fillId="27" borderId="2" xfId="548" applyFont="1" applyFill="1" applyBorder="1"/>
    <xf numFmtId="0" fontId="124" fillId="26" borderId="115" xfId="548" applyFont="1" applyFill="1" applyBorder="1"/>
    <xf numFmtId="0" fontId="124" fillId="26" borderId="9" xfId="548" applyFont="1" applyFill="1" applyBorder="1"/>
    <xf numFmtId="10" fontId="124" fillId="26" borderId="9" xfId="548" applyNumberFormat="1" applyFont="1" applyFill="1" applyBorder="1"/>
    <xf numFmtId="10" fontId="124" fillId="0" borderId="0" xfId="548" applyNumberFormat="1" applyFont="1" applyAlignment="1">
      <alignment horizontal="center"/>
    </xf>
    <xf numFmtId="0" fontId="104" fillId="27" borderId="13" xfId="548" applyFont="1" applyFill="1" applyBorder="1"/>
    <xf numFmtId="10" fontId="119" fillId="26" borderId="9" xfId="548" applyNumberFormat="1" applyFont="1" applyFill="1" applyBorder="1"/>
    <xf numFmtId="0" fontId="108" fillId="0" borderId="0" xfId="548" applyFont="1" applyAlignment="1">
      <alignment horizontal="center"/>
    </xf>
    <xf numFmtId="10" fontId="119" fillId="0" borderId="0" xfId="548" applyNumberFormat="1" applyFont="1" applyAlignment="1">
      <alignment horizontal="center"/>
    </xf>
    <xf numFmtId="0" fontId="104" fillId="18" borderId="2" xfId="548" applyFont="1" applyFill="1" applyBorder="1"/>
    <xf numFmtId="0" fontId="124" fillId="29" borderId="115" xfId="548" applyFont="1" applyFill="1" applyBorder="1"/>
    <xf numFmtId="0" fontId="124" fillId="29" borderId="9" xfId="548" applyFont="1" applyFill="1" applyBorder="1"/>
    <xf numFmtId="10" fontId="124" fillId="29" borderId="9" xfId="519" applyNumberFormat="1" applyFont="1" applyFill="1" applyBorder="1" applyProtection="1"/>
    <xf numFmtId="9" fontId="124" fillId="0" borderId="0" xfId="548" applyNumberFormat="1" applyFont="1" applyAlignment="1">
      <alignment horizontal="center"/>
    </xf>
    <xf numFmtId="0" fontId="104" fillId="18" borderId="13" xfId="548" applyFont="1" applyFill="1" applyBorder="1"/>
    <xf numFmtId="10" fontId="124" fillId="29" borderId="9" xfId="548" applyNumberFormat="1" applyFont="1" applyFill="1" applyBorder="1"/>
    <xf numFmtId="10" fontId="119" fillId="29" borderId="9" xfId="548" applyNumberFormat="1" applyFont="1" applyFill="1" applyBorder="1"/>
    <xf numFmtId="0" fontId="104" fillId="20" borderId="2" xfId="548" applyFont="1" applyFill="1" applyBorder="1"/>
    <xf numFmtId="0" fontId="124" fillId="30" borderId="115" xfId="548" applyFont="1" applyFill="1" applyBorder="1"/>
    <xf numFmtId="0" fontId="124" fillId="30" borderId="9" xfId="548" applyFont="1" applyFill="1" applyBorder="1"/>
    <xf numFmtId="10" fontId="124" fillId="30" borderId="9" xfId="519" applyNumberFormat="1" applyFont="1" applyFill="1" applyBorder="1" applyProtection="1"/>
    <xf numFmtId="0" fontId="104" fillId="20" borderId="13" xfId="548" applyFont="1" applyFill="1" applyBorder="1"/>
    <xf numFmtId="10" fontId="124" fillId="30" borderId="9" xfId="548" applyNumberFormat="1" applyFont="1" applyFill="1" applyBorder="1"/>
    <xf numFmtId="10" fontId="119" fillId="30" borderId="9" xfId="548" applyNumberFormat="1" applyFont="1" applyFill="1" applyBorder="1"/>
    <xf numFmtId="0" fontId="108" fillId="0" borderId="128" xfId="548" applyFont="1" applyBorder="1"/>
    <xf numFmtId="0" fontId="104" fillId="0" borderId="129" xfId="548" applyFont="1" applyBorder="1"/>
    <xf numFmtId="0" fontId="124" fillId="0" borderId="0" xfId="548" applyFont="1"/>
    <xf numFmtId="10" fontId="124" fillId="0" borderId="0" xfId="548" applyNumberFormat="1" applyFont="1"/>
    <xf numFmtId="0" fontId="104" fillId="3" borderId="2" xfId="548" applyFont="1" applyFill="1" applyBorder="1"/>
    <xf numFmtId="0" fontId="124" fillId="46" borderId="115" xfId="548" applyFont="1" applyFill="1" applyBorder="1"/>
    <xf numFmtId="0" fontId="124" fillId="46" borderId="9" xfId="548" applyFont="1" applyFill="1" applyBorder="1"/>
    <xf numFmtId="10" fontId="124" fillId="46" borderId="9" xfId="519" applyNumberFormat="1" applyFont="1" applyFill="1" applyBorder="1" applyProtection="1"/>
    <xf numFmtId="0" fontId="104" fillId="3" borderId="13" xfId="548" applyFont="1" applyFill="1" applyBorder="1"/>
    <xf numFmtId="10" fontId="124" fillId="46" borderId="9" xfId="548" applyNumberFormat="1" applyFont="1" applyFill="1" applyBorder="1"/>
    <xf numFmtId="10" fontId="119" fillId="46" borderId="9" xfId="548" applyNumberFormat="1" applyFont="1" applyFill="1" applyBorder="1"/>
    <xf numFmtId="0" fontId="104" fillId="43" borderId="2" xfId="548" applyFont="1" applyFill="1" applyBorder="1"/>
    <xf numFmtId="0" fontId="124" fillId="45" borderId="115" xfId="548" applyFont="1" applyFill="1" applyBorder="1"/>
    <xf numFmtId="0" fontId="124" fillId="45" borderId="9" xfId="548" applyFont="1" applyFill="1" applyBorder="1"/>
    <xf numFmtId="10" fontId="124" fillId="45" borderId="9" xfId="519" applyNumberFormat="1" applyFont="1" applyFill="1" applyBorder="1" applyProtection="1"/>
    <xf numFmtId="0" fontId="104" fillId="43" borderId="13" xfId="548" applyFont="1" applyFill="1" applyBorder="1"/>
    <xf numFmtId="10" fontId="124" fillId="45" borderId="9" xfId="548" applyNumberFormat="1" applyFont="1" applyFill="1" applyBorder="1"/>
    <xf numFmtId="10" fontId="119" fillId="45" borderId="9" xfId="548" applyNumberFormat="1" applyFont="1" applyFill="1" applyBorder="1"/>
    <xf numFmtId="0" fontId="108" fillId="44" borderId="1" xfId="548" applyFont="1" applyFill="1" applyBorder="1"/>
    <xf numFmtId="0" fontId="104" fillId="44" borderId="2" xfId="548" applyFont="1" applyFill="1" applyBorder="1"/>
    <xf numFmtId="0" fontId="124" fillId="39" borderId="115" xfId="548" applyFont="1" applyFill="1" applyBorder="1"/>
    <xf numFmtId="0" fontId="124" fillId="39" borderId="9" xfId="548" applyFont="1" applyFill="1" applyBorder="1"/>
    <xf numFmtId="10" fontId="124" fillId="39" borderId="9" xfId="519" applyNumberFormat="1" applyFont="1" applyFill="1" applyBorder="1" applyProtection="1"/>
    <xf numFmtId="0" fontId="108" fillId="44" borderId="12" xfId="548" applyFont="1" applyFill="1" applyBorder="1"/>
    <xf numFmtId="0" fontId="104" fillId="44" borderId="13" xfId="548" applyFont="1" applyFill="1" applyBorder="1"/>
    <xf numFmtId="10" fontId="124" fillId="39" borderId="9" xfId="548" applyNumberFormat="1" applyFont="1" applyFill="1" applyBorder="1"/>
    <xf numFmtId="10" fontId="119" fillId="39" borderId="9" xfId="548" applyNumberFormat="1" applyFont="1" applyFill="1" applyBorder="1"/>
    <xf numFmtId="0" fontId="104" fillId="42" borderId="2" xfId="548" applyFont="1" applyFill="1" applyBorder="1"/>
    <xf numFmtId="0" fontId="124" fillId="41" borderId="115" xfId="548" applyFont="1" applyFill="1" applyBorder="1"/>
    <xf numFmtId="0" fontId="124" fillId="41" borderId="9" xfId="548" applyFont="1" applyFill="1" applyBorder="1"/>
    <xf numFmtId="10" fontId="124" fillId="41" borderId="9" xfId="519" applyNumberFormat="1" applyFont="1" applyFill="1" applyBorder="1" applyProtection="1"/>
    <xf numFmtId="0" fontId="104" fillId="42" borderId="13" xfId="548" applyFont="1" applyFill="1" applyBorder="1"/>
    <xf numFmtId="10" fontId="124" fillId="41" borderId="9" xfId="548" applyNumberFormat="1" applyFont="1" applyFill="1" applyBorder="1"/>
    <xf numFmtId="10" fontId="119" fillId="41" borderId="9" xfId="548" applyNumberFormat="1" applyFont="1" applyFill="1" applyBorder="1"/>
    <xf numFmtId="10" fontId="119" fillId="0" borderId="0" xfId="548" applyNumberFormat="1" applyFont="1"/>
    <xf numFmtId="0" fontId="108" fillId="32" borderId="1" xfId="548" applyFont="1" applyFill="1" applyBorder="1"/>
    <xf numFmtId="0" fontId="104" fillId="32" borderId="2" xfId="548" applyFont="1" applyFill="1" applyBorder="1"/>
    <xf numFmtId="0" fontId="124" fillId="9" borderId="115" xfId="548" applyFont="1" applyFill="1" applyBorder="1"/>
    <xf numFmtId="0" fontId="124" fillId="9" borderId="9" xfId="548" applyFont="1" applyFill="1" applyBorder="1"/>
    <xf numFmtId="10" fontId="124" fillId="9" borderId="9" xfId="548" applyNumberFormat="1" applyFont="1" applyFill="1" applyBorder="1"/>
    <xf numFmtId="10" fontId="119" fillId="9" borderId="9" xfId="548" applyNumberFormat="1" applyFont="1" applyFill="1" applyBorder="1"/>
    <xf numFmtId="0" fontId="124" fillId="2" borderId="0" xfId="548" applyFont="1" applyFill="1"/>
    <xf numFmtId="0" fontId="104" fillId="2" borderId="0" xfId="548" applyFont="1" applyFill="1"/>
    <xf numFmtId="0" fontId="108" fillId="32" borderId="12" xfId="548" applyFont="1" applyFill="1" applyBorder="1"/>
    <xf numFmtId="0" fontId="104" fillId="32" borderId="13" xfId="548" applyFont="1" applyFill="1" applyBorder="1"/>
    <xf numFmtId="9" fontId="124" fillId="9" borderId="9" xfId="2" applyFont="1" applyFill="1" applyBorder="1" applyAlignment="1" applyProtection="1"/>
    <xf numFmtId="9" fontId="119" fillId="9" borderId="9" xfId="2" applyFont="1" applyFill="1" applyBorder="1" applyAlignment="1" applyProtection="1"/>
    <xf numFmtId="9" fontId="124" fillId="0" borderId="0" xfId="2" applyFont="1" applyFill="1" applyBorder="1" applyAlignment="1" applyProtection="1">
      <alignment horizontal="center"/>
    </xf>
    <xf numFmtId="0" fontId="108" fillId="32" borderId="0" xfId="548" applyFont="1" applyFill="1"/>
    <xf numFmtId="0" fontId="104" fillId="32" borderId="0" xfId="548" applyFont="1" applyFill="1"/>
    <xf numFmtId="306" fontId="104" fillId="32" borderId="0" xfId="548" applyNumberFormat="1" applyFont="1" applyFill="1"/>
    <xf numFmtId="0" fontId="124" fillId="9" borderId="0" xfId="548" applyFont="1" applyFill="1"/>
    <xf numFmtId="10" fontId="124" fillId="9" borderId="0" xfId="548" applyNumberFormat="1" applyFont="1" applyFill="1"/>
    <xf numFmtId="41" fontId="124" fillId="9" borderId="0" xfId="1" applyFont="1" applyFill="1" applyBorder="1" applyAlignment="1" applyProtection="1"/>
    <xf numFmtId="10" fontId="119" fillId="9" borderId="0" xfId="548" applyNumberFormat="1" applyFont="1" applyFill="1"/>
    <xf numFmtId="9" fontId="124" fillId="9" borderId="0" xfId="2" applyFont="1" applyFill="1" applyBorder="1" applyAlignment="1" applyProtection="1"/>
    <xf numFmtId="9" fontId="119" fillId="9" borderId="0" xfId="2" applyFont="1" applyFill="1" applyBorder="1" applyAlignment="1" applyProtection="1"/>
    <xf numFmtId="41" fontId="108" fillId="0" borderId="9" xfId="526" applyFont="1" applyFill="1" applyBorder="1" applyAlignment="1" applyProtection="1">
      <alignment horizontal="center"/>
    </xf>
    <xf numFmtId="0" fontId="119" fillId="0" borderId="0" xfId="548" applyFont="1"/>
    <xf numFmtId="0" fontId="108" fillId="0" borderId="9" xfId="548" applyFont="1" applyBorder="1" applyAlignment="1">
      <alignment horizontal="left"/>
    </xf>
    <xf numFmtId="41" fontId="124" fillId="0" borderId="115" xfId="526" applyFont="1" applyFill="1" applyBorder="1" applyProtection="1"/>
    <xf numFmtId="41" fontId="124" fillId="0" borderId="9" xfId="526" applyFont="1" applyFill="1" applyBorder="1" applyProtection="1"/>
    <xf numFmtId="41" fontId="119" fillId="0" borderId="9" xfId="526" applyFont="1" applyFill="1" applyBorder="1" applyProtection="1"/>
    <xf numFmtId="0" fontId="108" fillId="0" borderId="41" xfId="548" applyFont="1" applyBorder="1" applyAlignment="1">
      <alignment horizontal="left" indent="1"/>
    </xf>
    <xf numFmtId="9" fontId="108" fillId="0" borderId="9" xfId="548" applyNumberFormat="1" applyFont="1" applyBorder="1" applyAlignment="1">
      <alignment horizontal="center"/>
    </xf>
    <xf numFmtId="41" fontId="108" fillId="0" borderId="10" xfId="526" applyFont="1" applyFill="1" applyBorder="1" applyProtection="1"/>
    <xf numFmtId="41" fontId="108" fillId="0" borderId="9" xfId="526" applyFont="1" applyFill="1" applyBorder="1" applyProtection="1"/>
    <xf numFmtId="41" fontId="124" fillId="0" borderId="9" xfId="1" applyFont="1" applyFill="1" applyBorder="1" applyAlignment="1" applyProtection="1"/>
    <xf numFmtId="41" fontId="124" fillId="0" borderId="36" xfId="526" applyFont="1" applyFill="1" applyBorder="1" applyAlignment="1" applyProtection="1">
      <alignment horizontal="center"/>
    </xf>
    <xf numFmtId="41" fontId="124" fillId="0" borderId="37" xfId="548" applyNumberFormat="1" applyFont="1" applyBorder="1"/>
    <xf numFmtId="0" fontId="108" fillId="2" borderId="19" xfId="548" applyFont="1" applyFill="1" applyBorder="1"/>
    <xf numFmtId="312" fontId="108" fillId="0" borderId="41" xfId="548" applyNumberFormat="1" applyFont="1" applyBorder="1" applyAlignment="1">
      <alignment horizontal="center"/>
    </xf>
    <xf numFmtId="41" fontId="124" fillId="0" borderId="40" xfId="548" applyNumberFormat="1" applyFont="1" applyBorder="1"/>
    <xf numFmtId="0" fontId="108" fillId="2" borderId="104" xfId="548" applyFont="1" applyFill="1" applyBorder="1"/>
    <xf numFmtId="41" fontId="97" fillId="0" borderId="0" xfId="1" applyFont="1" applyProtection="1">
      <alignment vertical="center"/>
    </xf>
    <xf numFmtId="41" fontId="120" fillId="0" borderId="41" xfId="1" applyFont="1" applyFill="1" applyBorder="1" applyAlignment="1" applyProtection="1">
      <alignment horizontal="center"/>
    </xf>
    <xf numFmtId="9" fontId="108" fillId="0" borderId="9" xfId="1" applyNumberFormat="1" applyFont="1" applyFill="1" applyBorder="1" applyAlignment="1" applyProtection="1">
      <alignment horizontal="center"/>
    </xf>
    <xf numFmtId="41" fontId="124" fillId="0" borderId="115" xfId="1" applyFont="1" applyFill="1" applyBorder="1" applyAlignment="1" applyProtection="1"/>
    <xf numFmtId="41" fontId="124" fillId="0" borderId="41" xfId="526" applyFont="1" applyFill="1" applyBorder="1" applyAlignment="1" applyProtection="1">
      <alignment horizontal="center"/>
    </xf>
    <xf numFmtId="41" fontId="108" fillId="2" borderId="104" xfId="1" applyFont="1" applyFill="1" applyBorder="1" applyAlignment="1" applyProtection="1"/>
    <xf numFmtId="41" fontId="108" fillId="0" borderId="41" xfId="1" applyFont="1" applyFill="1" applyBorder="1" applyAlignment="1" applyProtection="1">
      <alignment horizontal="center"/>
    </xf>
    <xf numFmtId="41" fontId="108" fillId="0" borderId="10" xfId="1" applyFont="1" applyFill="1" applyBorder="1" applyAlignment="1" applyProtection="1"/>
    <xf numFmtId="41" fontId="119" fillId="0" borderId="115" xfId="1" applyFont="1" applyFill="1" applyBorder="1" applyAlignment="1" applyProtection="1"/>
    <xf numFmtId="41" fontId="124" fillId="0" borderId="126" xfId="526" applyFont="1" applyFill="1" applyBorder="1" applyAlignment="1" applyProtection="1">
      <alignment horizontal="center"/>
    </xf>
    <xf numFmtId="41" fontId="124" fillId="0" borderId="123" xfId="548" applyNumberFormat="1" applyFont="1" applyBorder="1"/>
    <xf numFmtId="41" fontId="108" fillId="2" borderId="105" xfId="1" applyFont="1" applyFill="1" applyBorder="1" applyAlignment="1" applyProtection="1"/>
    <xf numFmtId="0" fontId="97" fillId="0" borderId="0" xfId="0" applyFont="1">
      <alignment vertical="center"/>
    </xf>
    <xf numFmtId="0" fontId="108" fillId="2" borderId="8" xfId="548" applyFont="1" applyFill="1" applyBorder="1"/>
    <xf numFmtId="41" fontId="97" fillId="0" borderId="0" xfId="0" applyNumberFormat="1" applyFont="1">
      <alignment vertical="center"/>
    </xf>
    <xf numFmtId="0" fontId="108" fillId="0" borderId="41" xfId="548" applyFont="1" applyBorder="1" applyAlignment="1">
      <alignment horizontal="center"/>
    </xf>
    <xf numFmtId="0" fontId="120" fillId="0" borderId="41" xfId="548" applyFont="1" applyBorder="1" applyAlignment="1">
      <alignment horizontal="center"/>
    </xf>
    <xf numFmtId="0" fontId="108" fillId="2" borderId="105" xfId="548" applyFont="1" applyFill="1" applyBorder="1"/>
    <xf numFmtId="0" fontId="104" fillId="2" borderId="8" xfId="548" applyFont="1" applyFill="1" applyBorder="1"/>
    <xf numFmtId="41" fontId="108" fillId="2" borderId="19" xfId="548" applyNumberFormat="1" applyFont="1" applyFill="1" applyBorder="1"/>
    <xf numFmtId="41" fontId="108" fillId="2" borderId="104" xfId="548" applyNumberFormat="1" applyFont="1" applyFill="1" applyBorder="1"/>
    <xf numFmtId="0" fontId="108" fillId="31" borderId="28" xfId="548" applyFont="1" applyFill="1" applyBorder="1"/>
    <xf numFmtId="0" fontId="108" fillId="31" borderId="14" xfId="548" applyFont="1" applyFill="1" applyBorder="1"/>
    <xf numFmtId="41" fontId="108" fillId="31" borderId="28" xfId="1" applyFont="1" applyFill="1" applyBorder="1" applyAlignment="1" applyProtection="1"/>
    <xf numFmtId="41" fontId="108" fillId="2" borderId="105" xfId="548" applyNumberFormat="1" applyFont="1" applyFill="1" applyBorder="1"/>
    <xf numFmtId="41" fontId="104" fillId="2" borderId="0" xfId="548" applyNumberFormat="1" applyFont="1" applyFill="1"/>
    <xf numFmtId="41" fontId="124" fillId="0" borderId="50" xfId="526" applyFont="1" applyFill="1" applyBorder="1" applyProtection="1"/>
    <xf numFmtId="41" fontId="124" fillId="0" borderId="46" xfId="526" applyFont="1" applyFill="1" applyBorder="1" applyProtection="1"/>
    <xf numFmtId="41" fontId="119" fillId="0" borderId="46" xfId="526" applyFont="1" applyFill="1" applyBorder="1" applyProtection="1"/>
    <xf numFmtId="41" fontId="124" fillId="0" borderId="0" xfId="526" applyFont="1" applyFill="1" applyBorder="1" applyAlignment="1" applyProtection="1">
      <alignment horizontal="center"/>
    </xf>
    <xf numFmtId="0" fontId="108" fillId="9" borderId="80" xfId="548" applyFont="1" applyFill="1" applyBorder="1" applyAlignment="1">
      <alignment horizontal="center"/>
    </xf>
    <xf numFmtId="0" fontId="108" fillId="9" borderId="118" xfId="548" applyFont="1" applyFill="1" applyBorder="1" applyAlignment="1">
      <alignment horizontal="center"/>
    </xf>
    <xf numFmtId="0" fontId="108" fillId="9" borderId="81" xfId="548" applyFont="1" applyFill="1" applyBorder="1" applyAlignment="1">
      <alignment horizontal="center"/>
    </xf>
    <xf numFmtId="41" fontId="108" fillId="28" borderId="7" xfId="548" applyNumberFormat="1" applyFont="1" applyFill="1" applyBorder="1"/>
    <xf numFmtId="0" fontId="108" fillId="28" borderId="0" xfId="548" applyFont="1" applyFill="1"/>
    <xf numFmtId="41" fontId="119" fillId="28" borderId="0" xfId="526" applyFont="1" applyFill="1" applyBorder="1" applyProtection="1"/>
    <xf numFmtId="41" fontId="124" fillId="2" borderId="115" xfId="548" applyNumberFormat="1" applyFont="1" applyFill="1" applyBorder="1"/>
    <xf numFmtId="0" fontId="108" fillId="2" borderId="10" xfId="548" applyFont="1" applyFill="1" applyBorder="1"/>
    <xf numFmtId="9" fontId="104" fillId="2" borderId="28" xfId="548" applyNumberFormat="1" applyFont="1" applyFill="1" applyBorder="1" applyAlignment="1">
      <alignment horizontal="center"/>
    </xf>
    <xf numFmtId="9" fontId="104" fillId="2" borderId="14" xfId="548" applyNumberFormat="1" applyFont="1" applyFill="1" applyBorder="1" applyAlignment="1">
      <alignment horizontal="center"/>
    </xf>
    <xf numFmtId="9" fontId="104" fillId="2" borderId="16" xfId="548" applyNumberFormat="1" applyFont="1" applyFill="1" applyBorder="1" applyAlignment="1">
      <alignment horizontal="center"/>
    </xf>
    <xf numFmtId="0" fontId="108" fillId="2" borderId="40" xfId="548" applyFont="1" applyFill="1" applyBorder="1"/>
    <xf numFmtId="41" fontId="119" fillId="28" borderId="1" xfId="548" applyNumberFormat="1" applyFont="1" applyFill="1" applyBorder="1"/>
    <xf numFmtId="41" fontId="108" fillId="28" borderId="2" xfId="548" applyNumberFormat="1" applyFont="1" applyFill="1" applyBorder="1"/>
    <xf numFmtId="41" fontId="119" fillId="28" borderId="2" xfId="526" applyFont="1" applyFill="1" applyBorder="1" applyProtection="1"/>
    <xf numFmtId="41" fontId="124" fillId="0" borderId="24" xfId="526" applyFont="1" applyFill="1" applyBorder="1" applyAlignment="1" applyProtection="1">
      <alignment horizontal="center"/>
    </xf>
    <xf numFmtId="41" fontId="124" fillId="2" borderId="124" xfId="548" applyNumberFormat="1" applyFont="1" applyFill="1" applyBorder="1"/>
    <xf numFmtId="0" fontId="108" fillId="2" borderId="4" xfId="548" applyFont="1" applyFill="1" applyBorder="1"/>
    <xf numFmtId="41" fontId="104" fillId="2" borderId="36" xfId="548" applyNumberFormat="1" applyFont="1" applyFill="1" applyBorder="1" applyAlignment="1">
      <alignment horizontal="right"/>
    </xf>
    <xf numFmtId="41" fontId="104" fillId="2" borderId="46" xfId="548" applyNumberFormat="1" applyFont="1" applyFill="1" applyBorder="1" applyAlignment="1">
      <alignment horizontal="right"/>
    </xf>
    <xf numFmtId="41" fontId="104" fillId="2" borderId="37" xfId="548" applyNumberFormat="1" applyFont="1" applyFill="1" applyBorder="1" applyAlignment="1">
      <alignment horizontal="right"/>
    </xf>
    <xf numFmtId="41" fontId="108" fillId="28" borderId="7" xfId="1" applyFont="1" applyFill="1" applyBorder="1" applyAlignment="1" applyProtection="1"/>
    <xf numFmtId="41" fontId="108" fillId="28" borderId="0" xfId="1" applyFont="1" applyFill="1" applyBorder="1" applyAlignment="1" applyProtection="1"/>
    <xf numFmtId="41" fontId="119" fillId="28" borderId="0" xfId="1" applyFont="1" applyFill="1" applyBorder="1" applyAlignment="1" applyProtection="1"/>
    <xf numFmtId="41" fontId="104" fillId="2" borderId="0" xfId="1" applyFont="1" applyFill="1" applyBorder="1" applyAlignment="1" applyProtection="1"/>
    <xf numFmtId="10" fontId="108" fillId="28" borderId="0" xfId="548" applyNumberFormat="1" applyFont="1" applyFill="1"/>
    <xf numFmtId="41" fontId="109" fillId="28" borderId="7" xfId="1" applyFont="1" applyFill="1" applyBorder="1" applyAlignment="1" applyProtection="1"/>
    <xf numFmtId="10" fontId="109" fillId="28" borderId="0" xfId="1" applyNumberFormat="1" applyFont="1" applyFill="1" applyBorder="1" applyAlignment="1" applyProtection="1"/>
    <xf numFmtId="41" fontId="109" fillId="28" borderId="0" xfId="1" applyFont="1" applyFill="1" applyBorder="1" applyAlignment="1" applyProtection="1"/>
    <xf numFmtId="41" fontId="126" fillId="2" borderId="0" xfId="1" applyFont="1" applyFill="1" applyBorder="1" applyAlignment="1" applyProtection="1"/>
    <xf numFmtId="41" fontId="109" fillId="28" borderId="0" xfId="526" applyFont="1" applyFill="1" applyBorder="1" applyProtection="1"/>
    <xf numFmtId="41" fontId="109" fillId="28" borderId="7" xfId="548" applyNumberFormat="1" applyFont="1" applyFill="1" applyBorder="1"/>
    <xf numFmtId="41" fontId="124" fillId="2" borderId="122" xfId="548" applyNumberFormat="1" applyFont="1" applyFill="1" applyBorder="1"/>
    <xf numFmtId="0" fontId="108" fillId="2" borderId="123" xfId="548" applyFont="1" applyFill="1" applyBorder="1"/>
    <xf numFmtId="0" fontId="108" fillId="31" borderId="43" xfId="548" applyFont="1" applyFill="1" applyBorder="1"/>
    <xf numFmtId="0" fontId="108" fillId="31" borderId="34" xfId="548" applyFont="1" applyFill="1" applyBorder="1"/>
    <xf numFmtId="41" fontId="108" fillId="31" borderId="34" xfId="548" applyNumberFormat="1" applyFont="1" applyFill="1" applyBorder="1"/>
    <xf numFmtId="0" fontId="108" fillId="2" borderId="25" xfId="548" applyFont="1" applyFill="1" applyBorder="1"/>
    <xf numFmtId="41" fontId="124" fillId="0" borderId="28" xfId="526" applyFont="1" applyFill="1" applyBorder="1" applyAlignment="1" applyProtection="1">
      <alignment horizontal="center"/>
    </xf>
    <xf numFmtId="41" fontId="124" fillId="2" borderId="14" xfId="526" applyFont="1" applyFill="1" applyBorder="1" applyProtection="1"/>
    <xf numFmtId="41" fontId="108" fillId="2" borderId="16" xfId="548" applyNumberFormat="1" applyFont="1" applyFill="1" applyBorder="1"/>
    <xf numFmtId="0" fontId="108" fillId="2" borderId="0" xfId="548" applyFont="1" applyFill="1"/>
    <xf numFmtId="41" fontId="119" fillId="0" borderId="0" xfId="526" applyFont="1" applyFill="1" applyBorder="1" applyProtection="1"/>
    <xf numFmtId="41" fontId="124" fillId="0" borderId="0" xfId="526" applyFont="1" applyFill="1" applyBorder="1" applyProtection="1"/>
    <xf numFmtId="41" fontId="124" fillId="0" borderId="46" xfId="526" applyFont="1" applyFill="1" applyBorder="1" applyAlignment="1" applyProtection="1">
      <alignment horizontal="center"/>
    </xf>
    <xf numFmtId="41" fontId="124" fillId="2" borderId="0" xfId="526" applyFont="1" applyFill="1" applyBorder="1" applyProtection="1"/>
    <xf numFmtId="253" fontId="124" fillId="0" borderId="115" xfId="526" applyNumberFormat="1" applyFont="1" applyFill="1" applyBorder="1" applyProtection="1"/>
    <xf numFmtId="253" fontId="124" fillId="0" borderId="9" xfId="526" applyNumberFormat="1" applyFont="1" applyFill="1" applyBorder="1" applyProtection="1"/>
    <xf numFmtId="41" fontId="124" fillId="0" borderId="9" xfId="526" applyFont="1" applyFill="1" applyBorder="1" applyAlignment="1" applyProtection="1">
      <alignment horizontal="center"/>
    </xf>
    <xf numFmtId="41" fontId="108" fillId="2" borderId="0" xfId="1" applyFont="1" applyFill="1" applyBorder="1" applyAlignment="1" applyProtection="1"/>
    <xf numFmtId="253" fontId="124" fillId="0" borderId="0" xfId="526" applyNumberFormat="1" applyFont="1" applyFill="1" applyBorder="1" applyProtection="1"/>
    <xf numFmtId="253" fontId="119" fillId="0" borderId="0" xfId="526" applyNumberFormat="1" applyFont="1" applyFill="1" applyBorder="1" applyProtection="1"/>
    <xf numFmtId="0" fontId="108" fillId="31" borderId="12" xfId="548" applyFont="1" applyFill="1" applyBorder="1"/>
    <xf numFmtId="0" fontId="108" fillId="31" borderId="13" xfId="548" applyFont="1" applyFill="1" applyBorder="1"/>
    <xf numFmtId="0" fontId="108" fillId="28" borderId="1" xfId="548" applyFont="1" applyFill="1" applyBorder="1"/>
    <xf numFmtId="0" fontId="108" fillId="28" borderId="2" xfId="548" applyFont="1" applyFill="1" applyBorder="1"/>
    <xf numFmtId="41" fontId="124" fillId="0" borderId="116" xfId="526" applyFont="1" applyFill="1" applyBorder="1" applyProtection="1"/>
    <xf numFmtId="0" fontId="108" fillId="27" borderId="7" xfId="548" applyFont="1" applyFill="1" applyBorder="1"/>
    <xf numFmtId="41" fontId="108" fillId="27" borderId="0" xfId="526" applyFont="1" applyFill="1" applyBorder="1" applyProtection="1"/>
    <xf numFmtId="41" fontId="119" fillId="38" borderId="9" xfId="526" applyFont="1" applyFill="1" applyBorder="1" applyProtection="1"/>
    <xf numFmtId="41" fontId="124" fillId="38" borderId="115" xfId="526" applyFont="1" applyFill="1" applyBorder="1" applyProtection="1"/>
    <xf numFmtId="41" fontId="124" fillId="38" borderId="10" xfId="526" applyFont="1" applyFill="1" applyBorder="1" applyProtection="1"/>
    <xf numFmtId="41" fontId="124" fillId="38" borderId="9" xfId="526" applyFont="1" applyFill="1" applyBorder="1" applyProtection="1"/>
    <xf numFmtId="41" fontId="124" fillId="38" borderId="9" xfId="526" applyFont="1" applyFill="1" applyBorder="1" applyAlignment="1" applyProtection="1">
      <alignment horizontal="center"/>
    </xf>
    <xf numFmtId="0" fontId="108" fillId="27" borderId="0" xfId="548" applyFont="1" applyFill="1"/>
    <xf numFmtId="41" fontId="124" fillId="38" borderId="46" xfId="526" applyFont="1" applyFill="1" applyBorder="1" applyProtection="1"/>
    <xf numFmtId="41" fontId="108" fillId="27" borderId="0" xfId="548" applyNumberFormat="1" applyFont="1" applyFill="1"/>
    <xf numFmtId="41" fontId="124" fillId="38" borderId="116" xfId="526" applyFont="1" applyFill="1" applyBorder="1" applyProtection="1"/>
    <xf numFmtId="0" fontId="108" fillId="18" borderId="7" xfId="548" applyFont="1" applyFill="1" applyBorder="1"/>
    <xf numFmtId="41" fontId="108" fillId="18" borderId="0" xfId="526" applyFont="1" applyFill="1" applyBorder="1" applyProtection="1"/>
    <xf numFmtId="41" fontId="119" fillId="29" borderId="9" xfId="526" applyFont="1" applyFill="1" applyBorder="1" applyProtection="1"/>
    <xf numFmtId="41" fontId="124" fillId="29" borderId="115" xfId="526" applyFont="1" applyFill="1" applyBorder="1" applyProtection="1"/>
    <xf numFmtId="41" fontId="124" fillId="29" borderId="10" xfId="526" applyFont="1" applyFill="1" applyBorder="1" applyProtection="1"/>
    <xf numFmtId="41" fontId="124" fillId="29" borderId="9" xfId="526" applyFont="1" applyFill="1" applyBorder="1" applyProtection="1"/>
    <xf numFmtId="41" fontId="124" fillId="29" borderId="9" xfId="526" applyFont="1" applyFill="1" applyBorder="1" applyAlignment="1" applyProtection="1">
      <alignment horizontal="center"/>
    </xf>
    <xf numFmtId="0" fontId="108" fillId="18" borderId="0" xfId="548" applyFont="1" applyFill="1"/>
    <xf numFmtId="41" fontId="124" fillId="29" borderId="46" xfId="526" applyFont="1" applyFill="1" applyBorder="1" applyProtection="1"/>
    <xf numFmtId="41" fontId="108" fillId="18" borderId="0" xfId="548" applyNumberFormat="1" applyFont="1" applyFill="1"/>
    <xf numFmtId="41" fontId="108" fillId="18" borderId="0" xfId="1" applyFont="1" applyFill="1" applyBorder="1" applyAlignment="1" applyProtection="1"/>
    <xf numFmtId="41" fontId="124" fillId="29" borderId="116" xfId="526" applyFont="1" applyFill="1" applyBorder="1" applyProtection="1"/>
    <xf numFmtId="0" fontId="108" fillId="20" borderId="7" xfId="548" applyFont="1" applyFill="1" applyBorder="1"/>
    <xf numFmtId="0" fontId="108" fillId="20" borderId="0" xfId="548" applyFont="1" applyFill="1"/>
    <xf numFmtId="41" fontId="108" fillId="20" borderId="0" xfId="526" applyFont="1" applyFill="1" applyBorder="1" applyProtection="1"/>
    <xf numFmtId="41" fontId="119" fillId="35" borderId="9" xfId="526" applyFont="1" applyFill="1" applyBorder="1" applyProtection="1"/>
    <xf numFmtId="41" fontId="124" fillId="35" borderId="115" xfId="526" applyFont="1" applyFill="1" applyBorder="1" applyProtection="1"/>
    <xf numFmtId="41" fontId="124" fillId="35" borderId="10" xfId="526" applyFont="1" applyFill="1" applyBorder="1" applyProtection="1"/>
    <xf numFmtId="41" fontId="124" fillId="35" borderId="9" xfId="526" applyFont="1" applyFill="1" applyBorder="1" applyProtection="1"/>
    <xf numFmtId="41" fontId="124" fillId="35" borderId="9" xfId="526" applyFont="1" applyFill="1" applyBorder="1" applyAlignment="1" applyProtection="1">
      <alignment horizontal="center"/>
    </xf>
    <xf numFmtId="41" fontId="108" fillId="20" borderId="0" xfId="548" applyNumberFormat="1" applyFont="1" applyFill="1"/>
    <xf numFmtId="41" fontId="124" fillId="35" borderId="46" xfId="526" applyFont="1" applyFill="1" applyBorder="1" applyProtection="1"/>
    <xf numFmtId="41" fontId="108" fillId="20" borderId="0" xfId="1" applyFont="1" applyFill="1" applyBorder="1" applyAlignment="1" applyProtection="1"/>
    <xf numFmtId="0" fontId="108" fillId="28" borderId="12" xfId="548" applyFont="1" applyFill="1" applyBorder="1"/>
    <xf numFmtId="0" fontId="108" fillId="28" borderId="13" xfId="548" applyFont="1" applyFill="1" applyBorder="1"/>
    <xf numFmtId="41" fontId="108" fillId="28" borderId="13" xfId="548" applyNumberFormat="1" applyFont="1" applyFill="1" applyBorder="1"/>
    <xf numFmtId="41" fontId="124" fillId="0" borderId="9" xfId="548" applyNumberFormat="1" applyFont="1" applyBorder="1"/>
    <xf numFmtId="9" fontId="108" fillId="28" borderId="2" xfId="548" applyNumberFormat="1" applyFont="1" applyFill="1" applyBorder="1"/>
    <xf numFmtId="9" fontId="108" fillId="0" borderId="9" xfId="548" applyNumberFormat="1" applyFont="1" applyBorder="1"/>
    <xf numFmtId="0" fontId="108" fillId="28" borderId="7" xfId="548" applyFont="1" applyFill="1" applyBorder="1"/>
    <xf numFmtId="9" fontId="108" fillId="28" borderId="0" xfId="548" applyNumberFormat="1" applyFont="1" applyFill="1"/>
    <xf numFmtId="41" fontId="124" fillId="2" borderId="0" xfId="548" applyNumberFormat="1" applyFont="1" applyFill="1"/>
    <xf numFmtId="0" fontId="108" fillId="27" borderId="2" xfId="548" applyFont="1" applyFill="1" applyBorder="1"/>
    <xf numFmtId="41" fontId="108" fillId="27" borderId="18" xfId="1" applyFont="1" applyFill="1" applyBorder="1" applyAlignment="1" applyProtection="1"/>
    <xf numFmtId="41" fontId="108" fillId="27" borderId="0" xfId="1" applyFont="1" applyFill="1" applyBorder="1" applyAlignment="1" applyProtection="1"/>
    <xf numFmtId="41" fontId="108" fillId="18" borderId="44" xfId="1" applyFont="1" applyFill="1" applyBorder="1" applyAlignment="1" applyProtection="1"/>
    <xf numFmtId="41" fontId="108" fillId="20" borderId="44" xfId="1" applyFont="1" applyFill="1" applyBorder="1" applyAlignment="1" applyProtection="1"/>
    <xf numFmtId="0" fontId="124" fillId="0" borderId="122" xfId="548" applyFont="1" applyBorder="1"/>
    <xf numFmtId="0" fontId="124" fillId="0" borderId="116" xfId="548" applyFont="1" applyBorder="1"/>
    <xf numFmtId="41" fontId="124" fillId="0" borderId="116" xfId="548" applyNumberFormat="1" applyFont="1" applyBorder="1"/>
    <xf numFmtId="0" fontId="108" fillId="31" borderId="9" xfId="548" applyFont="1" applyFill="1" applyBorder="1"/>
    <xf numFmtId="10" fontId="109" fillId="31" borderId="9" xfId="548" applyNumberFormat="1" applyFont="1" applyFill="1" applyBorder="1"/>
    <xf numFmtId="41" fontId="108" fillId="31" borderId="9" xfId="1" applyFont="1" applyFill="1" applyBorder="1" applyAlignment="1" applyProtection="1"/>
    <xf numFmtId="41" fontId="9" fillId="0" borderId="0" xfId="1" applyFont="1" applyFill="1" applyProtection="1">
      <alignment vertical="center"/>
    </xf>
    <xf numFmtId="41" fontId="7" fillId="0" borderId="0" xfId="1" applyFont="1" applyFill="1" applyProtection="1">
      <alignment vertical="center"/>
    </xf>
    <xf numFmtId="41" fontId="9" fillId="0" borderId="0" xfId="1" applyFont="1" applyFill="1" applyAlignment="1" applyProtection="1">
      <alignment horizontal="center" vertical="center"/>
    </xf>
    <xf numFmtId="41" fontId="9" fillId="0" borderId="0" xfId="1" applyFont="1" applyProtection="1">
      <alignment vertical="center"/>
    </xf>
    <xf numFmtId="41" fontId="9" fillId="16" borderId="16" xfId="1" applyFont="1" applyFill="1" applyBorder="1" applyAlignment="1" applyProtection="1">
      <alignment horizontal="center" vertical="center" wrapText="1"/>
    </xf>
    <xf numFmtId="41" fontId="11" fillId="0" borderId="27" xfId="1" applyFont="1" applyBorder="1" applyAlignment="1" applyProtection="1">
      <alignment horizontal="center" vertical="center"/>
    </xf>
    <xf numFmtId="41" fontId="11" fillId="0" borderId="27" xfId="0" applyNumberFormat="1" applyFont="1" applyBorder="1" applyAlignment="1">
      <alignment horizontal="center" vertical="center"/>
    </xf>
    <xf numFmtId="0" fontId="11" fillId="0" borderId="27" xfId="0" applyFont="1" applyBorder="1" applyAlignment="1">
      <alignment horizontal="center" vertical="center"/>
    </xf>
    <xf numFmtId="41" fontId="102" fillId="7" borderId="148" xfId="1" applyFont="1" applyFill="1" applyBorder="1" applyAlignment="1" applyProtection="1">
      <alignment horizontal="center" vertical="center"/>
    </xf>
    <xf numFmtId="0" fontId="15" fillId="48" borderId="22" xfId="0" applyFont="1" applyFill="1" applyBorder="1" applyAlignment="1">
      <alignment horizontal="center" vertical="center"/>
    </xf>
    <xf numFmtId="41" fontId="102" fillId="7" borderId="147" xfId="525" applyFont="1" applyFill="1" applyBorder="1" applyAlignment="1" applyProtection="1">
      <alignment horizontal="center" vertical="center"/>
    </xf>
    <xf numFmtId="253" fontId="119" fillId="0" borderId="0" xfId="548" applyNumberFormat="1" applyFont="1"/>
    <xf numFmtId="0" fontId="0" fillId="0" borderId="150" xfId="0" applyBorder="1" applyAlignment="1">
      <alignment horizontal="right" vertical="center"/>
    </xf>
    <xf numFmtId="10" fontId="9" fillId="0" borderId="51" xfId="0" applyNumberFormat="1" applyFont="1" applyBorder="1" applyAlignment="1">
      <alignment horizontal="right" vertical="center"/>
    </xf>
    <xf numFmtId="253" fontId="124" fillId="0" borderId="0" xfId="548" applyNumberFormat="1" applyFont="1"/>
    <xf numFmtId="0" fontId="7" fillId="0" borderId="18" xfId="0" applyFont="1" applyBorder="1" applyAlignment="1">
      <alignment horizontal="center" vertical="center"/>
    </xf>
    <xf numFmtId="0" fontId="129" fillId="0" borderId="0" xfId="0" applyFont="1">
      <alignment vertical="center"/>
    </xf>
    <xf numFmtId="0" fontId="108" fillId="31" borderId="0" xfId="548" applyFont="1" applyFill="1"/>
    <xf numFmtId="311" fontId="9" fillId="0" borderId="0" xfId="0" applyNumberFormat="1" applyFont="1" applyAlignment="1">
      <alignment horizontal="left" vertical="center"/>
    </xf>
    <xf numFmtId="253" fontId="108" fillId="31" borderId="0" xfId="548" applyNumberFormat="1" applyFont="1" applyFill="1"/>
    <xf numFmtId="41" fontId="108" fillId="2" borderId="0" xfId="548" applyNumberFormat="1" applyFont="1" applyFill="1"/>
    <xf numFmtId="0" fontId="104" fillId="3" borderId="0" xfId="548" applyFont="1" applyFill="1"/>
    <xf numFmtId="9" fontId="104" fillId="3" borderId="0" xfId="548" applyNumberFormat="1" applyFont="1" applyFill="1"/>
    <xf numFmtId="9" fontId="108" fillId="3" borderId="0" xfId="548" applyNumberFormat="1" applyFont="1" applyFill="1"/>
    <xf numFmtId="0" fontId="2" fillId="0" borderId="0" xfId="3" applyAlignment="1" applyProtection="1">
      <alignment horizontal="center" vertical="center"/>
      <protection locked="0"/>
    </xf>
    <xf numFmtId="193" fontId="9" fillId="0" borderId="0" xfId="0" applyNumberFormat="1" applyFont="1" applyAlignment="1">
      <alignment horizontal="center" vertical="center"/>
    </xf>
    <xf numFmtId="184" fontId="2" fillId="0" borderId="0" xfId="3" applyNumberFormat="1" applyAlignment="1" applyProtection="1">
      <alignment horizontal="center" vertical="center"/>
      <protection locked="0"/>
    </xf>
    <xf numFmtId="320" fontId="1" fillId="0" borderId="51" xfId="1" applyNumberFormat="1" applyFont="1" applyFill="1" applyBorder="1" applyAlignment="1" applyProtection="1">
      <alignment horizontal="right" vertical="center"/>
    </xf>
    <xf numFmtId="3" fontId="127" fillId="21" borderId="153" xfId="0" applyNumberFormat="1" applyFont="1" applyFill="1" applyBorder="1" applyAlignment="1">
      <alignment horizontal="center" vertical="center" wrapText="1"/>
    </xf>
    <xf numFmtId="204" fontId="16" fillId="7" borderId="17" xfId="0" applyNumberFormat="1" applyFont="1" applyFill="1" applyBorder="1">
      <alignment vertical="center"/>
    </xf>
    <xf numFmtId="204" fontId="9" fillId="0" borderId="115" xfId="0" applyNumberFormat="1" applyFont="1" applyBorder="1">
      <alignment vertical="center"/>
    </xf>
    <xf numFmtId="204" fontId="7" fillId="7" borderId="151" xfId="0" applyNumberFormat="1" applyFont="1" applyFill="1" applyBorder="1">
      <alignment vertical="center"/>
    </xf>
    <xf numFmtId="204" fontId="7" fillId="7" borderId="155" xfId="0" applyNumberFormat="1" applyFont="1" applyFill="1" applyBorder="1">
      <alignment vertical="center"/>
    </xf>
    <xf numFmtId="10" fontId="0" fillId="0" borderId="116" xfId="0" applyNumberFormat="1" applyBorder="1" applyAlignment="1">
      <alignment horizontal="right" vertical="center"/>
    </xf>
    <xf numFmtId="41" fontId="0" fillId="0" borderId="51" xfId="0" applyNumberFormat="1" applyBorder="1" applyAlignment="1">
      <alignment horizontal="right" vertical="center"/>
    </xf>
    <xf numFmtId="41" fontId="15" fillId="0" borderId="51" xfId="0" applyNumberFormat="1" applyFont="1" applyBorder="1" applyAlignment="1">
      <alignment horizontal="right" vertical="center"/>
    </xf>
    <xf numFmtId="310" fontId="1" fillId="0" borderId="51" xfId="1" applyNumberFormat="1" applyFont="1" applyFill="1" applyBorder="1" applyAlignment="1" applyProtection="1">
      <alignment horizontal="right" vertical="center"/>
    </xf>
    <xf numFmtId="310" fontId="9" fillId="0" borderId="51" xfId="1" applyNumberFormat="1" applyFont="1" applyFill="1" applyBorder="1" applyAlignment="1" applyProtection="1">
      <alignment horizontal="right" vertical="center"/>
    </xf>
    <xf numFmtId="186" fontId="9" fillId="0" borderId="51" xfId="0" applyNumberFormat="1" applyFont="1" applyBorder="1" applyAlignment="1">
      <alignment horizontal="right" vertical="center"/>
    </xf>
    <xf numFmtId="10" fontId="0" fillId="0" borderId="0" xfId="2" applyNumberFormat="1" applyFont="1" applyAlignment="1" applyProtection="1">
      <alignment vertical="center"/>
    </xf>
    <xf numFmtId="289" fontId="9" fillId="0" borderId="50" xfId="0" applyNumberFormat="1" applyFont="1" applyBorder="1" applyAlignment="1">
      <alignment horizontal="center" vertical="center"/>
    </xf>
    <xf numFmtId="289" fontId="9" fillId="0" borderId="122" xfId="0" applyNumberFormat="1" applyFont="1" applyBorder="1" applyAlignment="1">
      <alignment horizontal="center" vertical="center"/>
    </xf>
    <xf numFmtId="314" fontId="0" fillId="48" borderId="133" xfId="1" applyNumberFormat="1" applyFont="1" applyFill="1" applyBorder="1" applyAlignment="1" applyProtection="1">
      <alignment vertical="center"/>
      <protection locked="0"/>
    </xf>
    <xf numFmtId="0" fontId="9" fillId="30" borderId="51" xfId="0" applyFont="1" applyFill="1" applyBorder="1" applyAlignment="1">
      <alignment horizontal="right" vertical="center"/>
    </xf>
    <xf numFmtId="194" fontId="0" fillId="0" borderId="51" xfId="1" applyNumberFormat="1" applyFont="1" applyFill="1" applyBorder="1" applyAlignment="1" applyProtection="1">
      <alignment horizontal="right" vertical="center"/>
    </xf>
    <xf numFmtId="0" fontId="9" fillId="0" borderId="51" xfId="0" applyFont="1" applyBorder="1" applyAlignment="1">
      <alignment horizontal="right" vertical="center"/>
    </xf>
    <xf numFmtId="314" fontId="9" fillId="48" borderId="74" xfId="1" applyNumberFormat="1" applyFont="1" applyFill="1" applyBorder="1" applyAlignment="1" applyProtection="1">
      <alignment vertical="center"/>
      <protection locked="0"/>
    </xf>
    <xf numFmtId="177" fontId="0" fillId="2" borderId="51" xfId="0" applyNumberFormat="1" applyFill="1" applyBorder="1" applyAlignment="1">
      <alignment horizontal="right" vertical="center"/>
    </xf>
    <xf numFmtId="176" fontId="9" fillId="0" borderId="51" xfId="0" applyNumberFormat="1" applyFont="1" applyBorder="1" applyAlignment="1">
      <alignment horizontal="right" vertical="center"/>
    </xf>
    <xf numFmtId="197" fontId="9" fillId="48" borderId="51" xfId="0" applyNumberFormat="1" applyFont="1" applyFill="1" applyBorder="1" applyAlignment="1" applyProtection="1">
      <alignment horizontal="right" vertical="center"/>
      <protection locked="0"/>
    </xf>
    <xf numFmtId="289" fontId="9" fillId="0" borderId="46" xfId="0" applyNumberFormat="1" applyFont="1" applyBorder="1" applyAlignment="1">
      <alignment horizontal="center" vertical="center"/>
    </xf>
    <xf numFmtId="186" fontId="8" fillId="0" borderId="51" xfId="0" applyNumberFormat="1" applyFont="1" applyBorder="1" applyAlignment="1">
      <alignment horizontal="right" vertical="center"/>
    </xf>
    <xf numFmtId="287" fontId="9" fillId="26" borderId="3" xfId="0" applyNumberFormat="1" applyFont="1" applyFill="1" applyBorder="1" applyAlignment="1">
      <alignment horizontal="center" vertical="center"/>
    </xf>
    <xf numFmtId="179" fontId="9" fillId="11" borderId="124" xfId="0" applyNumberFormat="1" applyFont="1" applyFill="1" applyBorder="1" applyAlignment="1" applyProtection="1">
      <alignment horizontal="center" vertical="center"/>
      <protection locked="0"/>
    </xf>
    <xf numFmtId="179" fontId="9" fillId="11" borderId="115" xfId="0" applyNumberFormat="1" applyFont="1" applyFill="1" applyBorder="1" applyAlignment="1" applyProtection="1">
      <alignment horizontal="center" vertical="center"/>
      <protection locked="0"/>
    </xf>
    <xf numFmtId="179" fontId="9" fillId="11" borderId="9" xfId="0" applyNumberFormat="1" applyFont="1" applyFill="1" applyBorder="1" applyAlignment="1" applyProtection="1">
      <alignment horizontal="center" vertical="center"/>
      <protection locked="0"/>
    </xf>
    <xf numFmtId="204" fontId="9" fillId="11" borderId="104" xfId="0" applyNumberFormat="1" applyFont="1" applyFill="1" applyBorder="1" applyProtection="1">
      <alignment vertical="center"/>
      <protection locked="0"/>
    </xf>
    <xf numFmtId="204" fontId="9" fillId="11" borderId="104" xfId="0" applyNumberFormat="1" applyFont="1" applyFill="1" applyBorder="1" applyAlignment="1" applyProtection="1">
      <alignment horizontal="center" vertical="center"/>
      <protection locked="0"/>
    </xf>
    <xf numFmtId="204" fontId="9" fillId="11" borderId="105" xfId="0" applyNumberFormat="1" applyFont="1" applyFill="1" applyBorder="1" applyAlignment="1" applyProtection="1">
      <alignment horizontal="center" vertical="center"/>
      <protection locked="0"/>
    </xf>
    <xf numFmtId="204" fontId="9" fillId="11" borderId="40" xfId="0" applyNumberFormat="1" applyFont="1" applyFill="1" applyBorder="1">
      <alignment vertical="center"/>
    </xf>
    <xf numFmtId="204" fontId="7" fillId="11" borderId="40" xfId="0" applyNumberFormat="1" applyFont="1" applyFill="1" applyBorder="1" applyAlignment="1" applyProtection="1">
      <alignment horizontal="center" vertical="center"/>
      <protection locked="0"/>
    </xf>
    <xf numFmtId="204" fontId="9" fillId="11" borderId="16" xfId="0" applyNumberFormat="1" applyFont="1" applyFill="1" applyBorder="1" applyAlignment="1" applyProtection="1">
      <alignment horizontal="center" vertical="center"/>
      <protection locked="0"/>
    </xf>
    <xf numFmtId="9" fontId="9" fillId="11" borderId="3" xfId="0" applyNumberFormat="1" applyFont="1" applyFill="1" applyBorder="1" applyAlignment="1" applyProtection="1">
      <alignment horizontal="center" vertical="center" wrapText="1"/>
      <protection locked="0"/>
    </xf>
    <xf numFmtId="9" fontId="97" fillId="11" borderId="9" xfId="0" applyNumberFormat="1" applyFont="1" applyFill="1" applyBorder="1" applyAlignment="1" applyProtection="1">
      <alignment horizontal="center" vertical="center" wrapText="1"/>
      <protection locked="0"/>
    </xf>
    <xf numFmtId="9" fontId="97" fillId="11" borderId="14" xfId="0" applyNumberFormat="1" applyFont="1" applyFill="1" applyBorder="1" applyAlignment="1" applyProtection="1">
      <alignment horizontal="center" vertical="center" wrapText="1"/>
      <protection locked="0"/>
    </xf>
    <xf numFmtId="309" fontId="9" fillId="11" borderId="46" xfId="0" applyNumberFormat="1" applyFont="1" applyFill="1" applyBorder="1" applyProtection="1">
      <alignment vertical="center"/>
      <protection locked="0"/>
    </xf>
    <xf numFmtId="307" fontId="9" fillId="11" borderId="37" xfId="0" applyNumberFormat="1" applyFont="1" applyFill="1" applyBorder="1" applyAlignment="1" applyProtection="1">
      <alignment horizontal="center" vertical="center"/>
      <protection locked="0"/>
    </xf>
    <xf numFmtId="307" fontId="9" fillId="11" borderId="40" xfId="0" applyNumberFormat="1" applyFont="1" applyFill="1" applyBorder="1" applyAlignment="1" applyProtection="1">
      <alignment horizontal="center" vertical="center"/>
      <protection locked="0"/>
    </xf>
    <xf numFmtId="0" fontId="0" fillId="11" borderId="51" xfId="0" applyFill="1" applyBorder="1" applyAlignment="1" applyProtection="1">
      <alignment horizontal="right" vertical="center"/>
      <protection locked="0"/>
    </xf>
    <xf numFmtId="194" fontId="0" fillId="11" borderId="51" xfId="1" applyNumberFormat="1" applyFont="1" applyFill="1" applyBorder="1" applyAlignment="1" applyProtection="1">
      <alignment horizontal="right" vertical="center"/>
      <protection locked="0"/>
    </xf>
    <xf numFmtId="0" fontId="9" fillId="11" borderId="51" xfId="0" applyFont="1" applyFill="1" applyBorder="1" applyAlignment="1" applyProtection="1">
      <alignment horizontal="right" vertical="center"/>
      <protection locked="0"/>
    </xf>
    <xf numFmtId="9" fontId="0" fillId="11" borderId="51" xfId="0" applyNumberFormat="1" applyFill="1" applyBorder="1" applyAlignment="1" applyProtection="1">
      <alignment horizontal="right" vertical="center"/>
      <protection locked="0"/>
    </xf>
    <xf numFmtId="194" fontId="9" fillId="11" borderId="51" xfId="1" applyNumberFormat="1" applyFont="1" applyFill="1" applyBorder="1" applyAlignment="1" applyProtection="1">
      <alignment horizontal="right" vertical="center"/>
      <protection locked="0"/>
    </xf>
    <xf numFmtId="9" fontId="9" fillId="11" borderId="51" xfId="0" applyNumberFormat="1" applyFont="1" applyFill="1" applyBorder="1" applyAlignment="1" applyProtection="1">
      <alignment horizontal="right" vertical="center"/>
      <protection locked="0"/>
    </xf>
    <xf numFmtId="318" fontId="9" fillId="11" borderId="51" xfId="1" applyNumberFormat="1" applyFont="1" applyFill="1" applyBorder="1" applyAlignment="1" applyProtection="1">
      <alignment horizontal="right" vertical="center"/>
      <protection locked="0"/>
    </xf>
    <xf numFmtId="300" fontId="9" fillId="11" borderId="51" xfId="1" applyNumberFormat="1" applyFont="1" applyFill="1" applyBorder="1" applyAlignment="1" applyProtection="1">
      <alignment horizontal="right" vertical="center"/>
      <protection locked="0"/>
    </xf>
    <xf numFmtId="177" fontId="0" fillId="11" borderId="51" xfId="0" applyNumberFormat="1" applyFill="1" applyBorder="1" applyAlignment="1" applyProtection="1">
      <alignment horizontal="right" vertical="center"/>
      <protection locked="0"/>
    </xf>
    <xf numFmtId="196" fontId="0" fillId="11" borderId="51" xfId="0" applyNumberFormat="1" applyFill="1" applyBorder="1" applyAlignment="1" applyProtection="1">
      <alignment horizontal="right" vertical="center"/>
      <protection locked="0"/>
    </xf>
    <xf numFmtId="194" fontId="1" fillId="11" borderId="51" xfId="1" applyNumberFormat="1" applyFont="1" applyFill="1" applyBorder="1" applyAlignment="1" applyProtection="1">
      <alignment horizontal="right" vertical="center"/>
      <protection locked="0"/>
    </xf>
    <xf numFmtId="197" fontId="0" fillId="11" borderId="51" xfId="0" applyNumberFormat="1" applyFill="1" applyBorder="1" applyAlignment="1" applyProtection="1">
      <alignment horizontal="right" vertical="center"/>
      <protection locked="0"/>
    </xf>
    <xf numFmtId="9" fontId="0" fillId="11" borderId="51" xfId="2" applyFont="1" applyFill="1" applyBorder="1" applyAlignment="1" applyProtection="1">
      <alignment horizontal="right" vertical="center"/>
      <protection locked="0"/>
    </xf>
    <xf numFmtId="10" fontId="0" fillId="11" borderId="51" xfId="0" applyNumberFormat="1" applyFill="1" applyBorder="1" applyAlignment="1" applyProtection="1">
      <alignment horizontal="right" vertical="center"/>
      <protection locked="0"/>
    </xf>
    <xf numFmtId="314" fontId="0" fillId="11" borderId="52" xfId="1" applyNumberFormat="1" applyFont="1" applyFill="1" applyBorder="1" applyAlignment="1" applyProtection="1">
      <alignment vertical="center"/>
      <protection locked="0"/>
    </xf>
    <xf numFmtId="10" fontId="15" fillId="11" borderId="51" xfId="0" applyNumberFormat="1" applyFont="1" applyFill="1" applyBorder="1" applyAlignment="1" applyProtection="1">
      <alignment horizontal="right" vertical="center"/>
      <protection locked="0"/>
    </xf>
    <xf numFmtId="0" fontId="1" fillId="11" borderId="51" xfId="0" applyFont="1" applyFill="1" applyBorder="1" applyAlignment="1" applyProtection="1">
      <alignment horizontal="right" vertical="center"/>
      <protection locked="0"/>
    </xf>
    <xf numFmtId="186" fontId="9" fillId="0" borderId="27" xfId="0" applyNumberFormat="1" applyFont="1" applyBorder="1" applyAlignment="1">
      <alignment horizontal="center" vertical="center"/>
    </xf>
    <xf numFmtId="186" fontId="9" fillId="0" borderId="33" xfId="0" applyNumberFormat="1" applyFont="1" applyBorder="1" applyAlignment="1">
      <alignment horizontal="center" vertical="center"/>
    </xf>
    <xf numFmtId="177" fontId="9" fillId="0" borderId="121" xfId="0" applyNumberFormat="1" applyFont="1" applyBorder="1" applyAlignment="1">
      <alignment horizontal="center" vertical="center"/>
    </xf>
    <xf numFmtId="177" fontId="9" fillId="0" borderId="118" xfId="0" applyNumberFormat="1" applyFont="1" applyBorder="1" applyAlignment="1">
      <alignment horizontal="center" vertical="center"/>
    </xf>
    <xf numFmtId="186" fontId="23" fillId="0" borderId="118" xfId="0" applyNumberFormat="1" applyFont="1" applyBorder="1" applyAlignment="1">
      <alignment horizontal="center" vertical="center"/>
    </xf>
    <xf numFmtId="287" fontId="9" fillId="26" borderId="4" xfId="0" applyNumberFormat="1" applyFont="1" applyFill="1" applyBorder="1" applyAlignment="1">
      <alignment horizontal="center" vertical="center"/>
    </xf>
    <xf numFmtId="287" fontId="9" fillId="26" borderId="120" xfId="0" applyNumberFormat="1" applyFont="1" applyFill="1" applyBorder="1" applyAlignment="1">
      <alignment horizontal="center" vertical="center"/>
    </xf>
    <xf numFmtId="177" fontId="9" fillId="0" borderId="132" xfId="0" applyNumberFormat="1" applyFont="1" applyBorder="1" applyAlignment="1">
      <alignment horizontal="center" vertical="center"/>
    </xf>
    <xf numFmtId="177" fontId="9" fillId="0" borderId="119" xfId="0" applyNumberFormat="1" applyFont="1" applyBorder="1" applyAlignment="1">
      <alignment horizontal="center" vertical="center"/>
    </xf>
    <xf numFmtId="177" fontId="9" fillId="0" borderId="10" xfId="0" applyNumberFormat="1" applyFont="1" applyBorder="1" applyAlignment="1">
      <alignment horizontal="center" vertical="center"/>
    </xf>
    <xf numFmtId="177" fontId="9" fillId="0" borderId="140" xfId="0" applyNumberFormat="1" applyFont="1" applyBorder="1" applyAlignment="1">
      <alignment horizontal="center" vertical="center"/>
    </xf>
    <xf numFmtId="179" fontId="9" fillId="0" borderId="4" xfId="0" applyNumberFormat="1" applyFont="1" applyBorder="1" applyAlignment="1">
      <alignment horizontal="center" vertical="center"/>
    </xf>
    <xf numFmtId="289" fontId="9" fillId="0" borderId="10" xfId="0" applyNumberFormat="1" applyFont="1" applyBorder="1" applyAlignment="1">
      <alignment horizontal="center" vertical="center"/>
    </xf>
    <xf numFmtId="179" fontId="9" fillId="0" borderId="10" xfId="0" applyNumberFormat="1" applyFont="1" applyBorder="1" applyAlignment="1">
      <alignment horizontal="center" vertical="center"/>
    </xf>
    <xf numFmtId="289" fontId="9" fillId="0" borderId="120" xfId="0" applyNumberFormat="1" applyFont="1" applyBorder="1" applyAlignment="1">
      <alignment horizontal="center" vertical="center"/>
    </xf>
    <xf numFmtId="185" fontId="9" fillId="26" borderId="15" xfId="0" applyNumberFormat="1" applyFont="1" applyFill="1" applyBorder="1" applyAlignment="1">
      <alignment horizontal="center" vertical="center"/>
    </xf>
    <xf numFmtId="186" fontId="23" fillId="0" borderId="121" xfId="0" applyNumberFormat="1" applyFont="1" applyBorder="1" applyAlignment="1">
      <alignment horizontal="center" vertical="center"/>
    </xf>
    <xf numFmtId="186" fontId="9" fillId="0" borderId="50" xfId="0" applyNumberFormat="1" applyFont="1" applyBorder="1" applyAlignment="1">
      <alignment horizontal="center" vertical="center"/>
    </xf>
    <xf numFmtId="186" fontId="9" fillId="0" borderId="115" xfId="1" applyNumberFormat="1" applyFont="1" applyFill="1" applyBorder="1" applyAlignment="1" applyProtection="1">
      <alignment horizontal="center" vertical="center"/>
    </xf>
    <xf numFmtId="186" fontId="9" fillId="0" borderId="122" xfId="1" applyNumberFormat="1" applyFont="1" applyFill="1" applyBorder="1" applyAlignment="1" applyProtection="1">
      <alignment horizontal="center" vertical="center"/>
    </xf>
    <xf numFmtId="177" fontId="9" fillId="0" borderId="27" xfId="0" applyNumberFormat="1" applyFont="1" applyBorder="1" applyAlignment="1">
      <alignment horizontal="center" vertical="center"/>
    </xf>
    <xf numFmtId="177" fontId="9" fillId="0" borderId="38" xfId="0" applyNumberFormat="1" applyFont="1" applyBorder="1" applyAlignment="1">
      <alignment horizontal="center" vertical="center"/>
    </xf>
    <xf numFmtId="177" fontId="9" fillId="0" borderId="104" xfId="0" applyNumberFormat="1" applyFont="1" applyBorder="1" applyAlignment="1">
      <alignment horizontal="center" vertical="center"/>
    </xf>
    <xf numFmtId="177" fontId="9" fillId="0" borderId="114" xfId="0" applyNumberFormat="1" applyFont="1" applyBorder="1" applyAlignment="1">
      <alignment horizontal="center" vertical="center"/>
    </xf>
    <xf numFmtId="200" fontId="9" fillId="0" borderId="19" xfId="2" applyNumberFormat="1" applyFont="1" applyFill="1" applyBorder="1" applyAlignment="1" applyProtection="1">
      <alignment horizontal="center" vertical="center"/>
    </xf>
    <xf numFmtId="200" fontId="99" fillId="0" borderId="104" xfId="2" applyNumberFormat="1" applyFont="1" applyFill="1" applyBorder="1" applyAlignment="1" applyProtection="1">
      <alignment horizontal="center" vertical="center"/>
    </xf>
    <xf numFmtId="200" fontId="9" fillId="0" borderId="104" xfId="2" applyNumberFormat="1" applyFont="1" applyFill="1" applyBorder="1" applyAlignment="1" applyProtection="1">
      <alignment horizontal="center" vertical="center"/>
    </xf>
    <xf numFmtId="200" fontId="99" fillId="0" borderId="105" xfId="2" applyNumberFormat="1" applyFont="1" applyFill="1" applyBorder="1" applyAlignment="1" applyProtection="1">
      <alignment horizontal="center" vertical="center"/>
    </xf>
    <xf numFmtId="288" fontId="9" fillId="0" borderId="27" xfId="0" applyNumberFormat="1" applyFont="1" applyBorder="1" applyAlignment="1">
      <alignment horizontal="center" vertical="center"/>
    </xf>
    <xf numFmtId="288" fontId="9" fillId="0" borderId="38" xfId="0" applyNumberFormat="1" applyFont="1" applyBorder="1" applyAlignment="1">
      <alignment horizontal="center" vertical="center"/>
    </xf>
    <xf numFmtId="288" fontId="9" fillId="0" borderId="104" xfId="0" applyNumberFormat="1" applyFont="1" applyBorder="1" applyAlignment="1">
      <alignment horizontal="center" vertical="center"/>
    </xf>
    <xf numFmtId="288" fontId="9" fillId="0" borderId="114" xfId="0" applyNumberFormat="1" applyFont="1" applyBorder="1" applyAlignment="1">
      <alignment horizontal="center" vertical="center"/>
    </xf>
    <xf numFmtId="204" fontId="16" fillId="0" borderId="46" xfId="0" applyNumberFormat="1" applyFont="1" applyBorder="1" applyAlignment="1">
      <alignment horizontal="center" vertical="center"/>
    </xf>
    <xf numFmtId="204" fontId="16" fillId="0" borderId="9" xfId="0" applyNumberFormat="1" applyFont="1" applyBorder="1" applyAlignment="1">
      <alignment horizontal="center" vertical="center"/>
    </xf>
    <xf numFmtId="204" fontId="16" fillId="0" borderId="14" xfId="0" applyNumberFormat="1" applyFont="1" applyBorder="1" applyAlignment="1">
      <alignment horizontal="center" vertical="center"/>
    </xf>
    <xf numFmtId="204" fontId="16" fillId="0" borderId="118" xfId="0" applyNumberFormat="1" applyFont="1" applyBorder="1" applyAlignment="1">
      <alignment horizontal="center" vertical="center"/>
    </xf>
    <xf numFmtId="204" fontId="9" fillId="0" borderId="46" xfId="0" applyNumberFormat="1" applyFont="1" applyBorder="1" applyAlignment="1">
      <alignment horizontal="center" vertical="center"/>
    </xf>
    <xf numFmtId="204" fontId="9" fillId="0" borderId="9" xfId="0" applyNumberFormat="1" applyFont="1" applyBorder="1" applyAlignment="1">
      <alignment horizontal="center" vertical="center"/>
    </xf>
    <xf numFmtId="204" fontId="9" fillId="0" borderId="14" xfId="0" applyNumberFormat="1" applyFont="1" applyBorder="1" applyAlignment="1">
      <alignment horizontal="center" vertical="center"/>
    </xf>
    <xf numFmtId="204" fontId="9" fillId="0" borderId="118" xfId="0" applyNumberFormat="1" applyFont="1" applyBorder="1" applyAlignment="1">
      <alignment horizontal="center" vertical="center"/>
    </xf>
    <xf numFmtId="43" fontId="124" fillId="2" borderId="0" xfId="526" applyNumberFormat="1" applyFont="1" applyFill="1" applyBorder="1" applyProtection="1"/>
    <xf numFmtId="41" fontId="109" fillId="31" borderId="120" xfId="548" applyNumberFormat="1" applyFont="1" applyFill="1" applyBorder="1"/>
    <xf numFmtId="0" fontId="145" fillId="2" borderId="0" xfId="0" applyFont="1" applyFill="1">
      <alignment vertical="center"/>
    </xf>
    <xf numFmtId="0" fontId="11" fillId="0" borderId="0" xfId="0" applyFont="1">
      <alignment vertical="center"/>
    </xf>
    <xf numFmtId="321" fontId="146" fillId="0" borderId="0" xfId="653" applyAlignment="1">
      <alignment horizontal="right"/>
    </xf>
    <xf numFmtId="43" fontId="11" fillId="3" borderId="0" xfId="0" applyNumberFormat="1" applyFont="1" applyFill="1">
      <alignment vertical="center"/>
    </xf>
    <xf numFmtId="322" fontId="147" fillId="0" borderId="0" xfId="654" applyNumberFormat="1" applyFont="1" applyFill="1" applyBorder="1">
      <alignment vertical="center"/>
    </xf>
    <xf numFmtId="0" fontId="11" fillId="0" borderId="0" xfId="0" applyFont="1" applyAlignment="1">
      <alignment horizontal="right" vertical="center"/>
    </xf>
    <xf numFmtId="10" fontId="148" fillId="3" borderId="0" xfId="0" applyNumberFormat="1" applyFont="1" applyFill="1">
      <alignment vertical="center"/>
    </xf>
    <xf numFmtId="41" fontId="144" fillId="48" borderId="0" xfId="1" applyFont="1" applyFill="1" applyAlignment="1" applyProtection="1">
      <alignment vertical="center"/>
      <protection locked="0"/>
    </xf>
    <xf numFmtId="10" fontId="11" fillId="0" borderId="0" xfId="2" applyNumberFormat="1" applyFont="1" applyAlignment="1">
      <alignment vertical="center"/>
    </xf>
    <xf numFmtId="10" fontId="11" fillId="0" borderId="0" xfId="0" applyNumberFormat="1" applyFont="1">
      <alignment vertical="center"/>
    </xf>
    <xf numFmtId="0" fontId="11" fillId="0" borderId="2" xfId="0" applyFont="1" applyBorder="1">
      <alignment vertical="center"/>
    </xf>
    <xf numFmtId="41" fontId="11" fillId="0" borderId="2" xfId="654" applyFont="1" applyBorder="1">
      <alignment vertical="center"/>
    </xf>
    <xf numFmtId="9" fontId="11" fillId="0" borderId="0" xfId="0" applyNumberFormat="1" applyFont="1">
      <alignment vertical="center"/>
    </xf>
    <xf numFmtId="41" fontId="11" fillId="0" borderId="0" xfId="654" applyFont="1" applyBorder="1">
      <alignment vertical="center"/>
    </xf>
    <xf numFmtId="0" fontId="11" fillId="0" borderId="13" xfId="0" applyFont="1" applyBorder="1">
      <alignment vertical="center"/>
    </xf>
    <xf numFmtId="10" fontId="11" fillId="0" borderId="13" xfId="0" applyNumberFormat="1" applyFont="1" applyBorder="1">
      <alignment vertical="center"/>
    </xf>
    <xf numFmtId="323" fontId="11" fillId="0" borderId="0" xfId="655" applyFont="1" applyProtection="1">
      <alignment vertical="center"/>
      <protection hidden="1"/>
    </xf>
    <xf numFmtId="0" fontId="11" fillId="0" borderId="34" xfId="0" applyFont="1" applyBorder="1">
      <alignment vertical="center"/>
    </xf>
    <xf numFmtId="10" fontId="148" fillId="0" borderId="34" xfId="0" applyNumberFormat="1" applyFont="1" applyBorder="1">
      <alignment vertical="center"/>
    </xf>
    <xf numFmtId="43" fontId="11" fillId="0" borderId="34" xfId="0" applyNumberFormat="1" applyFont="1" applyBorder="1">
      <alignment vertical="center"/>
    </xf>
    <xf numFmtId="0" fontId="11" fillId="0" borderId="0" xfId="0" quotePrefix="1" applyFont="1">
      <alignment vertical="center"/>
    </xf>
    <xf numFmtId="10" fontId="148" fillId="0" borderId="0" xfId="0" applyNumberFormat="1" applyFont="1">
      <alignment vertical="center"/>
    </xf>
    <xf numFmtId="0" fontId="11" fillId="0" borderId="157" xfId="0" applyFont="1" applyBorder="1">
      <alignment vertical="center"/>
    </xf>
    <xf numFmtId="9" fontId="148" fillId="0" borderId="157" xfId="0" applyNumberFormat="1" applyFont="1" applyBorder="1">
      <alignment vertical="center"/>
    </xf>
    <xf numFmtId="43" fontId="11" fillId="0" borderId="157" xfId="0" applyNumberFormat="1" applyFont="1" applyBorder="1">
      <alignment vertical="center"/>
    </xf>
    <xf numFmtId="0" fontId="11" fillId="0" borderId="158" xfId="0" applyFont="1" applyBorder="1">
      <alignment vertical="center"/>
    </xf>
    <xf numFmtId="43" fontId="11" fillId="0" borderId="158" xfId="0" applyNumberFormat="1" applyFont="1" applyBorder="1">
      <alignment vertical="center"/>
    </xf>
    <xf numFmtId="9" fontId="11" fillId="0" borderId="0" xfId="607" applyFont="1">
      <alignment vertical="center"/>
    </xf>
    <xf numFmtId="41" fontId="11" fillId="0" borderId="2" xfId="0" applyNumberFormat="1" applyFont="1" applyBorder="1">
      <alignment vertical="center"/>
    </xf>
    <xf numFmtId="41" fontId="148" fillId="0" borderId="0" xfId="654" applyFont="1" applyBorder="1">
      <alignment vertical="center"/>
    </xf>
    <xf numFmtId="321" fontId="146" fillId="0" borderId="0" xfId="653" applyAlignment="1">
      <alignment horizontal="left"/>
    </xf>
    <xf numFmtId="41" fontId="11" fillId="0" borderId="0" xfId="0" applyNumberFormat="1" applyFont="1">
      <alignment vertical="center"/>
    </xf>
    <xf numFmtId="10" fontId="148" fillId="0" borderId="2" xfId="0" applyNumberFormat="1" applyFont="1" applyBorder="1">
      <alignment vertical="center"/>
    </xf>
    <xf numFmtId="321" fontId="150" fillId="0" borderId="0" xfId="653" applyFont="1" applyAlignment="1">
      <alignment horizontal="right"/>
    </xf>
    <xf numFmtId="9" fontId="148" fillId="0" borderId="13" xfId="0" applyNumberFormat="1" applyFont="1" applyBorder="1">
      <alignment vertical="center"/>
    </xf>
    <xf numFmtId="43" fontId="11" fillId="0" borderId="13" xfId="0" applyNumberFormat="1" applyFont="1" applyBorder="1">
      <alignment vertical="center"/>
    </xf>
    <xf numFmtId="321" fontId="151" fillId="0" borderId="0" xfId="653" applyFont="1" applyAlignment="1">
      <alignment horizontal="right"/>
    </xf>
    <xf numFmtId="41" fontId="11" fillId="0" borderId="157" xfId="0" applyNumberFormat="1" applyFont="1" applyBorder="1">
      <alignment vertical="center"/>
    </xf>
    <xf numFmtId="9" fontId="11" fillId="0" borderId="0" xfId="607" applyFont="1" applyBorder="1">
      <alignment vertical="center"/>
    </xf>
    <xf numFmtId="41" fontId="148" fillId="48" borderId="0" xfId="654" applyFont="1" applyFill="1" applyBorder="1" applyProtection="1">
      <alignment vertical="center"/>
      <protection locked="0"/>
    </xf>
    <xf numFmtId="41" fontId="0" fillId="11" borderId="160" xfId="1" applyFont="1" applyFill="1" applyBorder="1" applyAlignment="1" applyProtection="1">
      <alignment horizontal="center" vertical="center"/>
      <protection locked="0"/>
    </xf>
    <xf numFmtId="41" fontId="0" fillId="11" borderId="161" xfId="1" applyFont="1" applyFill="1" applyBorder="1" applyAlignment="1" applyProtection="1">
      <alignment horizontal="center" vertical="center"/>
      <protection locked="0"/>
    </xf>
    <xf numFmtId="10" fontId="0" fillId="11" borderId="163" xfId="0" applyNumberFormat="1" applyFill="1" applyBorder="1" applyAlignment="1" applyProtection="1">
      <alignment horizontal="center" vertical="center"/>
      <protection locked="0"/>
    </xf>
    <xf numFmtId="10" fontId="0" fillId="11" borderId="164" xfId="0" applyNumberFormat="1" applyFill="1" applyBorder="1" applyAlignment="1" applyProtection="1">
      <alignment horizontal="center" vertical="center"/>
      <protection locked="0"/>
    </xf>
    <xf numFmtId="10" fontId="0" fillId="11" borderId="159" xfId="0" applyNumberFormat="1" applyFill="1" applyBorder="1" applyAlignment="1" applyProtection="1">
      <alignment horizontal="center" vertical="center"/>
      <protection locked="0"/>
    </xf>
    <xf numFmtId="10" fontId="0" fillId="11" borderId="162" xfId="0" applyNumberFormat="1" applyFill="1" applyBorder="1" applyAlignment="1" applyProtection="1">
      <alignment horizontal="center" vertical="center"/>
      <protection locked="0"/>
    </xf>
    <xf numFmtId="10" fontId="152" fillId="0" borderId="0" xfId="656" applyNumberFormat="1" applyFill="1" applyBorder="1" applyAlignment="1" applyProtection="1">
      <alignment horizontal="center" vertical="center"/>
    </xf>
    <xf numFmtId="41" fontId="0" fillId="0" borderId="143" xfId="1" applyFont="1" applyBorder="1" applyAlignment="1" applyProtection="1">
      <alignment horizontal="center" vertical="center"/>
    </xf>
    <xf numFmtId="0" fontId="9" fillId="5" borderId="3" xfId="0" applyFont="1" applyFill="1" applyBorder="1" applyAlignment="1">
      <alignment horizontal="center" vertical="center"/>
    </xf>
    <xf numFmtId="324" fontId="0" fillId="0" borderId="23" xfId="1" applyNumberFormat="1" applyFont="1" applyBorder="1" applyAlignment="1" applyProtection="1">
      <alignment horizontal="center" vertical="center"/>
    </xf>
    <xf numFmtId="179" fontId="9" fillId="11" borderId="50" xfId="0" applyNumberFormat="1" applyFont="1" applyFill="1" applyBorder="1" applyAlignment="1" applyProtection="1">
      <alignment horizontal="center" vertical="center"/>
      <protection locked="0"/>
    </xf>
    <xf numFmtId="179" fontId="9" fillId="11" borderId="46" xfId="0" applyNumberFormat="1" applyFont="1" applyFill="1" applyBorder="1" applyAlignment="1" applyProtection="1">
      <alignment horizontal="center" vertical="center"/>
      <protection locked="0"/>
    </xf>
    <xf numFmtId="179" fontId="9" fillId="0" borderId="46" xfId="0" applyNumberFormat="1" applyFont="1" applyBorder="1" applyAlignment="1">
      <alignment horizontal="center" vertical="center"/>
    </xf>
    <xf numFmtId="179" fontId="9" fillId="0" borderId="119" xfId="0" applyNumberFormat="1" applyFont="1" applyBorder="1" applyAlignment="1">
      <alignment horizontal="center" vertical="center"/>
    </xf>
    <xf numFmtId="200" fontId="9" fillId="0" borderId="38" xfId="2" applyNumberFormat="1" applyFont="1" applyFill="1" applyBorder="1" applyAlignment="1" applyProtection="1">
      <alignment horizontal="center" vertical="center"/>
    </xf>
    <xf numFmtId="41" fontId="124" fillId="38" borderId="115" xfId="526" applyFont="1" applyFill="1" applyBorder="1" applyAlignment="1" applyProtection="1">
      <alignment horizontal="center"/>
    </xf>
    <xf numFmtId="41" fontId="124" fillId="38" borderId="165" xfId="526" applyFont="1" applyFill="1" applyBorder="1" applyProtection="1">
      <protection locked="0"/>
    </xf>
    <xf numFmtId="41" fontId="119" fillId="38" borderId="145" xfId="526" applyFont="1" applyFill="1" applyBorder="1" applyProtection="1">
      <protection locked="0"/>
    </xf>
    <xf numFmtId="41" fontId="124" fillId="29" borderId="115" xfId="526" applyFont="1" applyFill="1" applyBorder="1" applyAlignment="1" applyProtection="1">
      <alignment horizontal="center"/>
    </xf>
    <xf numFmtId="41" fontId="124" fillId="35" borderId="115" xfId="526" applyFont="1" applyFill="1" applyBorder="1" applyAlignment="1" applyProtection="1">
      <alignment horizontal="center"/>
    </xf>
    <xf numFmtId="41" fontId="119" fillId="29" borderId="145" xfId="526" applyFont="1" applyFill="1" applyBorder="1" applyProtection="1">
      <protection locked="0"/>
    </xf>
    <xf numFmtId="41" fontId="119" fillId="35" borderId="145" xfId="526" applyFont="1" applyFill="1" applyBorder="1" applyProtection="1">
      <protection locked="0"/>
    </xf>
    <xf numFmtId="186" fontId="23" fillId="0" borderId="0" xfId="0" applyNumberFormat="1" applyFont="1" applyAlignment="1">
      <alignment horizontal="center" vertical="center"/>
    </xf>
    <xf numFmtId="41" fontId="119" fillId="0" borderId="0" xfId="1" applyFont="1" applyFill="1" applyBorder="1" applyAlignment="1" applyProtection="1"/>
    <xf numFmtId="0" fontId="9" fillId="5" borderId="28" xfId="0" applyFont="1" applyFill="1" applyBorder="1" applyAlignment="1">
      <alignment horizontal="center" vertical="center"/>
    </xf>
    <xf numFmtId="41" fontId="128" fillId="0" borderId="167" xfId="1" applyFont="1" applyFill="1" applyBorder="1" applyAlignment="1" applyProtection="1">
      <alignment horizontal="right" vertical="center" wrapText="1"/>
    </xf>
    <xf numFmtId="0" fontId="128" fillId="0" borderId="166" xfId="0" applyFont="1" applyBorder="1" applyAlignment="1">
      <alignment vertical="center" wrapText="1"/>
    </xf>
    <xf numFmtId="41" fontId="128" fillId="0" borderId="169" xfId="1" applyFont="1" applyFill="1" applyBorder="1" applyAlignment="1" applyProtection="1">
      <alignment horizontal="right" vertical="center" wrapText="1"/>
    </xf>
    <xf numFmtId="0" fontId="128" fillId="0" borderId="154" xfId="0" applyFont="1" applyBorder="1" applyAlignment="1">
      <alignment vertical="center" wrapText="1"/>
    </xf>
    <xf numFmtId="0" fontId="128" fillId="0" borderId="2" xfId="0" applyFont="1" applyBorder="1" applyAlignment="1">
      <alignment horizontal="center" vertical="center" wrapText="1"/>
    </xf>
    <xf numFmtId="0" fontId="128" fillId="0" borderId="0" xfId="0" applyFont="1" applyAlignment="1">
      <alignment horizontal="center" vertical="center" wrapText="1"/>
    </xf>
    <xf numFmtId="41" fontId="128" fillId="0" borderId="2" xfId="1" applyFont="1" applyFill="1" applyBorder="1" applyAlignment="1" applyProtection="1">
      <alignment horizontal="right" vertical="center" wrapText="1"/>
    </xf>
    <xf numFmtId="41" fontId="128" fillId="0" borderId="0" xfId="1" applyFont="1" applyFill="1" applyBorder="1" applyAlignment="1" applyProtection="1">
      <alignment horizontal="right" vertical="center" wrapText="1"/>
    </xf>
    <xf numFmtId="43" fontId="128" fillId="0" borderId="0" xfId="1" applyNumberFormat="1" applyFont="1" applyFill="1" applyBorder="1" applyAlignment="1" applyProtection="1">
      <alignment horizontal="right" vertical="center" wrapText="1"/>
    </xf>
    <xf numFmtId="186" fontId="2" fillId="0" borderId="143" xfId="1" applyNumberFormat="1" applyFont="1" applyFill="1" applyBorder="1" applyAlignment="1" applyProtection="1">
      <alignment horizontal="center" vertical="center"/>
    </xf>
    <xf numFmtId="186" fontId="2" fillId="0" borderId="170" xfId="1" applyNumberFormat="1" applyFont="1" applyFill="1" applyBorder="1" applyAlignment="1" applyProtection="1">
      <alignment horizontal="center" vertical="center"/>
    </xf>
    <xf numFmtId="41" fontId="128" fillId="5" borderId="143" xfId="1" applyFont="1" applyFill="1" applyBorder="1" applyAlignment="1" applyProtection="1">
      <alignment horizontal="right" vertical="center" wrapText="1"/>
    </xf>
    <xf numFmtId="41" fontId="128" fillId="5" borderId="170" xfId="1" applyFont="1" applyFill="1" applyBorder="1" applyAlignment="1" applyProtection="1">
      <alignment horizontal="right" vertical="center" wrapText="1"/>
    </xf>
    <xf numFmtId="41" fontId="9" fillId="0" borderId="122" xfId="0" applyNumberFormat="1" applyFont="1" applyBorder="1" applyAlignment="1">
      <alignment horizontal="right" vertical="center"/>
    </xf>
    <xf numFmtId="41" fontId="9" fillId="0" borderId="123" xfId="0" applyNumberFormat="1" applyFont="1" applyBorder="1" applyAlignment="1">
      <alignment horizontal="right" vertical="center"/>
    </xf>
    <xf numFmtId="0" fontId="9" fillId="0" borderId="170" xfId="0" applyFont="1" applyBorder="1" applyAlignment="1">
      <alignment horizontal="center" vertical="center"/>
    </xf>
    <xf numFmtId="41" fontId="9" fillId="0" borderId="8" xfId="0" applyNumberFormat="1" applyFont="1" applyBorder="1">
      <alignment vertical="center"/>
    </xf>
    <xf numFmtId="41" fontId="9" fillId="0" borderId="131" xfId="0" applyNumberFormat="1" applyFont="1" applyBorder="1">
      <alignment vertical="center"/>
    </xf>
    <xf numFmtId="41" fontId="9" fillId="0" borderId="8" xfId="0" applyNumberFormat="1" applyFont="1" applyBorder="1" applyAlignment="1">
      <alignment horizontal="right" vertical="center"/>
    </xf>
    <xf numFmtId="41" fontId="9" fillId="0" borderId="131" xfId="0" applyNumberFormat="1" applyFont="1" applyBorder="1" applyAlignment="1">
      <alignment horizontal="right" vertical="center"/>
    </xf>
    <xf numFmtId="10" fontId="9" fillId="0" borderId="8" xfId="0" applyNumberFormat="1" applyFont="1" applyBorder="1" applyAlignment="1">
      <alignment horizontal="right" vertical="center"/>
    </xf>
    <xf numFmtId="10" fontId="9" fillId="0" borderId="131" xfId="0" applyNumberFormat="1" applyFont="1" applyBorder="1" applyAlignment="1">
      <alignment horizontal="right" vertical="center"/>
    </xf>
    <xf numFmtId="0" fontId="9" fillId="0" borderId="30" xfId="0" applyFont="1" applyBorder="1" applyAlignment="1">
      <alignment horizontal="center" vertical="center"/>
    </xf>
    <xf numFmtId="10" fontId="9" fillId="0" borderId="31" xfId="0" applyNumberFormat="1" applyFont="1" applyBorder="1" applyAlignment="1">
      <alignment horizontal="right" vertical="center"/>
    </xf>
    <xf numFmtId="0" fontId="127" fillId="0" borderId="137" xfId="0" applyFont="1" applyBorder="1" applyAlignment="1">
      <alignment horizontal="center" vertical="center" wrapText="1"/>
    </xf>
    <xf numFmtId="3" fontId="127" fillId="0" borderId="172" xfId="0" applyNumberFormat="1" applyFont="1" applyBorder="1" applyAlignment="1">
      <alignment horizontal="center" vertical="center" wrapText="1"/>
    </xf>
    <xf numFmtId="0" fontId="127" fillId="0" borderId="143" xfId="0" applyFont="1" applyBorder="1" applyAlignment="1">
      <alignment horizontal="center" vertical="center" wrapText="1"/>
    </xf>
    <xf numFmtId="3" fontId="127" fillId="0" borderId="143" xfId="0" applyNumberFormat="1" applyFont="1" applyBorder="1" applyAlignment="1">
      <alignment horizontal="center" vertical="center" wrapText="1"/>
    </xf>
    <xf numFmtId="0" fontId="127" fillId="0" borderId="138" xfId="0" applyFont="1" applyBorder="1" applyAlignment="1">
      <alignment horizontal="center" vertical="center" wrapText="1"/>
    </xf>
    <xf numFmtId="3" fontId="127" fillId="0" borderId="139" xfId="0" applyNumberFormat="1" applyFont="1" applyBorder="1" applyAlignment="1">
      <alignment horizontal="center" vertical="center" wrapText="1"/>
    </xf>
    <xf numFmtId="0" fontId="127" fillId="0" borderId="170" xfId="0" applyFont="1" applyBorder="1" applyAlignment="1">
      <alignment horizontal="center" vertical="center" wrapText="1"/>
    </xf>
    <xf numFmtId="3" fontId="127" fillId="0" borderId="170" xfId="0" applyNumberFormat="1" applyFont="1" applyBorder="1" applyAlignment="1">
      <alignment horizontal="center" vertical="center" wrapText="1"/>
    </xf>
    <xf numFmtId="3" fontId="127" fillId="0" borderId="156" xfId="0" applyNumberFormat="1" applyFont="1" applyBorder="1" applyAlignment="1">
      <alignment horizontal="center" vertical="center" wrapText="1"/>
    </xf>
    <xf numFmtId="0" fontId="127" fillId="0" borderId="30" xfId="0" applyFont="1" applyBorder="1" applyAlignment="1">
      <alignment horizontal="center" vertical="center" wrapText="1"/>
    </xf>
    <xf numFmtId="0" fontId="127" fillId="0" borderId="13" xfId="0" applyFont="1" applyBorder="1" applyAlignment="1">
      <alignment horizontal="center" vertical="center" wrapText="1"/>
    </xf>
    <xf numFmtId="0" fontId="9" fillId="0" borderId="23" xfId="0" applyFont="1" applyBorder="1" applyAlignment="1">
      <alignment horizontal="center" vertical="center"/>
    </xf>
    <xf numFmtId="186" fontId="9" fillId="0" borderId="143" xfId="0" applyNumberFormat="1" applyFont="1" applyBorder="1" applyAlignment="1">
      <alignment horizontal="center" vertical="center"/>
    </xf>
    <xf numFmtId="200" fontId="9" fillId="0" borderId="143" xfId="1" applyNumberFormat="1" applyFont="1" applyBorder="1" applyAlignment="1" applyProtection="1">
      <alignment horizontal="center" vertical="center"/>
    </xf>
    <xf numFmtId="10" fontId="9" fillId="0" borderId="143" xfId="0" applyNumberFormat="1" applyFont="1" applyBorder="1" applyAlignment="1">
      <alignment horizontal="center" vertical="center"/>
    </xf>
    <xf numFmtId="10" fontId="9" fillId="0" borderId="143" xfId="0" applyNumberFormat="1" applyFont="1" applyBorder="1">
      <alignment vertical="center"/>
    </xf>
    <xf numFmtId="10" fontId="9" fillId="0" borderId="155" xfId="0" applyNumberFormat="1" applyFont="1" applyBorder="1">
      <alignment vertical="center"/>
    </xf>
    <xf numFmtId="186" fontId="9" fillId="0" borderId="170" xfId="0" applyNumberFormat="1" applyFont="1" applyBorder="1" applyAlignment="1">
      <alignment horizontal="center" vertical="center"/>
    </xf>
    <xf numFmtId="200" fontId="9" fillId="0" borderId="170" xfId="1" applyNumberFormat="1" applyFont="1" applyBorder="1" applyAlignment="1" applyProtection="1">
      <alignment horizontal="center" vertical="center"/>
    </xf>
    <xf numFmtId="10" fontId="9" fillId="0" borderId="170" xfId="0" applyNumberFormat="1" applyFont="1" applyBorder="1" applyAlignment="1">
      <alignment horizontal="center" vertical="center"/>
    </xf>
    <xf numFmtId="10" fontId="9" fillId="0" borderId="170" xfId="0" applyNumberFormat="1" applyFont="1" applyBorder="1">
      <alignment vertical="center"/>
    </xf>
    <xf numFmtId="10" fontId="9" fillId="0" borderId="131" xfId="0" applyNumberFormat="1" applyFont="1" applyBorder="1">
      <alignment vertical="center"/>
    </xf>
    <xf numFmtId="3" fontId="127" fillId="21" borderId="42" xfId="0" applyNumberFormat="1" applyFont="1" applyFill="1" applyBorder="1" applyAlignment="1">
      <alignment horizontal="center" vertical="center" wrapText="1"/>
    </xf>
    <xf numFmtId="186" fontId="9" fillId="0" borderId="30" xfId="0" applyNumberFormat="1" applyFont="1" applyBorder="1" applyAlignment="1">
      <alignment horizontal="center" vertical="center"/>
    </xf>
    <xf numFmtId="200" fontId="9" fillId="0" borderId="30" xfId="1" applyNumberFormat="1" applyFont="1" applyBorder="1" applyAlignment="1" applyProtection="1">
      <alignment horizontal="center" vertical="center"/>
    </xf>
    <xf numFmtId="10" fontId="9" fillId="0" borderId="30" xfId="0" applyNumberFormat="1" applyFont="1" applyBorder="1" applyAlignment="1">
      <alignment horizontal="center" vertical="center"/>
    </xf>
    <xf numFmtId="10" fontId="9" fillId="0" borderId="30" xfId="0" applyNumberFormat="1" applyFont="1" applyBorder="1">
      <alignment vertical="center"/>
    </xf>
    <xf numFmtId="10" fontId="9" fillId="0" borderId="31" xfId="0" applyNumberFormat="1" applyFont="1" applyBorder="1">
      <alignment vertical="center"/>
    </xf>
    <xf numFmtId="0" fontId="0" fillId="0" borderId="137" xfId="0" applyBorder="1" applyAlignment="1">
      <alignment horizontal="center" vertical="center"/>
    </xf>
    <xf numFmtId="319" fontId="0" fillId="0" borderId="143" xfId="0" applyNumberFormat="1" applyBorder="1" applyAlignment="1">
      <alignment horizontal="center" vertical="center"/>
    </xf>
    <xf numFmtId="319" fontId="0" fillId="0" borderId="155" xfId="0" applyNumberFormat="1" applyBorder="1" applyAlignment="1">
      <alignment horizontal="center" vertical="center"/>
    </xf>
    <xf numFmtId="41" fontId="0" fillId="0" borderId="155" xfId="1" applyFont="1" applyBorder="1" applyAlignment="1" applyProtection="1">
      <alignment horizontal="center" vertical="center"/>
    </xf>
    <xf numFmtId="0" fontId="0" fillId="0" borderId="138" xfId="0" applyBorder="1" applyAlignment="1">
      <alignment horizontal="center" vertical="center"/>
    </xf>
    <xf numFmtId="319" fontId="0" fillId="0" borderId="170" xfId="0" applyNumberFormat="1" applyBorder="1" applyAlignment="1">
      <alignment horizontal="center" vertical="center"/>
    </xf>
    <xf numFmtId="319" fontId="0" fillId="0" borderId="131" xfId="0" applyNumberFormat="1" applyBorder="1" applyAlignment="1">
      <alignment horizontal="center" vertical="center"/>
    </xf>
    <xf numFmtId="41" fontId="0" fillId="0" borderId="170" xfId="1" applyFont="1" applyBorder="1" applyAlignment="1" applyProtection="1">
      <alignment horizontal="center" vertical="center"/>
    </xf>
    <xf numFmtId="41" fontId="0" fillId="0" borderId="131" xfId="1" applyFont="1" applyBorder="1" applyAlignment="1" applyProtection="1">
      <alignment horizontal="center" vertical="center"/>
    </xf>
    <xf numFmtId="0" fontId="0" fillId="0" borderId="42" xfId="0" applyBorder="1" applyAlignment="1">
      <alignment horizontal="center" vertical="center"/>
    </xf>
    <xf numFmtId="319" fontId="0" fillId="0" borderId="30" xfId="0" applyNumberFormat="1" applyBorder="1" applyAlignment="1">
      <alignment horizontal="center" vertical="center"/>
    </xf>
    <xf numFmtId="319" fontId="0" fillId="0" borderId="31" xfId="0" applyNumberFormat="1" applyBorder="1" applyAlignment="1">
      <alignment horizontal="center" vertical="center"/>
    </xf>
    <xf numFmtId="41" fontId="0" fillId="0" borderId="30" xfId="1" applyFont="1" applyBorder="1" applyAlignment="1" applyProtection="1">
      <alignment horizontal="center" vertical="center"/>
    </xf>
    <xf numFmtId="41" fontId="0" fillId="0" borderId="31" xfId="1" applyFont="1" applyBorder="1" applyAlignment="1" applyProtection="1">
      <alignment horizontal="center" vertical="center"/>
    </xf>
    <xf numFmtId="0" fontId="0" fillId="0" borderId="126" xfId="0" applyBorder="1" applyAlignment="1">
      <alignment horizontal="center" vertical="center"/>
    </xf>
    <xf numFmtId="0" fontId="0" fillId="0" borderId="114" xfId="0" applyBorder="1" applyAlignment="1">
      <alignment horizontal="center" vertical="center"/>
    </xf>
    <xf numFmtId="41" fontId="0" fillId="0" borderId="122" xfId="1" applyFont="1" applyBorder="1" applyProtection="1">
      <alignment vertical="center"/>
    </xf>
    <xf numFmtId="41" fontId="0" fillId="0" borderId="140" xfId="1" applyFont="1" applyBorder="1" applyProtection="1">
      <alignment vertical="center"/>
    </xf>
    <xf numFmtId="9" fontId="0" fillId="0" borderId="173" xfId="0" applyNumberFormat="1" applyBorder="1">
      <alignment vertical="center"/>
    </xf>
    <xf numFmtId="41" fontId="7" fillId="7" borderId="149" xfId="1" applyFont="1" applyFill="1" applyBorder="1" applyProtection="1">
      <alignment vertical="center"/>
    </xf>
    <xf numFmtId="41" fontId="0" fillId="0" borderId="123" xfId="1" applyFont="1" applyBorder="1" applyProtection="1">
      <alignment vertical="center"/>
    </xf>
    <xf numFmtId="0" fontId="0" fillId="0" borderId="20" xfId="0" applyBorder="1" applyAlignment="1">
      <alignment horizontal="center" vertical="center"/>
    </xf>
    <xf numFmtId="41" fontId="0" fillId="0" borderId="8" xfId="1" applyFont="1" applyBorder="1" applyProtection="1">
      <alignment vertical="center"/>
    </xf>
    <xf numFmtId="41" fontId="0" fillId="0" borderId="139" xfId="1" applyFont="1" applyBorder="1" applyProtection="1">
      <alignment vertical="center"/>
    </xf>
    <xf numFmtId="9" fontId="0" fillId="0" borderId="171" xfId="0" applyNumberFormat="1" applyBorder="1">
      <alignment vertical="center"/>
    </xf>
    <xf numFmtId="41" fontId="7" fillId="7" borderId="174" xfId="1" applyFont="1" applyFill="1" applyBorder="1" applyProtection="1">
      <alignment vertical="center"/>
    </xf>
    <xf numFmtId="41" fontId="0" fillId="0" borderId="131" xfId="1" applyFont="1" applyBorder="1" applyProtection="1">
      <alignment vertical="center"/>
    </xf>
    <xf numFmtId="9" fontId="0" fillId="0" borderId="171" xfId="0" applyNumberFormat="1" applyBorder="1" applyProtection="1">
      <alignment vertical="center"/>
      <protection locked="0"/>
    </xf>
    <xf numFmtId="0" fontId="0" fillId="30" borderId="20" xfId="0" applyFill="1" applyBorder="1" applyAlignment="1">
      <alignment horizontal="center" vertical="center"/>
    </xf>
    <xf numFmtId="41" fontId="0" fillId="30" borderId="8" xfId="1" applyFont="1" applyFill="1" applyBorder="1" applyProtection="1">
      <alignment vertical="center"/>
    </xf>
    <xf numFmtId="41" fontId="0" fillId="30" borderId="139" xfId="1" applyFont="1" applyFill="1" applyBorder="1" applyProtection="1">
      <alignment vertical="center"/>
    </xf>
    <xf numFmtId="9" fontId="0" fillId="30" borderId="171" xfId="0" applyNumberFormat="1" applyFill="1" applyBorder="1">
      <alignment vertical="center"/>
    </xf>
    <xf numFmtId="41" fontId="7" fillId="30" borderId="174" xfId="1" applyFont="1" applyFill="1" applyBorder="1" applyProtection="1">
      <alignment vertical="center"/>
    </xf>
    <xf numFmtId="41" fontId="0" fillId="30" borderId="131" xfId="1" applyFont="1" applyFill="1" applyBorder="1" applyProtection="1">
      <alignment vertical="center"/>
    </xf>
    <xf numFmtId="9" fontId="15" fillId="48" borderId="171" xfId="0" applyNumberFormat="1" applyFont="1" applyFill="1" applyBorder="1">
      <alignment vertical="center"/>
    </xf>
    <xf numFmtId="9" fontId="15" fillId="48" borderId="171" xfId="0" applyNumberFormat="1" applyFont="1" applyFill="1" applyBorder="1" applyProtection="1">
      <alignment vertical="center"/>
      <protection locked="0"/>
    </xf>
    <xf numFmtId="9" fontId="0" fillId="48" borderId="171" xfId="0" applyNumberFormat="1" applyFill="1" applyBorder="1" applyProtection="1">
      <alignment vertical="center"/>
      <protection locked="0"/>
    </xf>
    <xf numFmtId="0" fontId="0" fillId="35" borderId="20" xfId="0" applyFill="1" applyBorder="1" applyAlignment="1">
      <alignment horizontal="center" vertical="center"/>
    </xf>
    <xf numFmtId="41" fontId="0" fillId="35" borderId="138" xfId="1" applyFont="1" applyFill="1" applyBorder="1" applyProtection="1">
      <alignment vertical="center"/>
    </xf>
    <xf numFmtId="41" fontId="0" fillId="35" borderId="139" xfId="1" applyFont="1" applyFill="1" applyBorder="1" applyProtection="1">
      <alignment vertical="center"/>
    </xf>
    <xf numFmtId="41" fontId="0" fillId="35" borderId="171" xfId="1" applyFont="1" applyFill="1" applyBorder="1" applyProtection="1">
      <alignment vertical="center"/>
    </xf>
    <xf numFmtId="41" fontId="7" fillId="35" borderId="174" xfId="1" applyFont="1" applyFill="1" applyBorder="1" applyProtection="1">
      <alignment vertical="center"/>
    </xf>
    <xf numFmtId="41" fontId="0" fillId="35" borderId="8" xfId="1" applyFont="1" applyFill="1" applyBorder="1" applyProtection="1">
      <alignment vertical="center"/>
    </xf>
    <xf numFmtId="41" fontId="0" fillId="35" borderId="131" xfId="1" applyFont="1" applyFill="1" applyBorder="1" applyProtection="1">
      <alignment vertical="center"/>
    </xf>
    <xf numFmtId="0" fontId="0" fillId="0" borderId="12" xfId="0" applyBorder="1" applyAlignment="1">
      <alignment horizontal="center" vertical="center"/>
    </xf>
    <xf numFmtId="41" fontId="15" fillId="48" borderId="22" xfId="1" applyFont="1" applyFill="1" applyBorder="1" applyAlignment="1" applyProtection="1">
      <alignment horizontal="center" vertical="center"/>
    </xf>
    <xf numFmtId="0" fontId="9" fillId="0" borderId="116" xfId="0" applyFont="1" applyBorder="1" applyAlignment="1">
      <alignment horizontal="center" vertical="center"/>
    </xf>
    <xf numFmtId="0" fontId="2" fillId="0" borderId="140" xfId="3" applyBorder="1" applyAlignment="1">
      <alignment horizontal="center" vertical="center"/>
    </xf>
    <xf numFmtId="41" fontId="2" fillId="0" borderId="103" xfId="1" applyFont="1" applyFill="1" applyBorder="1" applyAlignment="1" applyProtection="1">
      <alignment horizontal="center" vertical="center"/>
    </xf>
    <xf numFmtId="298" fontId="9" fillId="0" borderId="142" xfId="2" applyNumberFormat="1" applyFont="1" applyFill="1" applyBorder="1" applyAlignment="1" applyProtection="1">
      <alignment horizontal="center" vertical="center"/>
    </xf>
    <xf numFmtId="0" fontId="2" fillId="0" borderId="139" xfId="3" applyBorder="1" applyAlignment="1">
      <alignment horizontal="center" vertical="center"/>
    </xf>
    <xf numFmtId="41" fontId="2" fillId="0" borderId="0" xfId="1" applyFont="1" applyFill="1" applyBorder="1" applyAlignment="1" applyProtection="1">
      <alignment horizontal="center" vertical="center"/>
    </xf>
    <xf numFmtId="298" fontId="9" fillId="0" borderId="44" xfId="2" applyNumberFormat="1" applyFont="1" applyFill="1" applyBorder="1" applyAlignment="1" applyProtection="1">
      <alignment horizontal="center" vertical="center"/>
    </xf>
    <xf numFmtId="0" fontId="2" fillId="0" borderId="156" xfId="3" applyBorder="1" applyAlignment="1">
      <alignment horizontal="center" vertical="center"/>
    </xf>
    <xf numFmtId="298" fontId="9" fillId="0" borderId="23" xfId="2" applyNumberFormat="1" applyFont="1" applyFill="1" applyBorder="1" applyAlignment="1" applyProtection="1">
      <alignment horizontal="center" vertical="center"/>
    </xf>
    <xf numFmtId="0" fontId="9" fillId="7" borderId="1" xfId="0" applyFont="1" applyFill="1" applyBorder="1" applyAlignment="1">
      <alignment horizontal="center" vertical="center"/>
    </xf>
    <xf numFmtId="0" fontId="9" fillId="7" borderId="7" xfId="0" applyFont="1" applyFill="1" applyBorder="1" applyAlignment="1">
      <alignment horizontal="center" vertical="center"/>
    </xf>
    <xf numFmtId="179" fontId="2" fillId="11" borderId="0" xfId="3" applyNumberFormat="1" applyFill="1" applyProtection="1">
      <alignment vertical="center"/>
      <protection locked="0"/>
    </xf>
    <xf numFmtId="176" fontId="9" fillId="2" borderId="44" xfId="0" applyNumberFormat="1" applyFont="1" applyFill="1" applyBorder="1">
      <alignment vertical="center"/>
    </xf>
    <xf numFmtId="0" fontId="9" fillId="7" borderId="12" xfId="0" applyFont="1" applyFill="1" applyBorder="1" applyAlignment="1">
      <alignment horizontal="center" vertical="center"/>
    </xf>
    <xf numFmtId="179" fontId="2" fillId="11" borderId="2" xfId="3" applyNumberFormat="1" applyFill="1" applyBorder="1" applyProtection="1">
      <alignment vertical="center"/>
      <protection locked="0"/>
    </xf>
    <xf numFmtId="176" fontId="9" fillId="0" borderId="2" xfId="0" applyNumberFormat="1" applyFont="1" applyBorder="1">
      <alignment vertical="center"/>
    </xf>
    <xf numFmtId="0" fontId="9" fillId="7" borderId="0" xfId="0" applyFont="1" applyFill="1" applyAlignment="1">
      <alignment horizontal="center" vertical="center"/>
    </xf>
    <xf numFmtId="177" fontId="9" fillId="11" borderId="0" xfId="0" applyNumberFormat="1" applyFont="1" applyFill="1" applyProtection="1">
      <alignment vertical="center"/>
      <protection locked="0"/>
    </xf>
    <xf numFmtId="176" fontId="9" fillId="0" borderId="0" xfId="0" applyNumberFormat="1" applyFont="1">
      <alignment vertical="center"/>
    </xf>
    <xf numFmtId="188" fontId="9" fillId="11" borderId="0" xfId="0" applyNumberFormat="1" applyFont="1" applyFill="1" applyAlignment="1" applyProtection="1">
      <alignment horizontal="center" vertical="center"/>
      <protection locked="0"/>
    </xf>
    <xf numFmtId="189" fontId="9" fillId="11" borderId="44" xfId="0" applyNumberFormat="1" applyFont="1" applyFill="1" applyBorder="1" applyAlignment="1" applyProtection="1">
      <alignment horizontal="center" vertical="center"/>
      <protection locked="0"/>
    </xf>
    <xf numFmtId="179" fontId="9" fillId="2" borderId="0" xfId="0" applyNumberFormat="1" applyFont="1" applyFill="1">
      <alignment vertical="center"/>
    </xf>
    <xf numFmtId="176" fontId="9" fillId="2" borderId="0" xfId="0" applyNumberFormat="1" applyFont="1" applyFill="1">
      <alignment vertical="center"/>
    </xf>
    <xf numFmtId="0" fontId="9" fillId="7" borderId="0" xfId="0" applyFont="1" applyFill="1" applyAlignment="1">
      <alignment horizontal="center" vertical="center" wrapText="1"/>
    </xf>
    <xf numFmtId="193" fontId="9" fillId="11" borderId="13" xfId="0" applyNumberFormat="1" applyFont="1" applyFill="1" applyBorder="1" applyAlignment="1">
      <alignment horizontal="center" vertical="center"/>
    </xf>
    <xf numFmtId="0" fontId="9" fillId="7" borderId="13" xfId="0" applyFont="1" applyFill="1" applyBorder="1" applyAlignment="1">
      <alignment horizontal="center" vertical="center"/>
    </xf>
    <xf numFmtId="181" fontId="9" fillId="0" borderId="44" xfId="0" applyNumberFormat="1" applyFont="1" applyBorder="1" applyAlignment="1">
      <alignment horizontal="center" vertical="center"/>
    </xf>
    <xf numFmtId="190" fontId="9" fillId="11" borderId="0" xfId="0" applyNumberFormat="1" applyFont="1" applyFill="1" applyAlignment="1" applyProtection="1">
      <alignment horizontal="center" vertical="center"/>
      <protection locked="0"/>
    </xf>
    <xf numFmtId="192" fontId="9" fillId="2" borderId="0" xfId="0" applyNumberFormat="1" applyFont="1" applyFill="1" applyAlignment="1">
      <alignment horizontal="center" vertical="center"/>
    </xf>
    <xf numFmtId="0" fontId="9" fillId="7" borderId="7" xfId="0" applyFont="1" applyFill="1" applyBorder="1" applyAlignment="1">
      <alignment horizontal="center" vertical="center" wrapText="1"/>
    </xf>
    <xf numFmtId="311" fontId="9" fillId="0" borderId="44" xfId="0" applyNumberFormat="1" applyFont="1" applyBorder="1" applyAlignment="1">
      <alignment horizontal="left" vertical="center"/>
    </xf>
    <xf numFmtId="0" fontId="9" fillId="7" borderId="12" xfId="0" applyFont="1" applyFill="1" applyBorder="1" applyAlignment="1">
      <alignment horizontal="center" vertical="center" wrapText="1"/>
    </xf>
    <xf numFmtId="190" fontId="9" fillId="0" borderId="13" xfId="0" applyNumberFormat="1" applyFont="1" applyBorder="1" applyAlignment="1">
      <alignment horizontal="center" vertical="center"/>
    </xf>
    <xf numFmtId="192" fontId="9" fillId="2" borderId="13" xfId="0" applyNumberFormat="1" applyFont="1" applyFill="1" applyBorder="1" applyAlignment="1">
      <alignment horizontal="center" vertical="center"/>
    </xf>
    <xf numFmtId="311" fontId="9" fillId="0" borderId="23" xfId="0" applyNumberFormat="1" applyFont="1" applyBorder="1" applyAlignment="1">
      <alignment horizontal="left" vertical="center"/>
    </xf>
    <xf numFmtId="200" fontId="9" fillId="11" borderId="18" xfId="0" applyNumberFormat="1" applyFont="1" applyFill="1" applyBorder="1" applyAlignment="1" applyProtection="1">
      <alignment horizontal="center" vertical="center" wrapText="1"/>
      <protection locked="0"/>
    </xf>
    <xf numFmtId="200" fontId="9" fillId="11" borderId="44" xfId="0" applyNumberFormat="1" applyFont="1" applyFill="1" applyBorder="1" applyAlignment="1" applyProtection="1">
      <alignment horizontal="center" vertical="center" wrapText="1"/>
      <protection locked="0"/>
    </xf>
    <xf numFmtId="3" fontId="127" fillId="19" borderId="0" xfId="0" applyNumberFormat="1" applyFont="1" applyFill="1" applyAlignment="1">
      <alignment horizontal="center" vertical="center" wrapText="1"/>
    </xf>
    <xf numFmtId="9" fontId="9" fillId="11" borderId="44" xfId="0" applyNumberFormat="1" applyFont="1" applyFill="1" applyBorder="1" applyAlignment="1" applyProtection="1">
      <alignment horizontal="center" vertical="center" wrapText="1"/>
      <protection locked="0"/>
    </xf>
    <xf numFmtId="0" fontId="9" fillId="2" borderId="1" xfId="0" applyFont="1" applyFill="1" applyBorder="1" applyAlignment="1">
      <alignment horizontal="center" vertical="center"/>
    </xf>
    <xf numFmtId="0" fontId="9" fillId="2" borderId="7" xfId="0" applyFont="1" applyFill="1" applyBorder="1" applyAlignment="1">
      <alignment horizontal="center" vertical="center"/>
    </xf>
    <xf numFmtId="0" fontId="9" fillId="2" borderId="12" xfId="0" applyFont="1" applyFill="1" applyBorder="1" applyAlignment="1">
      <alignment horizontal="center" vertical="center"/>
    </xf>
    <xf numFmtId="14" fontId="9" fillId="11" borderId="13" xfId="0" applyNumberFormat="1" applyFont="1" applyFill="1" applyBorder="1" applyAlignment="1" applyProtection="1">
      <alignment horizontal="center" vertical="center"/>
      <protection locked="0"/>
    </xf>
    <xf numFmtId="0" fontId="9" fillId="2" borderId="13" xfId="0" applyFont="1" applyFill="1" applyBorder="1" applyAlignment="1">
      <alignment horizontal="center" vertical="center"/>
    </xf>
    <xf numFmtId="14" fontId="9" fillId="11" borderId="23" xfId="0" applyNumberFormat="1" applyFont="1" applyFill="1" applyBorder="1" applyAlignment="1" applyProtection="1">
      <alignment horizontal="center" vertical="center"/>
      <protection locked="0"/>
    </xf>
    <xf numFmtId="41" fontId="0" fillId="0" borderId="2" xfId="0" applyNumberFormat="1" applyBorder="1" applyAlignment="1">
      <alignment horizontal="right" vertical="center"/>
    </xf>
    <xf numFmtId="233" fontId="0" fillId="0" borderId="18" xfId="1" applyNumberFormat="1" applyFont="1" applyBorder="1" applyProtection="1">
      <alignment vertical="center"/>
    </xf>
    <xf numFmtId="41" fontId="0" fillId="0" borderId="0" xfId="0" applyNumberFormat="1" applyAlignment="1">
      <alignment horizontal="right" vertical="center"/>
    </xf>
    <xf numFmtId="233" fontId="0" fillId="0" borderId="44" xfId="1" applyNumberFormat="1" applyFont="1" applyBorder="1" applyProtection="1">
      <alignment vertical="center"/>
    </xf>
    <xf numFmtId="233" fontId="0" fillId="0" borderId="44" xfId="0" applyNumberFormat="1" applyBorder="1">
      <alignment vertical="center"/>
    </xf>
    <xf numFmtId="0" fontId="0" fillId="0" borderId="44" xfId="0" applyBorder="1">
      <alignment vertical="center"/>
    </xf>
    <xf numFmtId="0" fontId="0" fillId="4" borderId="0" xfId="0" applyFill="1">
      <alignment vertical="center"/>
    </xf>
    <xf numFmtId="0" fontId="9" fillId="5" borderId="14" xfId="0" applyFont="1" applyFill="1" applyBorder="1" applyAlignment="1">
      <alignment horizontal="center" vertical="center"/>
    </xf>
    <xf numFmtId="0" fontId="9" fillId="5" borderId="15" xfId="0" applyFont="1" applyFill="1" applyBorder="1" applyAlignment="1">
      <alignment horizontal="center" vertical="center"/>
    </xf>
    <xf numFmtId="0" fontId="9" fillId="5" borderId="115" xfId="0" applyFont="1" applyFill="1" applyBorder="1" applyAlignment="1">
      <alignment horizontal="center" vertical="center"/>
    </xf>
    <xf numFmtId="0" fontId="9" fillId="5" borderId="40" xfId="0" applyFont="1" applyFill="1" applyBorder="1" applyAlignment="1">
      <alignment horizontal="center" vertical="center"/>
    </xf>
    <xf numFmtId="200" fontId="9" fillId="5" borderId="103" xfId="0" applyNumberFormat="1" applyFont="1" applyFill="1" applyBorder="1" applyAlignment="1">
      <alignment horizontal="center" vertical="center"/>
    </xf>
    <xf numFmtId="304" fontId="9" fillId="4" borderId="170" xfId="0" applyNumberFormat="1" applyFont="1" applyFill="1" applyBorder="1" applyAlignment="1">
      <alignment horizontal="center" vertical="center"/>
    </xf>
    <xf numFmtId="41" fontId="9" fillId="4" borderId="8" xfId="0" applyNumberFormat="1" applyFont="1" applyFill="1" applyBorder="1" applyAlignment="1">
      <alignment horizontal="right" vertical="center"/>
    </xf>
    <xf numFmtId="41" fontId="9" fillId="4" borderId="131" xfId="0" applyNumberFormat="1" applyFont="1" applyFill="1" applyBorder="1" applyAlignment="1">
      <alignment horizontal="right" vertical="center"/>
    </xf>
    <xf numFmtId="0" fontId="9" fillId="5" borderId="7" xfId="0" applyFont="1" applyFill="1" applyBorder="1" applyAlignment="1">
      <alignment horizontal="center" vertical="center"/>
    </xf>
    <xf numFmtId="41" fontId="0" fillId="0" borderId="0" xfId="1" applyFont="1" applyBorder="1" applyAlignment="1" applyProtection="1">
      <alignment horizontal="center" vertical="center"/>
    </xf>
    <xf numFmtId="0" fontId="9" fillId="5" borderId="12" xfId="0" applyFont="1" applyFill="1" applyBorder="1" applyAlignment="1">
      <alignment horizontal="center" vertical="center"/>
    </xf>
    <xf numFmtId="41" fontId="0" fillId="0" borderId="13" xfId="1" applyFont="1" applyBorder="1" applyProtection="1">
      <alignment vertical="center"/>
    </xf>
    <xf numFmtId="9" fontId="0" fillId="0" borderId="23" xfId="0" applyNumberFormat="1" applyBorder="1" applyAlignment="1">
      <alignment horizontal="center" vertical="center"/>
    </xf>
    <xf numFmtId="0" fontId="0" fillId="0" borderId="23" xfId="0" applyBorder="1" applyAlignment="1">
      <alignment horizontal="center" vertical="center"/>
    </xf>
    <xf numFmtId="0" fontId="129" fillId="5" borderId="26" xfId="0" applyFont="1" applyFill="1" applyBorder="1">
      <alignment vertical="center"/>
    </xf>
    <xf numFmtId="41" fontId="0" fillId="5" borderId="5" xfId="1" applyFont="1" applyFill="1" applyBorder="1" applyAlignment="1" applyProtection="1">
      <alignment horizontal="center" vertical="center"/>
    </xf>
    <xf numFmtId="0" fontId="0" fillId="5" borderId="6" xfId="0" applyFill="1" applyBorder="1" applyAlignment="1">
      <alignment horizontal="center" vertical="center"/>
    </xf>
    <xf numFmtId="0" fontId="0" fillId="5" borderId="5" xfId="0" applyFill="1" applyBorder="1" applyAlignment="1">
      <alignment horizontal="center" vertical="center"/>
    </xf>
    <xf numFmtId="41" fontId="0" fillId="0" borderId="172" xfId="0" applyNumberFormat="1" applyBorder="1" applyAlignment="1">
      <alignment horizontal="center" vertical="center"/>
    </xf>
    <xf numFmtId="41" fontId="0" fillId="0" borderId="18" xfId="0" applyNumberFormat="1" applyBorder="1" applyAlignment="1">
      <alignment horizontal="center" vertical="center"/>
    </xf>
    <xf numFmtId="41" fontId="0" fillId="0" borderId="2" xfId="0" applyNumberFormat="1" applyBorder="1" applyAlignment="1">
      <alignment horizontal="center" vertical="center"/>
    </xf>
    <xf numFmtId="3" fontId="127" fillId="17" borderId="103" xfId="0" applyNumberFormat="1" applyFont="1" applyFill="1" applyBorder="1" applyAlignment="1">
      <alignment horizontal="center" vertical="center" wrapText="1"/>
    </xf>
    <xf numFmtId="200" fontId="9" fillId="11" borderId="142" xfId="0" applyNumberFormat="1" applyFont="1" applyFill="1" applyBorder="1" applyAlignment="1" applyProtection="1">
      <alignment horizontal="center" vertical="center" wrapText="1"/>
      <protection locked="0"/>
    </xf>
    <xf numFmtId="3" fontId="127" fillId="21" borderId="141" xfId="0" applyNumberFormat="1" applyFont="1" applyFill="1" applyBorder="1" applyAlignment="1">
      <alignment horizontal="center" vertical="center" wrapText="1"/>
    </xf>
    <xf numFmtId="200" fontId="9" fillId="11" borderId="39" xfId="0" applyNumberFormat="1" applyFont="1" applyFill="1" applyBorder="1" applyAlignment="1" applyProtection="1">
      <alignment horizontal="center" vertical="center" wrapText="1"/>
      <protection locked="0"/>
    </xf>
    <xf numFmtId="0" fontId="9" fillId="0" borderId="103" xfId="0" applyFont="1" applyBorder="1" applyAlignment="1">
      <alignment horizontal="center" vertical="center"/>
    </xf>
    <xf numFmtId="185" fontId="9" fillId="11" borderId="142" xfId="1" applyNumberFormat="1" applyFont="1" applyFill="1" applyBorder="1" applyAlignment="1" applyProtection="1">
      <alignment horizontal="center" vertical="center"/>
      <protection locked="0"/>
    </xf>
    <xf numFmtId="0" fontId="9" fillId="0" borderId="141" xfId="0" applyFont="1" applyBorder="1" applyAlignment="1">
      <alignment horizontal="center" vertical="center"/>
    </xf>
    <xf numFmtId="9" fontId="9" fillId="11" borderId="39" xfId="0" applyNumberFormat="1" applyFont="1" applyFill="1" applyBorder="1" applyAlignment="1" applyProtection="1">
      <alignment horizontal="center" vertical="center" wrapText="1"/>
      <protection locked="0"/>
    </xf>
    <xf numFmtId="200" fontId="9" fillId="0" borderId="114" xfId="0" applyNumberFormat="1" applyFont="1" applyBorder="1" applyAlignment="1" applyProtection="1">
      <alignment horizontal="center" vertical="center" wrapText="1"/>
      <protection locked="0"/>
    </xf>
    <xf numFmtId="41" fontId="9" fillId="16" borderId="123" xfId="1" applyFont="1" applyFill="1" applyBorder="1" applyAlignment="1" applyProtection="1">
      <alignment horizontal="center" vertical="center" wrapText="1"/>
    </xf>
    <xf numFmtId="200" fontId="127" fillId="16" borderId="16" xfId="2" applyNumberFormat="1" applyFont="1" applyFill="1" applyBorder="1" applyAlignment="1" applyProtection="1">
      <alignment horizontal="center" vertical="center" wrapText="1"/>
    </xf>
    <xf numFmtId="0" fontId="0" fillId="0" borderId="22" xfId="0" applyBorder="1" applyAlignment="1">
      <alignment horizontal="center" vertical="center"/>
    </xf>
    <xf numFmtId="289" fontId="0" fillId="0" borderId="0" xfId="0" applyNumberFormat="1" applyAlignment="1">
      <alignment horizontal="center" vertical="center"/>
    </xf>
    <xf numFmtId="287" fontId="9" fillId="26" borderId="110" xfId="0" applyNumberFormat="1" applyFont="1" applyFill="1" applyBorder="1" applyAlignment="1">
      <alignment horizontal="center" vertical="center"/>
    </xf>
    <xf numFmtId="177" fontId="9" fillId="0" borderId="141" xfId="0" applyNumberFormat="1" applyFont="1" applyBorder="1" applyAlignment="1">
      <alignment horizontal="center" vertical="center"/>
    </xf>
    <xf numFmtId="41" fontId="9" fillId="0" borderId="34" xfId="1" applyFont="1" applyFill="1" applyBorder="1" applyAlignment="1" applyProtection="1">
      <alignment horizontal="center" vertical="center"/>
    </xf>
    <xf numFmtId="179" fontId="9" fillId="0" borderId="19" xfId="0" applyNumberFormat="1" applyFont="1" applyBorder="1" applyAlignment="1">
      <alignment horizontal="center" vertical="center"/>
    </xf>
    <xf numFmtId="289" fontId="9" fillId="0" borderId="104" xfId="0" applyNumberFormat="1" applyFont="1" applyBorder="1" applyAlignment="1">
      <alignment horizontal="center" vertical="center"/>
    </xf>
    <xf numFmtId="0" fontId="7" fillId="7" borderId="134" xfId="0" applyFont="1" applyFill="1" applyBorder="1" applyAlignment="1">
      <alignment horizontal="center" vertical="center"/>
    </xf>
    <xf numFmtId="41" fontId="0" fillId="0" borderId="0" xfId="1" applyFont="1">
      <alignment vertical="center"/>
    </xf>
    <xf numFmtId="43" fontId="0" fillId="0" borderId="0" xfId="0" applyNumberFormat="1">
      <alignment vertical="center"/>
    </xf>
    <xf numFmtId="200" fontId="0" fillId="0" borderId="0" xfId="2" applyNumberFormat="1" applyFont="1">
      <alignment vertical="center"/>
    </xf>
    <xf numFmtId="0" fontId="9" fillId="7" borderId="4" xfId="0" applyFont="1" applyFill="1" applyBorder="1" applyAlignment="1">
      <alignment horizontal="center" vertical="center"/>
    </xf>
    <xf numFmtId="0" fontId="0" fillId="26" borderId="0" xfId="0" applyFill="1" applyAlignment="1">
      <alignment horizontal="center" vertical="center"/>
    </xf>
    <xf numFmtId="0" fontId="9" fillId="26" borderId="0" xfId="0" applyFont="1" applyFill="1" applyAlignment="1">
      <alignment horizontal="center" vertical="center"/>
    </xf>
    <xf numFmtId="233" fontId="0" fillId="0" borderId="0" xfId="1" applyNumberFormat="1" applyFont="1" applyBorder="1" applyProtection="1">
      <alignment vertical="center"/>
    </xf>
    <xf numFmtId="233" fontId="0" fillId="0" borderId="0" xfId="0" applyNumberFormat="1">
      <alignment vertical="center"/>
    </xf>
    <xf numFmtId="0" fontId="7" fillId="7" borderId="80" xfId="0" applyFont="1" applyFill="1" applyBorder="1" applyAlignment="1">
      <alignment horizontal="center" vertical="center"/>
    </xf>
    <xf numFmtId="41" fontId="0" fillId="0" borderId="176" xfId="1" applyFont="1" applyFill="1" applyBorder="1" applyAlignment="1" applyProtection="1">
      <alignment horizontal="center" vertical="center"/>
    </xf>
    <xf numFmtId="41" fontId="0" fillId="0" borderId="177" xfId="1" applyFont="1" applyFill="1" applyBorder="1" applyAlignment="1" applyProtection="1">
      <alignment horizontal="center" vertical="center"/>
    </xf>
    <xf numFmtId="41" fontId="0" fillId="11" borderId="177" xfId="1" applyFont="1" applyFill="1" applyBorder="1" applyAlignment="1" applyProtection="1">
      <alignment horizontal="center" vertical="center"/>
      <protection locked="0"/>
    </xf>
    <xf numFmtId="41" fontId="0" fillId="30" borderId="177" xfId="1" applyFont="1" applyFill="1" applyBorder="1" applyAlignment="1" applyProtection="1">
      <alignment horizontal="center" vertical="center"/>
    </xf>
    <xf numFmtId="41" fontId="0" fillId="2" borderId="177" xfId="1" applyFont="1" applyFill="1" applyBorder="1" applyAlignment="1" applyProtection="1">
      <alignment horizontal="center" vertical="center"/>
    </xf>
    <xf numFmtId="41" fontId="15" fillId="11" borderId="177" xfId="1" applyFont="1" applyFill="1" applyBorder="1" applyAlignment="1" applyProtection="1">
      <alignment horizontal="center" vertical="center"/>
      <protection locked="0"/>
    </xf>
    <xf numFmtId="41" fontId="15" fillId="0" borderId="177" xfId="1" applyFont="1" applyFill="1" applyBorder="1" applyAlignment="1" applyProtection="1">
      <alignment horizontal="center" vertical="center"/>
    </xf>
    <xf numFmtId="41" fontId="0" fillId="35" borderId="177" xfId="1" applyFont="1" applyFill="1" applyBorder="1" applyAlignment="1" applyProtection="1">
      <alignment horizontal="center" vertical="center"/>
    </xf>
    <xf numFmtId="0" fontId="7" fillId="7" borderId="118" xfId="0" applyFont="1" applyFill="1" applyBorder="1" applyAlignment="1">
      <alignment horizontal="center" vertical="center"/>
    </xf>
    <xf numFmtId="41" fontId="0" fillId="0" borderId="178" xfId="1" applyFont="1" applyFill="1" applyBorder="1" applyAlignment="1" applyProtection="1">
      <alignment horizontal="center" vertical="center"/>
    </xf>
    <xf numFmtId="41" fontId="0" fillId="0" borderId="179" xfId="1" applyFont="1" applyFill="1" applyBorder="1" applyAlignment="1" applyProtection="1">
      <alignment horizontal="center" vertical="center"/>
    </xf>
    <xf numFmtId="41" fontId="0" fillId="30" borderId="179" xfId="1" applyFont="1" applyFill="1" applyBorder="1" applyAlignment="1" applyProtection="1">
      <alignment horizontal="center" vertical="center"/>
    </xf>
    <xf numFmtId="41" fontId="0" fillId="2" borderId="179" xfId="1" applyFont="1" applyFill="1" applyBorder="1" applyAlignment="1" applyProtection="1">
      <alignment horizontal="center" vertical="center"/>
    </xf>
    <xf numFmtId="41" fontId="15" fillId="0" borderId="179" xfId="1" applyFont="1" applyFill="1" applyBorder="1" applyAlignment="1" applyProtection="1">
      <alignment horizontal="center" vertical="center"/>
    </xf>
    <xf numFmtId="41" fontId="0" fillId="0" borderId="75" xfId="1" applyFont="1" applyFill="1" applyBorder="1" applyAlignment="1" applyProtection="1">
      <alignment vertical="center"/>
    </xf>
    <xf numFmtId="41" fontId="0" fillId="0" borderId="125" xfId="1" applyFont="1" applyFill="1" applyBorder="1" applyAlignment="1" applyProtection="1">
      <alignment vertical="center"/>
    </xf>
    <xf numFmtId="41" fontId="0" fillId="11" borderId="67" xfId="1" applyFont="1" applyFill="1" applyBorder="1" applyAlignment="1" applyProtection="1">
      <alignment vertical="center"/>
      <protection locked="0"/>
    </xf>
    <xf numFmtId="41" fontId="0" fillId="30" borderId="67" xfId="1" applyFont="1" applyFill="1" applyBorder="1" applyAlignment="1" applyProtection="1">
      <alignment vertical="center"/>
    </xf>
    <xf numFmtId="41" fontId="0" fillId="2" borderId="67" xfId="1" applyFont="1" applyFill="1" applyBorder="1" applyAlignment="1" applyProtection="1">
      <alignment vertical="center"/>
    </xf>
    <xf numFmtId="41" fontId="0" fillId="0" borderId="67" xfId="1" applyFont="1" applyFill="1" applyBorder="1" applyAlignment="1" applyProtection="1">
      <alignment vertical="center"/>
    </xf>
    <xf numFmtId="41" fontId="0" fillId="11" borderId="125" xfId="1" applyFont="1" applyFill="1" applyBorder="1" applyAlignment="1" applyProtection="1">
      <alignment vertical="center"/>
      <protection locked="0"/>
    </xf>
    <xf numFmtId="41" fontId="15" fillId="11" borderId="67" xfId="1" applyFont="1" applyFill="1" applyBorder="1" applyAlignment="1" applyProtection="1">
      <alignment vertical="center"/>
      <protection locked="0"/>
    </xf>
    <xf numFmtId="41" fontId="15" fillId="0" borderId="67" xfId="1" applyFont="1" applyFill="1" applyBorder="1" applyAlignment="1" applyProtection="1">
      <alignment vertical="center"/>
    </xf>
    <xf numFmtId="41" fontId="0" fillId="35" borderId="125" xfId="1" applyFont="1" applyFill="1" applyBorder="1" applyAlignment="1" applyProtection="1">
      <alignment vertical="center"/>
    </xf>
    <xf numFmtId="41" fontId="18" fillId="0" borderId="125" xfId="1" applyFont="1" applyFill="1" applyBorder="1" applyAlignment="1" applyProtection="1">
      <alignment vertical="center"/>
    </xf>
    <xf numFmtId="10" fontId="18" fillId="0" borderId="180" xfId="2" applyNumberFormat="1" applyFont="1" applyFill="1" applyBorder="1" applyAlignment="1" applyProtection="1">
      <alignment vertical="center"/>
    </xf>
    <xf numFmtId="41" fontId="18" fillId="0" borderId="181" xfId="1" applyFont="1" applyFill="1" applyBorder="1" applyAlignment="1" applyProtection="1">
      <alignment horizontal="center" vertical="center"/>
    </xf>
    <xf numFmtId="10" fontId="18" fillId="0" borderId="182" xfId="2" applyNumberFormat="1" applyFont="1" applyFill="1" applyBorder="1" applyAlignment="1" applyProtection="1">
      <alignment horizontal="right" vertical="center"/>
    </xf>
    <xf numFmtId="41" fontId="0" fillId="35" borderId="179" xfId="1" applyFont="1" applyFill="1" applyBorder="1" applyAlignment="1" applyProtection="1">
      <alignment vertical="center"/>
    </xf>
    <xf numFmtId="0" fontId="154" fillId="0" borderId="0" xfId="0" applyFont="1">
      <alignment vertical="center"/>
    </xf>
    <xf numFmtId="0" fontId="0" fillId="0" borderId="27" xfId="0" applyBorder="1">
      <alignment vertical="center"/>
    </xf>
    <xf numFmtId="195" fontId="0" fillId="0" borderId="27" xfId="1" applyNumberFormat="1" applyFont="1" applyBorder="1">
      <alignment vertical="center"/>
    </xf>
    <xf numFmtId="43" fontId="0" fillId="0" borderId="27" xfId="0" applyNumberFormat="1" applyBorder="1">
      <alignment vertical="center"/>
    </xf>
    <xf numFmtId="195" fontId="0" fillId="0" borderId="27" xfId="0" applyNumberFormat="1" applyBorder="1">
      <alignment vertical="center"/>
    </xf>
    <xf numFmtId="200" fontId="0" fillId="0" borderId="27" xfId="2" applyNumberFormat="1" applyFont="1" applyBorder="1" applyAlignment="1">
      <alignment horizontal="center" vertical="center"/>
    </xf>
    <xf numFmtId="200" fontId="0" fillId="0" borderId="27" xfId="2" applyNumberFormat="1" applyFont="1" applyBorder="1">
      <alignment vertical="center"/>
    </xf>
    <xf numFmtId="0" fontId="96" fillId="0" borderId="27" xfId="0" applyFont="1" applyBorder="1">
      <alignment vertical="center"/>
    </xf>
    <xf numFmtId="0" fontId="130" fillId="0" borderId="27" xfId="0" applyFont="1" applyBorder="1">
      <alignment vertical="center"/>
    </xf>
    <xf numFmtId="41" fontId="0" fillId="0" borderId="27" xfId="0" applyNumberFormat="1" applyBorder="1">
      <alignment vertical="center"/>
    </xf>
    <xf numFmtId="324" fontId="0" fillId="0" borderId="27" xfId="0" applyNumberFormat="1" applyBorder="1">
      <alignment vertical="center"/>
    </xf>
    <xf numFmtId="38" fontId="0" fillId="0" borderId="27" xfId="1" applyNumberFormat="1" applyFont="1" applyBorder="1">
      <alignment vertical="center"/>
    </xf>
    <xf numFmtId="0" fontId="0" fillId="0" borderId="34" xfId="0" applyBorder="1" applyAlignment="1">
      <alignment horizontal="center" vertical="center"/>
    </xf>
    <xf numFmtId="0" fontId="0" fillId="0" borderId="34" xfId="0" applyBorder="1">
      <alignment vertical="center"/>
    </xf>
    <xf numFmtId="0" fontId="9" fillId="7" borderId="114" xfId="0" applyFont="1" applyFill="1" applyBorder="1" applyAlignment="1">
      <alignment horizontal="center" vertical="center"/>
    </xf>
    <xf numFmtId="289" fontId="9" fillId="0" borderId="116" xfId="0" applyNumberFormat="1" applyFont="1" applyBorder="1" applyAlignment="1">
      <alignment horizontal="center" vertical="center"/>
    </xf>
    <xf numFmtId="179" fontId="9" fillId="11" borderId="41" xfId="0" applyNumberFormat="1" applyFont="1" applyFill="1" applyBorder="1" applyAlignment="1" applyProtection="1">
      <alignment horizontal="center" vertical="center"/>
      <protection locked="0"/>
    </xf>
    <xf numFmtId="289" fontId="9" fillId="0" borderId="41" xfId="0" applyNumberFormat="1" applyFont="1" applyBorder="1" applyAlignment="1">
      <alignment horizontal="center" vertical="center"/>
    </xf>
    <xf numFmtId="289" fontId="9" fillId="0" borderId="114" xfId="0" applyNumberFormat="1" applyFont="1" applyBorder="1" applyAlignment="1">
      <alignment horizontal="center" vertical="center"/>
    </xf>
    <xf numFmtId="179" fontId="9" fillId="0" borderId="38" xfId="0" applyNumberFormat="1" applyFont="1" applyBorder="1" applyAlignment="1">
      <alignment horizontal="center" vertical="center"/>
    </xf>
    <xf numFmtId="289" fontId="9" fillId="0" borderId="22" xfId="0" applyNumberFormat="1" applyFont="1" applyBorder="1" applyAlignment="1">
      <alignment horizontal="center" vertical="center"/>
    </xf>
    <xf numFmtId="179" fontId="9" fillId="0" borderId="104" xfId="0" applyNumberFormat="1" applyFont="1" applyBorder="1" applyAlignment="1">
      <alignment horizontal="center" vertical="center"/>
    </xf>
    <xf numFmtId="0" fontId="0" fillId="36" borderId="27" xfId="0" applyFill="1" applyBorder="1" applyAlignment="1">
      <alignment horizontal="center" vertical="center"/>
    </xf>
    <xf numFmtId="43" fontId="0" fillId="36" borderId="27" xfId="0" applyNumberFormat="1" applyFill="1" applyBorder="1" applyAlignment="1">
      <alignment horizontal="center" vertical="center"/>
    </xf>
    <xf numFmtId="200" fontId="0" fillId="40" borderId="27" xfId="2" applyNumberFormat="1" applyFont="1" applyFill="1" applyBorder="1">
      <alignment vertical="center"/>
    </xf>
    <xf numFmtId="177" fontId="9" fillId="0" borderId="0" xfId="0" applyNumberFormat="1" applyFont="1" applyAlignment="1">
      <alignment horizontal="center" vertical="center"/>
    </xf>
    <xf numFmtId="185" fontId="9" fillId="26" borderId="110" xfId="0" applyNumberFormat="1" applyFont="1" applyFill="1" applyBorder="1" applyAlignment="1">
      <alignment horizontal="center" vertical="center"/>
    </xf>
    <xf numFmtId="186" fontId="9" fillId="0" borderId="141" xfId="0" applyNumberFormat="1" applyFont="1" applyBorder="1" applyAlignment="1">
      <alignment horizontal="center" vertical="center"/>
    </xf>
    <xf numFmtId="186" fontId="9" fillId="0" borderId="107" xfId="1" applyNumberFormat="1" applyFont="1" applyFill="1" applyBorder="1" applyAlignment="1" applyProtection="1">
      <alignment horizontal="center" vertical="center"/>
    </xf>
    <xf numFmtId="186" fontId="9" fillId="0" borderId="103" xfId="1" applyNumberFormat="1" applyFont="1" applyFill="1" applyBorder="1" applyAlignment="1" applyProtection="1">
      <alignment horizontal="center" vertical="center"/>
    </xf>
    <xf numFmtId="185" fontId="9" fillId="0" borderId="0" xfId="0" applyNumberFormat="1" applyFont="1" applyAlignment="1">
      <alignment horizontal="center" vertical="center"/>
    </xf>
    <xf numFmtId="307" fontId="9" fillId="11" borderId="16" xfId="0" applyNumberFormat="1" applyFont="1" applyFill="1" applyBorder="1" applyAlignment="1" applyProtection="1">
      <alignment horizontal="center" vertical="center"/>
      <protection locked="0"/>
    </xf>
    <xf numFmtId="181" fontId="9" fillId="0" borderId="116" xfId="0" applyNumberFormat="1" applyFont="1" applyBorder="1">
      <alignment vertical="center"/>
    </xf>
    <xf numFmtId="181" fontId="9" fillId="0" borderId="123" xfId="0" applyNumberFormat="1" applyFont="1" applyBorder="1">
      <alignment vertical="center"/>
    </xf>
    <xf numFmtId="10" fontId="0" fillId="11" borderId="0" xfId="0" applyNumberFormat="1" applyFill="1" applyAlignment="1" applyProtection="1">
      <alignment horizontal="center" vertical="center"/>
      <protection locked="0"/>
    </xf>
    <xf numFmtId="9" fontId="0" fillId="11" borderId="0" xfId="0" applyNumberFormat="1" applyFill="1" applyAlignment="1" applyProtection="1">
      <alignment horizontal="center" vertical="center"/>
      <protection locked="0"/>
    </xf>
    <xf numFmtId="200" fontId="0" fillId="11" borderId="0" xfId="0" applyNumberFormat="1" applyFill="1" applyAlignment="1" applyProtection="1">
      <alignment horizontal="center" vertical="center"/>
      <protection locked="0"/>
    </xf>
    <xf numFmtId="3" fontId="127" fillId="50" borderId="106" xfId="0" applyNumberFormat="1" applyFont="1" applyFill="1" applyBorder="1" applyAlignment="1">
      <alignment horizontal="center" vertical="center" wrapText="1"/>
    </xf>
    <xf numFmtId="41" fontId="124" fillId="38" borderId="187" xfId="526" applyFont="1" applyFill="1" applyBorder="1" applyProtection="1">
      <protection locked="0"/>
    </xf>
    <xf numFmtId="41" fontId="124" fillId="29" borderId="187" xfId="526" applyFont="1" applyFill="1" applyBorder="1" applyProtection="1">
      <protection locked="0"/>
    </xf>
    <xf numFmtId="41" fontId="124" fillId="35" borderId="187" xfId="526" applyFont="1" applyFill="1" applyBorder="1" applyProtection="1">
      <protection locked="0"/>
    </xf>
    <xf numFmtId="41" fontId="124" fillId="38" borderId="188" xfId="526" applyFont="1" applyFill="1" applyBorder="1" applyProtection="1">
      <protection locked="0"/>
    </xf>
    <xf numFmtId="41" fontId="124" fillId="29" borderId="188" xfId="526" applyFont="1" applyFill="1" applyBorder="1" applyProtection="1">
      <protection locked="0"/>
    </xf>
    <xf numFmtId="41" fontId="124" fillId="35" borderId="188" xfId="526" applyFont="1" applyFill="1" applyBorder="1" applyProtection="1">
      <protection locked="0"/>
    </xf>
    <xf numFmtId="41" fontId="124" fillId="51" borderId="144" xfId="526" applyFont="1" applyFill="1" applyBorder="1" applyProtection="1">
      <protection locked="0"/>
    </xf>
    <xf numFmtId="41" fontId="124" fillId="40" borderId="144" xfId="526" applyFont="1" applyFill="1" applyBorder="1" applyProtection="1">
      <protection locked="0"/>
    </xf>
    <xf numFmtId="41" fontId="124" fillId="53" borderId="144" xfId="526" applyFont="1" applyFill="1" applyBorder="1" applyProtection="1">
      <protection locked="0"/>
    </xf>
    <xf numFmtId="3" fontId="127" fillId="51" borderId="45" xfId="0" applyNumberFormat="1" applyFont="1" applyFill="1" applyBorder="1" applyAlignment="1">
      <alignment horizontal="center" vertical="center" wrapText="1"/>
    </xf>
    <xf numFmtId="3" fontId="127" fillId="51" borderId="106" xfId="0" applyNumberFormat="1" applyFont="1" applyFill="1" applyBorder="1" applyAlignment="1">
      <alignment horizontal="center" vertical="center" wrapText="1"/>
    </xf>
    <xf numFmtId="0" fontId="9" fillId="53" borderId="7" xfId="0" applyFont="1" applyFill="1" applyBorder="1" applyAlignment="1">
      <alignment horizontal="center" vertical="center"/>
    </xf>
    <xf numFmtId="0" fontId="9" fillId="0" borderId="109" xfId="0" applyFont="1" applyBorder="1" applyAlignment="1">
      <alignment horizontal="center" vertical="center"/>
    </xf>
    <xf numFmtId="0" fontId="9" fillId="0" borderId="14" xfId="0" applyFont="1" applyBorder="1">
      <alignment vertical="center"/>
    </xf>
    <xf numFmtId="3" fontId="127" fillId="52" borderId="137" xfId="0" applyNumberFormat="1" applyFont="1" applyFill="1" applyBorder="1" applyAlignment="1">
      <alignment horizontal="center" vertical="center" wrapText="1"/>
    </xf>
    <xf numFmtId="3" fontId="127" fillId="50" borderId="138" xfId="0" applyNumberFormat="1" applyFont="1" applyFill="1" applyBorder="1" applyAlignment="1">
      <alignment horizontal="center" vertical="center" wrapText="1"/>
    </xf>
    <xf numFmtId="41" fontId="124" fillId="0" borderId="0" xfId="548" applyNumberFormat="1" applyFont="1"/>
    <xf numFmtId="9" fontId="108" fillId="2" borderId="0" xfId="1" applyNumberFormat="1" applyFont="1" applyFill="1" applyBorder="1" applyAlignment="1" applyProtection="1"/>
    <xf numFmtId="41" fontId="108" fillId="3" borderId="0" xfId="1" applyFont="1" applyFill="1" applyBorder="1" applyAlignment="1" applyProtection="1"/>
    <xf numFmtId="0" fontId="1" fillId="0" borderId="52" xfId="0" applyFont="1" applyBorder="1" applyAlignment="1">
      <alignment horizontal="center" vertical="center"/>
    </xf>
    <xf numFmtId="0" fontId="0" fillId="0" borderId="13" xfId="0" applyBorder="1" applyAlignment="1">
      <alignment horizontal="center" vertical="center"/>
    </xf>
    <xf numFmtId="9" fontId="9" fillId="0" borderId="23" xfId="0" applyNumberFormat="1" applyFont="1" applyBorder="1" applyAlignment="1">
      <alignment horizontal="center" vertical="center" wrapText="1"/>
    </xf>
    <xf numFmtId="200" fontId="97" fillId="0" borderId="105" xfId="0" applyNumberFormat="1" applyFont="1" applyBorder="1" applyAlignment="1" applyProtection="1">
      <alignment horizontal="center" vertical="center"/>
      <protection locked="0"/>
    </xf>
    <xf numFmtId="200" fontId="9" fillId="0" borderId="15" xfId="2" applyNumberFormat="1" applyFont="1" applyBorder="1" applyAlignment="1" applyProtection="1">
      <alignment horizontal="center" vertical="center"/>
    </xf>
    <xf numFmtId="186" fontId="23" fillId="38" borderId="189" xfId="1" applyNumberFormat="1" applyFont="1" applyFill="1" applyBorder="1" applyProtection="1">
      <alignment vertical="center"/>
      <protection locked="0"/>
    </xf>
    <xf numFmtId="186" fontId="23" fillId="38" borderId="190" xfId="1" applyNumberFormat="1" applyFont="1" applyFill="1" applyBorder="1" applyProtection="1">
      <alignment vertical="center"/>
      <protection locked="0"/>
    </xf>
    <xf numFmtId="186" fontId="23" fillId="40" borderId="190" xfId="1" applyNumberFormat="1" applyFont="1" applyFill="1" applyBorder="1" applyProtection="1">
      <alignment vertical="center"/>
      <protection locked="0"/>
    </xf>
    <xf numFmtId="186" fontId="9" fillId="0" borderId="191" xfId="1" applyNumberFormat="1" applyFont="1" applyFill="1" applyBorder="1" applyProtection="1">
      <alignment vertical="center"/>
    </xf>
    <xf numFmtId="0" fontId="9" fillId="5" borderId="46" xfId="0" applyFont="1" applyFill="1" applyBorder="1" applyAlignment="1">
      <alignment horizontal="center" vertical="center"/>
    </xf>
    <xf numFmtId="41" fontId="156" fillId="5" borderId="192" xfId="1" applyFont="1" applyFill="1" applyBorder="1" applyAlignment="1" applyProtection="1">
      <alignment horizontal="right" vertical="center" wrapText="1"/>
    </xf>
    <xf numFmtId="0" fontId="6" fillId="0" borderId="0" xfId="0" applyFont="1" applyAlignment="1" applyProtection="1">
      <alignment horizontal="center" vertical="center"/>
      <protection locked="0"/>
    </xf>
    <xf numFmtId="309" fontId="9" fillId="11" borderId="14" xfId="0" applyNumberFormat="1" applyFont="1" applyFill="1" applyBorder="1" applyProtection="1">
      <alignment vertical="center"/>
      <protection locked="0"/>
    </xf>
    <xf numFmtId="309" fontId="9" fillId="0" borderId="14" xfId="0" applyNumberFormat="1" applyFont="1" applyBorder="1">
      <alignment vertical="center"/>
    </xf>
    <xf numFmtId="0" fontId="1" fillId="0" borderId="133" xfId="0" applyFont="1" applyBorder="1" applyAlignment="1">
      <alignment horizontal="center" vertical="center"/>
    </xf>
    <xf numFmtId="0" fontId="1" fillId="0" borderId="74" xfId="0" applyFont="1" applyBorder="1" applyAlignment="1">
      <alignment horizontal="center" vertical="center"/>
    </xf>
    <xf numFmtId="9" fontId="1" fillId="0" borderId="51" xfId="2" applyFont="1" applyBorder="1" applyAlignment="1" applyProtection="1">
      <alignment horizontal="right" vertical="center"/>
    </xf>
    <xf numFmtId="0" fontId="0" fillId="11" borderId="68" xfId="0" applyFill="1" applyBorder="1" applyAlignment="1" applyProtection="1">
      <alignment horizontal="center" vertical="center" shrinkToFit="1"/>
      <protection locked="0"/>
    </xf>
    <xf numFmtId="10" fontId="1" fillId="11" borderId="51" xfId="0" applyNumberFormat="1" applyFont="1" applyFill="1" applyBorder="1" applyAlignment="1" applyProtection="1">
      <alignment horizontal="right" vertical="center"/>
      <protection locked="0"/>
    </xf>
    <xf numFmtId="0" fontId="0" fillId="4" borderId="194" xfId="0" applyFill="1" applyBorder="1" applyAlignment="1">
      <alignment horizontal="center" vertical="center"/>
    </xf>
    <xf numFmtId="41" fontId="0" fillId="4" borderId="195" xfId="0" applyNumberFormat="1" applyFill="1" applyBorder="1" applyAlignment="1">
      <alignment horizontal="right" vertical="center"/>
    </xf>
    <xf numFmtId="0" fontId="0" fillId="4" borderId="196" xfId="0" applyFill="1" applyBorder="1">
      <alignment vertical="center"/>
    </xf>
    <xf numFmtId="0" fontId="0" fillId="0" borderId="197" xfId="0" applyBorder="1" applyAlignment="1">
      <alignment horizontal="center" vertical="center"/>
    </xf>
    <xf numFmtId="41" fontId="0" fillId="0" borderId="91" xfId="0" applyNumberFormat="1" applyBorder="1" applyAlignment="1">
      <alignment horizontal="right" vertical="center"/>
    </xf>
    <xf numFmtId="0" fontId="0" fillId="0" borderId="198" xfId="0" applyBorder="1">
      <alignment vertical="center"/>
    </xf>
    <xf numFmtId="0" fontId="9" fillId="26" borderId="34" xfId="0" applyFont="1" applyFill="1" applyBorder="1" applyAlignment="1">
      <alignment horizontal="center" vertical="center"/>
    </xf>
    <xf numFmtId="0" fontId="9" fillId="26" borderId="33" xfId="0" applyFont="1" applyFill="1" applyBorder="1" applyAlignment="1">
      <alignment horizontal="center" vertical="center"/>
    </xf>
    <xf numFmtId="0" fontId="9" fillId="26" borderId="118" xfId="0" applyFont="1" applyFill="1" applyBorder="1" applyAlignment="1">
      <alignment horizontal="center" vertical="center"/>
    </xf>
    <xf numFmtId="326" fontId="0" fillId="0" borderId="143" xfId="0" applyNumberFormat="1" applyBorder="1">
      <alignment vertical="center"/>
    </xf>
    <xf numFmtId="326" fontId="0" fillId="0" borderId="170" xfId="0" applyNumberFormat="1" applyBorder="1">
      <alignment vertical="center"/>
    </xf>
    <xf numFmtId="326" fontId="0" fillId="4" borderId="200" xfId="0" applyNumberFormat="1" applyFill="1" applyBorder="1">
      <alignment vertical="center"/>
    </xf>
    <xf numFmtId="326" fontId="0" fillId="0" borderId="201" xfId="0" applyNumberFormat="1" applyBorder="1">
      <alignment vertical="center"/>
    </xf>
    <xf numFmtId="41" fontId="0" fillId="35" borderId="0" xfId="0" applyNumberFormat="1" applyFill="1" applyAlignment="1">
      <alignment horizontal="right" vertical="center"/>
    </xf>
    <xf numFmtId="326" fontId="0" fillId="35" borderId="170" xfId="0" applyNumberFormat="1" applyFill="1" applyBorder="1">
      <alignment vertical="center"/>
    </xf>
    <xf numFmtId="0" fontId="0" fillId="35" borderId="44" xfId="0" applyFill="1" applyBorder="1">
      <alignment vertical="center"/>
    </xf>
    <xf numFmtId="10" fontId="0" fillId="53" borderId="13" xfId="2" applyNumberFormat="1" applyFont="1" applyFill="1" applyBorder="1" applyAlignment="1" applyProtection="1">
      <alignment horizontal="right" vertical="center"/>
    </xf>
    <xf numFmtId="326" fontId="0" fillId="53" borderId="30" xfId="0" applyNumberFormat="1" applyFill="1" applyBorder="1">
      <alignment vertical="center"/>
    </xf>
    <xf numFmtId="0" fontId="0" fillId="53" borderId="23" xfId="0" applyFill="1" applyBorder="1">
      <alignment vertical="center"/>
    </xf>
    <xf numFmtId="41" fontId="23" fillId="35" borderId="190" xfId="1" applyFont="1" applyFill="1" applyBorder="1" applyProtection="1">
      <alignment vertical="center"/>
      <protection locked="0"/>
    </xf>
    <xf numFmtId="41" fontId="23" fillId="35" borderId="171" xfId="1" applyFont="1" applyFill="1" applyBorder="1" applyProtection="1">
      <alignment vertical="center"/>
      <protection locked="0"/>
    </xf>
    <xf numFmtId="0" fontId="128" fillId="0" borderId="202" xfId="0" applyFont="1" applyBorder="1" applyAlignment="1">
      <alignment horizontal="center" vertical="center" wrapText="1"/>
    </xf>
    <xf numFmtId="186" fontId="2" fillId="0" borderId="178" xfId="1" applyNumberFormat="1" applyFont="1" applyFill="1" applyBorder="1" applyAlignment="1" applyProtection="1">
      <alignment horizontal="center" vertical="center"/>
    </xf>
    <xf numFmtId="41" fontId="128" fillId="0" borderId="202" xfId="1" applyFont="1" applyFill="1" applyBorder="1" applyAlignment="1" applyProtection="1">
      <alignment horizontal="right" vertical="center" wrapText="1"/>
    </xf>
    <xf numFmtId="41" fontId="128" fillId="5" borderId="178" xfId="1" applyFont="1" applyFill="1" applyBorder="1" applyAlignment="1" applyProtection="1">
      <alignment horizontal="right" vertical="center" wrapText="1"/>
    </xf>
    <xf numFmtId="41" fontId="128" fillId="0" borderId="72" xfId="1" applyFont="1" applyFill="1" applyBorder="1" applyAlignment="1" applyProtection="1">
      <alignment horizontal="right" vertical="center" wrapText="1"/>
    </xf>
    <xf numFmtId="0" fontId="128" fillId="0" borderId="76" xfId="0" applyFont="1" applyBorder="1" applyAlignment="1">
      <alignment vertical="center" wrapText="1"/>
    </xf>
    <xf numFmtId="0" fontId="128" fillId="0" borderId="203" xfId="0" applyFont="1" applyBorder="1" applyAlignment="1">
      <alignment horizontal="center" vertical="center" wrapText="1"/>
    </xf>
    <xf numFmtId="186" fontId="2" fillId="0" borderId="184" xfId="1" applyNumberFormat="1" applyFont="1" applyFill="1" applyBorder="1" applyAlignment="1" applyProtection="1">
      <alignment horizontal="center" vertical="center"/>
    </xf>
    <xf numFmtId="41" fontId="128" fillId="0" borderId="203" xfId="1" applyFont="1" applyFill="1" applyBorder="1" applyAlignment="1" applyProtection="1">
      <alignment horizontal="right" vertical="center" wrapText="1"/>
    </xf>
    <xf numFmtId="41" fontId="128" fillId="5" borderId="184" xfId="1" applyFont="1" applyFill="1" applyBorder="1" applyAlignment="1" applyProtection="1">
      <alignment horizontal="right" vertical="center" wrapText="1"/>
    </xf>
    <xf numFmtId="41" fontId="128" fillId="0" borderId="150" xfId="1" applyFont="1" applyFill="1" applyBorder="1" applyAlignment="1" applyProtection="1">
      <alignment horizontal="right" vertical="center" wrapText="1"/>
    </xf>
    <xf numFmtId="0" fontId="128" fillId="0" borderId="204" xfId="0" applyFont="1" applyBorder="1" applyAlignment="1">
      <alignment vertical="center" wrapText="1"/>
    </xf>
    <xf numFmtId="186" fontId="2" fillId="0" borderId="179" xfId="1" applyNumberFormat="1" applyFont="1" applyFill="1" applyBorder="1" applyAlignment="1" applyProtection="1">
      <alignment horizontal="center" vertical="center"/>
    </xf>
    <xf numFmtId="41" fontId="128" fillId="0" borderId="133" xfId="1" applyFont="1" applyFill="1" applyBorder="1" applyAlignment="1" applyProtection="1">
      <alignment horizontal="right" vertical="center" wrapText="1"/>
    </xf>
    <xf numFmtId="41" fontId="128" fillId="5" borderId="179" xfId="1" applyFont="1" applyFill="1" applyBorder="1" applyAlignment="1" applyProtection="1">
      <alignment horizontal="right" vertical="center" wrapText="1"/>
    </xf>
    <xf numFmtId="41" fontId="128" fillId="0" borderId="21" xfId="1" applyFont="1" applyFill="1" applyBorder="1" applyAlignment="1" applyProtection="1">
      <alignment horizontal="right" vertical="center" wrapText="1"/>
    </xf>
    <xf numFmtId="0" fontId="128" fillId="0" borderId="68" xfId="0" applyFont="1" applyBorder="1" applyAlignment="1">
      <alignment vertical="center" wrapText="1"/>
    </xf>
    <xf numFmtId="41" fontId="128" fillId="0" borderId="184" xfId="1" applyFont="1" applyFill="1" applyBorder="1" applyAlignment="1" applyProtection="1">
      <alignment horizontal="center" vertical="center" wrapText="1"/>
    </xf>
    <xf numFmtId="0" fontId="128" fillId="0" borderId="206" xfId="0" applyFont="1" applyBorder="1" applyAlignment="1">
      <alignment horizontal="center" vertical="center" wrapText="1"/>
    </xf>
    <xf numFmtId="315" fontId="9" fillId="11" borderId="115" xfId="0" applyNumberFormat="1" applyFont="1" applyFill="1" applyBorder="1" applyAlignment="1" applyProtection="1">
      <alignment horizontal="center" vertical="center"/>
      <protection locked="0"/>
    </xf>
    <xf numFmtId="315" fontId="9" fillId="11" borderId="9" xfId="0" applyNumberFormat="1" applyFont="1" applyFill="1" applyBorder="1" applyAlignment="1" applyProtection="1">
      <alignment horizontal="center" vertical="center"/>
      <protection locked="0"/>
    </xf>
    <xf numFmtId="41" fontId="124" fillId="0" borderId="0" xfId="1" applyFont="1" applyFill="1" applyBorder="1" applyAlignment="1" applyProtection="1"/>
    <xf numFmtId="10" fontId="104" fillId="2" borderId="0" xfId="2" applyNumberFormat="1" applyFont="1" applyFill="1" applyBorder="1" applyAlignment="1" applyProtection="1"/>
    <xf numFmtId="9" fontId="104" fillId="2" borderId="0" xfId="548" applyNumberFormat="1" applyFont="1" applyFill="1"/>
    <xf numFmtId="10" fontId="104" fillId="2" borderId="0" xfId="548" applyNumberFormat="1" applyFont="1" applyFill="1"/>
    <xf numFmtId="0" fontId="158" fillId="2" borderId="0" xfId="548" applyFont="1" applyFill="1"/>
    <xf numFmtId="9" fontId="158" fillId="2" borderId="0" xfId="548" applyNumberFormat="1" applyFont="1" applyFill="1"/>
    <xf numFmtId="41" fontId="158" fillId="0" borderId="0" xfId="526" applyFont="1" applyFill="1" applyBorder="1" applyProtection="1"/>
    <xf numFmtId="41" fontId="159" fillId="0" borderId="0" xfId="526" applyFont="1" applyFill="1" applyBorder="1" applyProtection="1"/>
    <xf numFmtId="41" fontId="158" fillId="0" borderId="0" xfId="526" applyFont="1" applyFill="1" applyBorder="1" applyAlignment="1" applyProtection="1">
      <alignment horizontal="center"/>
    </xf>
    <xf numFmtId="0" fontId="159" fillId="0" borderId="0" xfId="548" applyFont="1" applyAlignment="1">
      <alignment horizontal="center"/>
    </xf>
    <xf numFmtId="41" fontId="158" fillId="0" borderId="141" xfId="526" applyFont="1" applyFill="1" applyBorder="1" applyProtection="1"/>
    <xf numFmtId="43" fontId="158" fillId="0" borderId="141" xfId="526" applyNumberFormat="1" applyFont="1" applyFill="1" applyBorder="1" applyProtection="1"/>
    <xf numFmtId="0" fontId="159" fillId="0" borderId="13" xfId="548" applyFont="1" applyBorder="1" applyAlignment="1">
      <alignment horizontal="center"/>
    </xf>
    <xf numFmtId="3" fontId="127" fillId="38" borderId="154" xfId="0" applyNumberFormat="1" applyFont="1" applyFill="1" applyBorder="1" applyAlignment="1">
      <alignment horizontal="center" vertical="center" wrapText="1"/>
    </xf>
    <xf numFmtId="41" fontId="23" fillId="40" borderId="190" xfId="1" applyFont="1" applyFill="1" applyBorder="1" applyProtection="1">
      <alignment vertical="center"/>
      <protection locked="0"/>
    </xf>
    <xf numFmtId="0" fontId="0" fillId="30" borderId="27" xfId="0" applyFill="1" applyBorder="1">
      <alignment vertical="center"/>
    </xf>
    <xf numFmtId="0" fontId="0" fillId="7" borderId="27" xfId="0" applyFill="1" applyBorder="1" applyAlignment="1">
      <alignment horizontal="center" vertical="center"/>
    </xf>
    <xf numFmtId="9" fontId="0" fillId="0" borderId="27" xfId="2" applyFont="1" applyBorder="1" applyAlignment="1" applyProtection="1">
      <alignment horizontal="center" vertical="center"/>
    </xf>
    <xf numFmtId="41" fontId="0" fillId="0" borderId="27" xfId="1" applyFont="1" applyBorder="1" applyProtection="1">
      <alignment vertical="center"/>
    </xf>
    <xf numFmtId="41" fontId="0" fillId="30" borderId="27" xfId="1" applyFont="1" applyFill="1" applyBorder="1" applyProtection="1">
      <alignment vertical="center"/>
    </xf>
    <xf numFmtId="41" fontId="0" fillId="3" borderId="27" xfId="1" applyFont="1" applyFill="1" applyBorder="1" applyProtection="1">
      <alignment vertical="center"/>
    </xf>
    <xf numFmtId="0" fontId="0" fillId="3" borderId="27" xfId="0" quotePrefix="1" applyFill="1" applyBorder="1">
      <alignment vertical="center"/>
    </xf>
    <xf numFmtId="200" fontId="0" fillId="3" borderId="27" xfId="2" applyNumberFormat="1" applyFont="1" applyFill="1" applyBorder="1" applyProtection="1">
      <alignment vertical="center"/>
    </xf>
    <xf numFmtId="0" fontId="9" fillId="0" borderId="7" xfId="0" applyFont="1" applyBorder="1" applyAlignment="1">
      <alignment horizontal="center" vertical="center"/>
    </xf>
    <xf numFmtId="41" fontId="127" fillId="16" borderId="27" xfId="0" applyNumberFormat="1" applyFont="1" applyFill="1" applyBorder="1" applyAlignment="1">
      <alignment horizontal="center" vertical="center" wrapText="1"/>
    </xf>
    <xf numFmtId="41" fontId="9" fillId="0" borderId="27" xfId="0" applyNumberFormat="1" applyFont="1" applyBorder="1" applyAlignment="1">
      <alignment horizontal="center" vertical="center"/>
    </xf>
    <xf numFmtId="0" fontId="108" fillId="50" borderId="1" xfId="548" applyFont="1" applyFill="1" applyBorder="1"/>
    <xf numFmtId="0" fontId="108" fillId="50" borderId="12" xfId="548" applyFont="1" applyFill="1" applyBorder="1"/>
    <xf numFmtId="204" fontId="8" fillId="40" borderId="2" xfId="0" applyNumberFormat="1" applyFont="1" applyFill="1" applyBorder="1">
      <alignment vertical="center"/>
    </xf>
    <xf numFmtId="9" fontId="8" fillId="40" borderId="17" xfId="2" applyFont="1" applyFill="1" applyBorder="1" applyProtection="1">
      <alignment vertical="center"/>
    </xf>
    <xf numFmtId="204" fontId="8" fillId="40" borderId="2" xfId="0" applyNumberFormat="1" applyFont="1" applyFill="1" applyBorder="1" applyProtection="1">
      <alignment vertical="center"/>
      <protection locked="0"/>
    </xf>
    <xf numFmtId="9" fontId="96" fillId="40" borderId="2" xfId="2" applyFont="1" applyFill="1" applyBorder="1" applyProtection="1">
      <alignment vertical="center"/>
      <protection locked="0"/>
    </xf>
    <xf numFmtId="9" fontId="96" fillId="40" borderId="18" xfId="2" applyFont="1" applyFill="1" applyBorder="1" applyProtection="1">
      <alignment vertical="center"/>
      <protection locked="0"/>
    </xf>
    <xf numFmtId="204" fontId="8" fillId="40" borderId="13" xfId="0" applyNumberFormat="1" applyFont="1" applyFill="1" applyBorder="1">
      <alignment vertical="center"/>
    </xf>
    <xf numFmtId="204" fontId="8" fillId="40" borderId="22" xfId="0" applyNumberFormat="1" applyFont="1" applyFill="1" applyBorder="1">
      <alignment vertical="center"/>
    </xf>
    <xf numFmtId="9" fontId="96" fillId="40" borderId="13" xfId="2" applyFont="1" applyFill="1" applyBorder="1" applyProtection="1">
      <alignment vertical="center"/>
    </xf>
    <xf numFmtId="9" fontId="96" fillId="40" borderId="23" xfId="2" applyFont="1" applyFill="1" applyBorder="1" applyProtection="1">
      <alignment vertical="center"/>
    </xf>
    <xf numFmtId="0" fontId="104" fillId="50" borderId="2" xfId="548" applyFont="1" applyFill="1" applyBorder="1"/>
    <xf numFmtId="0" fontId="104" fillId="50" borderId="13" xfId="548" applyFont="1" applyFill="1" applyBorder="1"/>
    <xf numFmtId="10" fontId="124" fillId="40" borderId="9" xfId="519" applyNumberFormat="1" applyFont="1" applyFill="1" applyBorder="1" applyProtection="1"/>
    <xf numFmtId="10" fontId="124" fillId="40" borderId="9" xfId="548" applyNumberFormat="1" applyFont="1" applyFill="1" applyBorder="1"/>
    <xf numFmtId="10" fontId="119" fillId="40" borderId="9" xfId="548" applyNumberFormat="1" applyFont="1" applyFill="1" applyBorder="1"/>
    <xf numFmtId="0" fontId="124" fillId="40" borderId="115" xfId="548" applyFont="1" applyFill="1" applyBorder="1"/>
    <xf numFmtId="0" fontId="124" fillId="40" borderId="9" xfId="548" applyFont="1" applyFill="1" applyBorder="1"/>
    <xf numFmtId="0" fontId="9" fillId="7" borderId="105" xfId="0" applyFont="1" applyFill="1" applyBorder="1" applyAlignment="1">
      <alignment horizontal="center" vertical="center" wrapText="1"/>
    </xf>
    <xf numFmtId="190" fontId="9" fillId="0" borderId="15" xfId="0" applyNumberFormat="1" applyFont="1" applyBorder="1" applyAlignment="1">
      <alignment horizontal="center" vertical="center"/>
    </xf>
    <xf numFmtId="190" fontId="9" fillId="0" borderId="14" xfId="0" applyNumberFormat="1" applyFont="1" applyBorder="1" applyAlignment="1">
      <alignment horizontal="center" vertical="center"/>
    </xf>
    <xf numFmtId="192" fontId="9" fillId="0" borderId="14" xfId="0" applyNumberFormat="1" applyFont="1" applyBorder="1" applyAlignment="1">
      <alignment horizontal="center" vertical="center"/>
    </xf>
    <xf numFmtId="181" fontId="9" fillId="0" borderId="16" xfId="0" applyNumberFormat="1" applyFont="1" applyBorder="1" applyAlignment="1">
      <alignment horizontal="center" vertical="center"/>
    </xf>
    <xf numFmtId="0" fontId="0" fillId="0" borderId="2" xfId="0" applyBorder="1">
      <alignment vertical="center"/>
    </xf>
    <xf numFmtId="10" fontId="9" fillId="11" borderId="51" xfId="0" applyNumberFormat="1" applyFont="1" applyFill="1" applyBorder="1" applyAlignment="1" applyProtection="1">
      <alignment horizontal="right" vertical="center"/>
      <protection locked="0"/>
    </xf>
    <xf numFmtId="316" fontId="9" fillId="0" borderId="51" xfId="0" applyNumberFormat="1" applyFont="1" applyBorder="1" applyAlignment="1">
      <alignment horizontal="right" vertical="center"/>
    </xf>
    <xf numFmtId="310" fontId="0" fillId="0" borderId="51" xfId="1" applyNumberFormat="1" applyFont="1" applyFill="1" applyBorder="1" applyAlignment="1" applyProtection="1">
      <alignment horizontal="right" vertical="center"/>
    </xf>
    <xf numFmtId="9" fontId="0" fillId="0" borderId="0" xfId="0" applyNumberFormat="1">
      <alignment vertical="center"/>
    </xf>
    <xf numFmtId="9" fontId="8" fillId="0" borderId="0" xfId="2" applyFont="1" applyProtection="1">
      <alignment vertical="center"/>
    </xf>
    <xf numFmtId="3" fontId="127" fillId="3" borderId="154" xfId="0" applyNumberFormat="1" applyFont="1" applyFill="1" applyBorder="1" applyAlignment="1">
      <alignment horizontal="center" vertical="center" wrapText="1"/>
    </xf>
    <xf numFmtId="0" fontId="163" fillId="0" borderId="0" xfId="0" applyFont="1">
      <alignment vertical="center"/>
    </xf>
    <xf numFmtId="0" fontId="99" fillId="0" borderId="0" xfId="0" applyFont="1">
      <alignment vertical="center"/>
    </xf>
    <xf numFmtId="200" fontId="0" fillId="0" borderId="27" xfId="0" applyNumberFormat="1" applyBorder="1" applyAlignment="1">
      <alignment horizontal="center" vertical="center"/>
    </xf>
    <xf numFmtId="0" fontId="152" fillId="0" borderId="0" xfId="656">
      <alignment vertical="center"/>
    </xf>
    <xf numFmtId="3" fontId="127" fillId="3" borderId="68" xfId="0" applyNumberFormat="1" applyFont="1" applyFill="1" applyBorder="1" applyAlignment="1">
      <alignment horizontal="center" vertical="center" wrapText="1"/>
    </xf>
    <xf numFmtId="3" fontId="127" fillId="51" borderId="152" xfId="0" applyNumberFormat="1" applyFont="1" applyFill="1" applyBorder="1" applyAlignment="1">
      <alignment horizontal="center" vertical="center" wrapText="1"/>
    </xf>
    <xf numFmtId="3" fontId="127" fillId="50" borderId="153" xfId="0" applyNumberFormat="1" applyFont="1" applyFill="1" applyBorder="1" applyAlignment="1">
      <alignment horizontal="center" vertical="center" wrapText="1"/>
    </xf>
    <xf numFmtId="327" fontId="1" fillId="51" borderId="51" xfId="0" applyNumberFormat="1" applyFont="1" applyFill="1" applyBorder="1" applyAlignment="1" applyProtection="1">
      <alignment horizontal="right" vertical="center"/>
      <protection locked="0"/>
    </xf>
    <xf numFmtId="328" fontId="1" fillId="50" borderId="51" xfId="0" applyNumberFormat="1" applyFont="1" applyFill="1" applyBorder="1" applyAlignment="1" applyProtection="1">
      <alignment horizontal="right" vertical="center"/>
      <protection locked="0"/>
    </xf>
    <xf numFmtId="329" fontId="1" fillId="53" borderId="51" xfId="0" applyNumberFormat="1" applyFont="1" applyFill="1" applyBorder="1" applyAlignment="1" applyProtection="1">
      <alignment horizontal="right" vertical="center"/>
      <protection locked="0"/>
    </xf>
    <xf numFmtId="0" fontId="0" fillId="11" borderId="68" xfId="0" applyFill="1" applyBorder="1" applyAlignment="1" applyProtection="1">
      <alignment horizontal="center" vertical="center"/>
      <protection locked="0"/>
    </xf>
    <xf numFmtId="200" fontId="0" fillId="0" borderId="13" xfId="2" applyNumberFormat="1" applyFont="1" applyBorder="1" applyAlignment="1" applyProtection="1">
      <alignment horizontal="center" vertical="center"/>
    </xf>
    <xf numFmtId="330" fontId="0" fillId="0" borderId="44" xfId="0" applyNumberFormat="1" applyBorder="1" applyAlignment="1">
      <alignment horizontal="center" vertical="center"/>
    </xf>
    <xf numFmtId="9" fontId="108" fillId="2" borderId="0" xfId="548" applyNumberFormat="1" applyFont="1" applyFill="1"/>
    <xf numFmtId="41" fontId="97" fillId="2" borderId="0" xfId="1" applyFont="1" applyFill="1" applyProtection="1">
      <alignment vertical="center"/>
    </xf>
    <xf numFmtId="41" fontId="9" fillId="0" borderId="0" xfId="1" applyFont="1" applyFill="1" applyBorder="1" applyAlignment="1" applyProtection="1">
      <alignment horizontal="right" vertical="center"/>
    </xf>
    <xf numFmtId="9" fontId="9" fillId="11" borderId="24" xfId="0" applyNumberFormat="1" applyFont="1" applyFill="1" applyBorder="1" applyAlignment="1" applyProtection="1">
      <alignment horizontal="center" vertical="center" wrapText="1"/>
      <protection locked="0"/>
    </xf>
    <xf numFmtId="9" fontId="97" fillId="11" borderId="41" xfId="0" applyNumberFormat="1" applyFont="1" applyFill="1" applyBorder="1" applyAlignment="1" applyProtection="1">
      <alignment horizontal="center" vertical="center" wrapText="1"/>
      <protection locked="0"/>
    </xf>
    <xf numFmtId="9" fontId="97" fillId="11" borderId="28" xfId="0" applyNumberFormat="1" applyFont="1" applyFill="1" applyBorder="1" applyAlignment="1" applyProtection="1">
      <alignment horizontal="center" vertical="center" wrapText="1"/>
      <protection locked="0"/>
    </xf>
    <xf numFmtId="9" fontId="97" fillId="0" borderId="14" xfId="0" applyNumberFormat="1" applyFont="1" applyBorder="1" applyAlignment="1">
      <alignment horizontal="center" vertical="center" wrapText="1"/>
    </xf>
    <xf numFmtId="0" fontId="127" fillId="0" borderId="7" xfId="0" applyFont="1" applyBorder="1" applyAlignment="1">
      <alignment vertical="center" wrapText="1"/>
    </xf>
    <xf numFmtId="0" fontId="128" fillId="0" borderId="75" xfId="0" applyFont="1" applyBorder="1" applyAlignment="1">
      <alignment horizontal="center" vertical="center" wrapText="1"/>
    </xf>
    <xf numFmtId="0" fontId="0" fillId="11" borderId="44" xfId="0" applyFill="1" applyBorder="1" applyAlignment="1" applyProtection="1">
      <alignment horizontal="center" vertical="center"/>
      <protection locked="0"/>
    </xf>
    <xf numFmtId="0" fontId="7" fillId="5" borderId="6" xfId="0" applyFont="1" applyFill="1" applyBorder="1" applyAlignment="1">
      <alignment horizontal="center" vertical="center"/>
    </xf>
    <xf numFmtId="41" fontId="0" fillId="11" borderId="44" xfId="1" applyFont="1" applyFill="1" applyBorder="1" applyAlignment="1" applyProtection="1">
      <alignment horizontal="center" vertical="center"/>
      <protection locked="0"/>
    </xf>
    <xf numFmtId="0" fontId="127" fillId="0" borderId="28" xfId="0" applyFont="1" applyBorder="1" applyAlignment="1">
      <alignment horizontal="center" vertical="center" wrapText="1"/>
    </xf>
    <xf numFmtId="9" fontId="0" fillId="0" borderId="0" xfId="0" applyNumberFormat="1" applyAlignment="1">
      <alignment horizontal="center" vertical="center"/>
    </xf>
    <xf numFmtId="9" fontId="127" fillId="0" borderId="25" xfId="2" applyFont="1" applyBorder="1" applyAlignment="1" applyProtection="1">
      <alignment horizontal="center" vertical="center" wrapText="1"/>
    </xf>
    <xf numFmtId="41" fontId="0" fillId="0" borderId="0" xfId="1" applyFont="1" applyAlignment="1">
      <alignment horizontal="center" vertical="center"/>
    </xf>
    <xf numFmtId="41" fontId="0" fillId="3" borderId="0" xfId="1" applyFont="1" applyFill="1" applyAlignment="1">
      <alignment horizontal="center" vertical="center"/>
    </xf>
    <xf numFmtId="0" fontId="0" fillId="0" borderId="0" xfId="0" applyAlignment="1">
      <alignment horizontal="left" vertical="center"/>
    </xf>
    <xf numFmtId="0" fontId="5" fillId="0" borderId="0" xfId="0" applyFont="1">
      <alignment vertical="center"/>
    </xf>
    <xf numFmtId="10" fontId="0" fillId="0" borderId="0" xfId="2" applyNumberFormat="1" applyFont="1" applyAlignment="1">
      <alignment horizontal="center" vertical="center"/>
    </xf>
    <xf numFmtId="200" fontId="0" fillId="0" borderId="0" xfId="2" applyNumberFormat="1" applyFont="1" applyAlignment="1">
      <alignment horizontal="center" vertical="center"/>
    </xf>
    <xf numFmtId="9" fontId="0" fillId="0" borderId="0" xfId="2" applyFont="1">
      <alignment vertical="center"/>
    </xf>
    <xf numFmtId="41" fontId="7" fillId="3" borderId="27" xfId="1" applyFont="1" applyFill="1" applyBorder="1" applyAlignment="1">
      <alignment horizontal="center" vertical="center"/>
    </xf>
    <xf numFmtId="200" fontId="7" fillId="3" borderId="27" xfId="2" applyNumberFormat="1" applyFont="1" applyFill="1" applyBorder="1" applyAlignment="1">
      <alignment horizontal="center" vertical="center"/>
    </xf>
    <xf numFmtId="10" fontId="7" fillId="3" borderId="27" xfId="2" applyNumberFormat="1" applyFont="1" applyFill="1" applyBorder="1" applyAlignment="1">
      <alignment horizontal="center" vertical="center"/>
    </xf>
    <xf numFmtId="185" fontId="7" fillId="3" borderId="27" xfId="1" applyNumberFormat="1" applyFont="1" applyFill="1" applyBorder="1" applyAlignment="1">
      <alignment horizontal="center" vertical="center"/>
    </xf>
    <xf numFmtId="185" fontId="7" fillId="3" borderId="27" xfId="2" applyNumberFormat="1" applyFont="1" applyFill="1" applyBorder="1" applyAlignment="1">
      <alignment horizontal="center" vertical="center"/>
    </xf>
    <xf numFmtId="41" fontId="0" fillId="37" borderId="27" xfId="1" applyFont="1" applyFill="1" applyBorder="1" applyAlignment="1">
      <alignment horizontal="center" vertical="center"/>
    </xf>
    <xf numFmtId="185" fontId="0" fillId="37" borderId="27" xfId="1" applyNumberFormat="1" applyFont="1" applyFill="1" applyBorder="1" applyAlignment="1">
      <alignment horizontal="center" vertical="center"/>
    </xf>
    <xf numFmtId="9" fontId="0" fillId="0" borderId="38" xfId="1" applyNumberFormat="1" applyFont="1" applyBorder="1" applyAlignment="1">
      <alignment horizontal="center" vertical="center"/>
    </xf>
    <xf numFmtId="185" fontId="0" fillId="0" borderId="20" xfId="1" applyNumberFormat="1" applyFont="1" applyBorder="1" applyAlignment="1">
      <alignment horizontal="center" vertical="center"/>
    </xf>
    <xf numFmtId="185" fontId="0" fillId="0" borderId="27" xfId="1" applyNumberFormat="1" applyFont="1" applyBorder="1" applyAlignment="1">
      <alignment horizontal="center" vertical="center"/>
    </xf>
    <xf numFmtId="331" fontId="0" fillId="0" borderId="105" xfId="1" applyNumberFormat="1" applyFont="1" applyBorder="1" applyAlignment="1">
      <alignment horizontal="center" vertical="center"/>
    </xf>
    <xf numFmtId="185" fontId="0" fillId="0" borderId="105" xfId="1" applyNumberFormat="1" applyFont="1" applyBorder="1" applyAlignment="1">
      <alignment horizontal="center" vertical="center"/>
    </xf>
    <xf numFmtId="9" fontId="0" fillId="0" borderId="104" xfId="1" applyNumberFormat="1" applyFont="1" applyBorder="1" applyAlignment="1">
      <alignment horizontal="center" vertical="center" wrapText="1"/>
    </xf>
    <xf numFmtId="185" fontId="0" fillId="0" borderId="104" xfId="1" applyNumberFormat="1" applyFont="1" applyBorder="1" applyAlignment="1">
      <alignment horizontal="center" vertical="center"/>
    </xf>
    <xf numFmtId="9" fontId="0" fillId="0" borderId="40" xfId="2" applyFont="1" applyBorder="1" applyAlignment="1">
      <alignment horizontal="left" vertical="center"/>
    </xf>
    <xf numFmtId="41" fontId="0" fillId="0" borderId="41" xfId="1" applyFont="1" applyBorder="1" applyAlignment="1">
      <alignment horizontal="center" vertical="center"/>
    </xf>
    <xf numFmtId="9" fontId="0" fillId="0" borderId="104" xfId="1" applyNumberFormat="1" applyFont="1" applyBorder="1" applyAlignment="1">
      <alignment horizontal="center" vertical="center"/>
    </xf>
    <xf numFmtId="41" fontId="0" fillId="0" borderId="105" xfId="1" applyFont="1" applyBorder="1" applyAlignment="1">
      <alignment horizontal="center" vertical="center"/>
    </xf>
    <xf numFmtId="185" fontId="97" fillId="0" borderId="105" xfId="1" applyNumberFormat="1" applyFont="1" applyBorder="1" applyAlignment="1">
      <alignment horizontal="center" vertical="center"/>
    </xf>
    <xf numFmtId="41" fontId="0" fillId="0" borderId="104" xfId="1" applyFont="1" applyBorder="1" applyAlignment="1">
      <alignment horizontal="center" vertical="center"/>
    </xf>
    <xf numFmtId="185" fontId="97" fillId="0" borderId="104" xfId="1" applyNumberFormat="1" applyFont="1" applyBorder="1" applyAlignment="1">
      <alignment horizontal="center" vertical="center"/>
    </xf>
    <xf numFmtId="41" fontId="0" fillId="0" borderId="19" xfId="1" applyFont="1" applyBorder="1" applyAlignment="1">
      <alignment horizontal="center" vertical="center"/>
    </xf>
    <xf numFmtId="185" fontId="97" fillId="0" borderId="17" xfId="1" applyNumberFormat="1" applyFont="1" applyBorder="1" applyAlignment="1">
      <alignment horizontal="center" vertical="center"/>
    </xf>
    <xf numFmtId="185" fontId="97" fillId="0" borderId="19" xfId="1" applyNumberFormat="1" applyFont="1" applyBorder="1" applyAlignment="1">
      <alignment horizontal="center" vertical="center"/>
    </xf>
    <xf numFmtId="41" fontId="7" fillId="0" borderId="27" xfId="1" applyFont="1" applyBorder="1" applyAlignment="1">
      <alignment horizontal="center" vertical="center" wrapText="1"/>
    </xf>
    <xf numFmtId="41" fontId="11" fillId="0" borderId="0" xfId="1" applyFont="1" applyAlignment="1">
      <alignment horizontal="center" vertical="center"/>
    </xf>
    <xf numFmtId="41" fontId="11" fillId="0" borderId="0" xfId="1" applyFont="1" applyBorder="1" applyAlignment="1">
      <alignment horizontal="left" vertical="center"/>
    </xf>
    <xf numFmtId="333" fontId="0" fillId="0" borderId="27" xfId="1" applyNumberFormat="1" applyFont="1" applyBorder="1" applyAlignment="1">
      <alignment horizontal="center" vertical="center"/>
    </xf>
    <xf numFmtId="200" fontId="1" fillId="0" borderId="186" xfId="2" applyNumberFormat="1" applyFont="1" applyFill="1" applyBorder="1" applyAlignment="1" applyProtection="1">
      <alignment horizontal="center" vertical="center"/>
    </xf>
    <xf numFmtId="200" fontId="1" fillId="0" borderId="21" xfId="2" applyNumberFormat="1" applyFont="1" applyFill="1" applyBorder="1" applyAlignment="1" applyProtection="1">
      <alignment horizontal="center" vertical="center"/>
    </xf>
    <xf numFmtId="41" fontId="119" fillId="0" borderId="9" xfId="1" applyFont="1" applyFill="1" applyBorder="1" applyAlignment="1" applyProtection="1">
      <alignment horizontal="center" shrinkToFit="1"/>
    </xf>
    <xf numFmtId="9" fontId="9" fillId="11" borderId="18" xfId="2" applyFont="1" applyFill="1" applyBorder="1" applyAlignment="1" applyProtection="1">
      <alignment horizontal="center" vertical="center"/>
      <protection locked="0"/>
    </xf>
    <xf numFmtId="181" fontId="9" fillId="7" borderId="2" xfId="0" applyNumberFormat="1" applyFont="1" applyFill="1" applyBorder="1" applyAlignment="1">
      <alignment horizontal="center" vertical="center"/>
    </xf>
    <xf numFmtId="41" fontId="119" fillId="39" borderId="9" xfId="526" applyFont="1" applyFill="1" applyBorder="1" applyProtection="1"/>
    <xf numFmtId="253" fontId="124" fillId="39" borderId="115" xfId="526" applyNumberFormat="1" applyFont="1" applyFill="1" applyBorder="1" applyProtection="1"/>
    <xf numFmtId="253" fontId="124" fillId="39" borderId="9" xfId="526" applyNumberFormat="1" applyFont="1" applyFill="1" applyBorder="1" applyProtection="1"/>
    <xf numFmtId="0" fontId="108" fillId="0" borderId="2" xfId="548" applyFont="1" applyBorder="1"/>
    <xf numFmtId="0" fontId="108" fillId="27" borderId="13" xfId="548" applyFont="1" applyFill="1" applyBorder="1"/>
    <xf numFmtId="0" fontId="108" fillId="18" borderId="2" xfId="548" applyFont="1" applyFill="1" applyBorder="1"/>
    <xf numFmtId="0" fontId="108" fillId="18" borderId="13" xfId="548" applyFont="1" applyFill="1" applyBorder="1"/>
    <xf numFmtId="0" fontId="108" fillId="20" borderId="2" xfId="548" applyFont="1" applyFill="1" applyBorder="1"/>
    <xf numFmtId="0" fontId="108" fillId="20" borderId="13" xfId="548" applyFont="1" applyFill="1" applyBorder="1"/>
    <xf numFmtId="0" fontId="108" fillId="3" borderId="2" xfId="548" applyFont="1" applyFill="1" applyBorder="1"/>
    <xf numFmtId="0" fontId="108" fillId="3" borderId="13" xfId="548" applyFont="1" applyFill="1" applyBorder="1"/>
    <xf numFmtId="0" fontId="108" fillId="43" borderId="2" xfId="548" applyFont="1" applyFill="1" applyBorder="1"/>
    <xf numFmtId="0" fontId="108" fillId="43" borderId="13" xfId="548" applyFont="1" applyFill="1" applyBorder="1"/>
    <xf numFmtId="0" fontId="108" fillId="50" borderId="2" xfId="548" applyFont="1" applyFill="1" applyBorder="1"/>
    <xf numFmtId="0" fontId="108" fillId="50" borderId="13" xfId="548" applyFont="1" applyFill="1" applyBorder="1"/>
    <xf numFmtId="0" fontId="108" fillId="44" borderId="2" xfId="548" applyFont="1" applyFill="1" applyBorder="1"/>
    <xf numFmtId="0" fontId="108" fillId="44" borderId="13" xfId="548" applyFont="1" applyFill="1" applyBorder="1"/>
    <xf numFmtId="0" fontId="108" fillId="42" borderId="2" xfId="548" applyFont="1" applyFill="1" applyBorder="1"/>
    <xf numFmtId="0" fontId="108" fillId="42" borderId="13" xfId="548" applyFont="1" applyFill="1" applyBorder="1"/>
    <xf numFmtId="41" fontId="108" fillId="28" borderId="0" xfId="548" applyNumberFormat="1" applyFont="1" applyFill="1"/>
    <xf numFmtId="41" fontId="119" fillId="28" borderId="2" xfId="548" applyNumberFormat="1" applyFont="1" applyFill="1" applyBorder="1"/>
    <xf numFmtId="41" fontId="109" fillId="28" borderId="0" xfId="548" applyNumberFormat="1" applyFont="1" applyFill="1"/>
    <xf numFmtId="0" fontId="108" fillId="32" borderId="2" xfId="548" applyFont="1" applyFill="1" applyBorder="1"/>
    <xf numFmtId="0" fontId="108" fillId="32" borderId="13" xfId="548" applyFont="1" applyFill="1" applyBorder="1"/>
    <xf numFmtId="0" fontId="108" fillId="0" borderId="115" xfId="548" applyFont="1" applyBorder="1" applyAlignment="1">
      <alignment horizontal="left" indent="1"/>
    </xf>
    <xf numFmtId="312" fontId="108" fillId="0" borderId="115" xfId="548" applyNumberFormat="1" applyFont="1" applyBorder="1" applyAlignment="1">
      <alignment horizontal="center"/>
    </xf>
    <xf numFmtId="41" fontId="120" fillId="0" borderId="115" xfId="1" applyFont="1" applyFill="1" applyBorder="1" applyAlignment="1" applyProtection="1">
      <alignment horizontal="center"/>
    </xf>
    <xf numFmtId="41" fontId="108" fillId="0" borderId="115" xfId="1" applyFont="1" applyFill="1" applyBorder="1" applyAlignment="1" applyProtection="1">
      <alignment horizontal="center"/>
    </xf>
    <xf numFmtId="0" fontId="108" fillId="0" borderId="115" xfId="548" applyFont="1" applyBorder="1" applyAlignment="1">
      <alignment horizontal="center"/>
    </xf>
    <xf numFmtId="0" fontId="120" fillId="0" borderId="115" xfId="548" applyFont="1" applyBorder="1" applyAlignment="1">
      <alignment horizontal="center"/>
    </xf>
    <xf numFmtId="0" fontId="108" fillId="31" borderId="15" xfId="548" applyFont="1" applyFill="1" applyBorder="1"/>
    <xf numFmtId="41" fontId="119" fillId="38" borderId="216" xfId="526" applyFont="1" applyFill="1" applyBorder="1" applyProtection="1">
      <protection locked="0"/>
    </xf>
    <xf numFmtId="41" fontId="119" fillId="29" borderId="216" xfId="526" applyFont="1" applyFill="1" applyBorder="1" applyProtection="1">
      <protection locked="0"/>
    </xf>
    <xf numFmtId="41" fontId="119" fillId="35" borderId="216" xfId="526" applyFont="1" applyFill="1" applyBorder="1" applyProtection="1">
      <protection locked="0"/>
    </xf>
    <xf numFmtId="9" fontId="119" fillId="3" borderId="9" xfId="548" applyNumberFormat="1" applyFont="1" applyFill="1" applyBorder="1" applyAlignment="1">
      <alignment horizontal="center" shrinkToFit="1"/>
    </xf>
    <xf numFmtId="9" fontId="7" fillId="0" borderId="0" xfId="0" applyNumberFormat="1" applyFont="1">
      <alignment vertical="center"/>
    </xf>
    <xf numFmtId="9" fontId="119" fillId="3" borderId="9" xfId="526" applyNumberFormat="1" applyFont="1" applyFill="1" applyBorder="1" applyProtection="1"/>
    <xf numFmtId="9" fontId="119" fillId="27" borderId="9" xfId="526" applyNumberFormat="1" applyFont="1" applyFill="1" applyBorder="1" applyProtection="1"/>
    <xf numFmtId="9" fontId="119" fillId="54" borderId="9" xfId="526" applyNumberFormat="1" applyFont="1" applyFill="1" applyBorder="1" applyProtection="1"/>
    <xf numFmtId="9" fontId="119" fillId="55" borderId="9" xfId="526" applyNumberFormat="1" applyFont="1" applyFill="1" applyBorder="1" applyProtection="1"/>
    <xf numFmtId="9" fontId="119" fillId="43" borderId="9" xfId="526" applyNumberFormat="1" applyFont="1" applyFill="1" applyBorder="1" applyProtection="1"/>
    <xf numFmtId="9" fontId="119" fillId="56" borderId="9" xfId="526" applyNumberFormat="1" applyFont="1" applyFill="1" applyBorder="1" applyProtection="1"/>
    <xf numFmtId="9" fontId="119" fillId="44" borderId="9" xfId="526" applyNumberFormat="1" applyFont="1" applyFill="1" applyBorder="1" applyProtection="1"/>
    <xf numFmtId="9" fontId="119" fillId="42" borderId="9" xfId="526" applyNumberFormat="1" applyFont="1" applyFill="1" applyBorder="1" applyProtection="1"/>
    <xf numFmtId="9" fontId="119" fillId="49" borderId="9" xfId="526" applyNumberFormat="1" applyFont="1" applyFill="1" applyBorder="1" applyProtection="1"/>
    <xf numFmtId="41" fontId="124" fillId="29" borderId="9" xfId="1" applyFont="1" applyFill="1" applyBorder="1" applyAlignment="1" applyProtection="1">
      <alignment horizontal="center"/>
    </xf>
    <xf numFmtId="41" fontId="133" fillId="2" borderId="0" xfId="1" applyFont="1" applyFill="1" applyBorder="1" applyAlignment="1" applyProtection="1">
      <alignment horizontal="left" vertical="center"/>
    </xf>
    <xf numFmtId="9" fontId="96" fillId="26" borderId="0" xfId="2" applyFont="1" applyFill="1" applyBorder="1" applyProtection="1">
      <alignment vertical="center"/>
      <protection locked="0"/>
    </xf>
    <xf numFmtId="9" fontId="96" fillId="29" borderId="0" xfId="2" applyFont="1" applyFill="1" applyBorder="1" applyProtection="1">
      <alignment vertical="center"/>
      <protection locked="0"/>
    </xf>
    <xf numFmtId="9" fontId="96" fillId="30" borderId="0" xfId="2" applyFont="1" applyFill="1" applyBorder="1" applyProtection="1">
      <alignment vertical="center"/>
      <protection locked="0"/>
    </xf>
    <xf numFmtId="9" fontId="96" fillId="46" borderId="0" xfId="2" applyFont="1" applyFill="1" applyBorder="1" applyProtection="1">
      <alignment vertical="center"/>
      <protection locked="0"/>
    </xf>
    <xf numFmtId="9" fontId="96" fillId="45" borderId="0" xfId="2" applyFont="1" applyFill="1" applyBorder="1" applyProtection="1">
      <alignment vertical="center"/>
      <protection locked="0"/>
    </xf>
    <xf numFmtId="9" fontId="96" fillId="40" borderId="0" xfId="2" applyFont="1" applyFill="1" applyBorder="1" applyProtection="1">
      <alignment vertical="center"/>
      <protection locked="0"/>
    </xf>
    <xf numFmtId="9" fontId="96" fillId="36" borderId="0" xfId="2" applyFont="1" applyFill="1" applyBorder="1" applyProtection="1">
      <alignment vertical="center"/>
      <protection locked="0"/>
    </xf>
    <xf numFmtId="9" fontId="96" fillId="41" borderId="0" xfId="2" applyFont="1" applyFill="1" applyBorder="1" applyProtection="1">
      <alignment vertical="center"/>
      <protection locked="0"/>
    </xf>
    <xf numFmtId="41" fontId="165" fillId="0" borderId="0" xfId="1" applyFont="1" applyProtection="1">
      <alignment vertical="center"/>
    </xf>
    <xf numFmtId="41" fontId="131" fillId="0" borderId="0" xfId="1" applyFont="1" applyProtection="1">
      <alignment vertical="center"/>
    </xf>
    <xf numFmtId="43" fontId="166" fillId="0" borderId="141" xfId="526" applyNumberFormat="1" applyFont="1" applyFill="1" applyBorder="1" applyProtection="1"/>
    <xf numFmtId="41" fontId="108" fillId="28" borderId="0" xfId="548" applyNumberFormat="1" applyFont="1" applyFill="1" applyAlignment="1">
      <alignment horizontal="right"/>
    </xf>
    <xf numFmtId="41" fontId="7" fillId="0" borderId="0" xfId="0" applyNumberFormat="1" applyFont="1">
      <alignment vertical="center"/>
    </xf>
    <xf numFmtId="9" fontId="8" fillId="30" borderId="2" xfId="2" applyFont="1" applyFill="1" applyBorder="1" applyProtection="1">
      <alignment vertical="center"/>
      <protection locked="0"/>
    </xf>
    <xf numFmtId="9" fontId="8" fillId="29" borderId="2" xfId="2" applyFont="1" applyFill="1" applyBorder="1" applyProtection="1">
      <alignment vertical="center"/>
      <protection locked="0"/>
    </xf>
    <xf numFmtId="9" fontId="8" fillId="26" borderId="2" xfId="2" applyFont="1" applyFill="1" applyBorder="1" applyProtection="1">
      <alignment vertical="center"/>
      <protection locked="0"/>
    </xf>
    <xf numFmtId="9" fontId="8" fillId="46" borderId="2" xfId="2" applyFont="1" applyFill="1" applyBorder="1" applyProtection="1">
      <alignment vertical="center"/>
      <protection locked="0"/>
    </xf>
    <xf numFmtId="9" fontId="8" fillId="45" borderId="2" xfId="2" applyFont="1" applyFill="1" applyBorder="1" applyProtection="1">
      <alignment vertical="center"/>
      <protection locked="0"/>
    </xf>
    <xf numFmtId="9" fontId="8" fillId="40" borderId="2" xfId="2" applyFont="1" applyFill="1" applyBorder="1" applyProtection="1">
      <alignment vertical="center"/>
      <protection locked="0"/>
    </xf>
    <xf numFmtId="9" fontId="8" fillId="36" borderId="2" xfId="2" applyFont="1" applyFill="1" applyBorder="1" applyProtection="1">
      <alignment vertical="center"/>
      <protection locked="0"/>
    </xf>
    <xf numFmtId="9" fontId="8" fillId="41" borderId="2" xfId="2" applyFont="1" applyFill="1" applyBorder="1" applyProtection="1">
      <alignment vertical="center"/>
      <protection locked="0"/>
    </xf>
    <xf numFmtId="9" fontId="96" fillId="26" borderId="0" xfId="2" applyFont="1" applyFill="1" applyBorder="1" applyProtection="1">
      <alignment vertical="center"/>
    </xf>
    <xf numFmtId="9" fontId="96" fillId="29" borderId="0" xfId="2" applyFont="1" applyFill="1" applyBorder="1" applyProtection="1">
      <alignment vertical="center"/>
    </xf>
    <xf numFmtId="9" fontId="96" fillId="30" borderId="0" xfId="2" applyFont="1" applyFill="1" applyBorder="1" applyProtection="1">
      <alignment vertical="center"/>
    </xf>
    <xf numFmtId="9" fontId="96" fillId="46" borderId="0" xfId="2" applyFont="1" applyFill="1" applyBorder="1" applyProtection="1">
      <alignment vertical="center"/>
    </xf>
    <xf numFmtId="9" fontId="96" fillId="45" borderId="0" xfId="2" applyFont="1" applyFill="1" applyBorder="1" applyProtection="1">
      <alignment vertical="center"/>
    </xf>
    <xf numFmtId="9" fontId="96" fillId="40" borderId="0" xfId="2" applyFont="1" applyFill="1" applyBorder="1" applyProtection="1">
      <alignment vertical="center"/>
    </xf>
    <xf numFmtId="9" fontId="96" fillId="36" borderId="0" xfId="2" applyFont="1" applyFill="1" applyBorder="1" applyProtection="1">
      <alignment vertical="center"/>
    </xf>
    <xf numFmtId="9" fontId="96" fillId="41" borderId="0" xfId="2" applyFont="1" applyFill="1" applyBorder="1" applyProtection="1">
      <alignment vertical="center"/>
    </xf>
    <xf numFmtId="9" fontId="167" fillId="26" borderId="0" xfId="2" applyFont="1" applyFill="1" applyBorder="1" applyProtection="1">
      <alignment vertical="center"/>
      <protection locked="0"/>
    </xf>
    <xf numFmtId="9" fontId="167" fillId="29" borderId="0" xfId="2" applyFont="1" applyFill="1" applyBorder="1" applyProtection="1">
      <alignment vertical="center"/>
      <protection locked="0"/>
    </xf>
    <xf numFmtId="9" fontId="167" fillId="30" borderId="0" xfId="2" applyFont="1" applyFill="1" applyBorder="1" applyProtection="1">
      <alignment vertical="center"/>
      <protection locked="0"/>
    </xf>
    <xf numFmtId="9" fontId="167" fillId="46" borderId="0" xfId="2" applyFont="1" applyFill="1" applyBorder="1" applyProtection="1">
      <alignment vertical="center"/>
      <protection locked="0"/>
    </xf>
    <xf numFmtId="9" fontId="167" fillId="45" borderId="0" xfId="2" applyFont="1" applyFill="1" applyBorder="1" applyProtection="1">
      <alignment vertical="center"/>
      <protection locked="0"/>
    </xf>
    <xf numFmtId="9" fontId="167" fillId="40" borderId="0" xfId="2" applyFont="1" applyFill="1" applyBorder="1" applyProtection="1">
      <alignment vertical="center"/>
      <protection locked="0"/>
    </xf>
    <xf numFmtId="9" fontId="167" fillId="36" borderId="0" xfId="2" applyFont="1" applyFill="1" applyBorder="1" applyProtection="1">
      <alignment vertical="center"/>
      <protection locked="0"/>
    </xf>
    <xf numFmtId="9" fontId="167" fillId="41" borderId="0" xfId="2" applyFont="1" applyFill="1" applyBorder="1" applyProtection="1">
      <alignment vertical="center"/>
      <protection locked="0"/>
    </xf>
    <xf numFmtId="0" fontId="168" fillId="2" borderId="0" xfId="548" applyFont="1" applyFill="1" applyAlignment="1">
      <alignment horizontal="center" shrinkToFit="1"/>
    </xf>
    <xf numFmtId="41" fontId="124" fillId="2" borderId="0" xfId="548" applyNumberFormat="1" applyFont="1" applyFill="1" applyAlignment="1">
      <alignment horizontal="center"/>
    </xf>
    <xf numFmtId="0" fontId="168" fillId="2" borderId="0" xfId="548" applyFont="1" applyFill="1" applyAlignment="1">
      <alignment horizontal="center"/>
    </xf>
    <xf numFmtId="0" fontId="5" fillId="2" borderId="1" xfId="3" applyFont="1" applyFill="1" applyBorder="1" applyAlignment="1">
      <alignment horizontal="center" vertical="center"/>
    </xf>
    <xf numFmtId="0" fontId="5" fillId="2" borderId="2" xfId="3" applyFont="1" applyFill="1" applyBorder="1" applyAlignment="1">
      <alignment horizontal="center" vertical="center"/>
    </xf>
    <xf numFmtId="0" fontId="5" fillId="2" borderId="7" xfId="3" applyFont="1" applyFill="1" applyBorder="1" applyAlignment="1">
      <alignment horizontal="center" vertical="center"/>
    </xf>
    <xf numFmtId="0" fontId="5" fillId="2" borderId="0" xfId="3" applyFont="1" applyFill="1" applyAlignment="1">
      <alignment horizontal="center" vertical="center"/>
    </xf>
    <xf numFmtId="0" fontId="7" fillId="2" borderId="12" xfId="0" applyFont="1" applyFill="1" applyBorder="1" applyAlignment="1">
      <alignment horizontal="center" vertical="center"/>
    </xf>
    <xf numFmtId="0" fontId="7" fillId="2" borderId="13" xfId="0" applyFont="1" applyFill="1" applyBorder="1" applyAlignment="1">
      <alignment horizontal="center" vertical="center"/>
    </xf>
    <xf numFmtId="0" fontId="2" fillId="11" borderId="2" xfId="3" applyFill="1" applyBorder="1" applyAlignment="1" applyProtection="1">
      <alignment horizontal="center" vertical="center"/>
      <protection locked="0"/>
    </xf>
    <xf numFmtId="0" fontId="2" fillId="11" borderId="18" xfId="3" applyFill="1" applyBorder="1" applyAlignment="1" applyProtection="1">
      <alignment horizontal="center" vertical="center"/>
      <protection locked="0"/>
    </xf>
    <xf numFmtId="0" fontId="9" fillId="7" borderId="7" xfId="0" applyFont="1" applyFill="1" applyBorder="1" applyAlignment="1">
      <alignment horizontal="center" vertical="center" wrapText="1"/>
    </xf>
    <xf numFmtId="0" fontId="9" fillId="7" borderId="12" xfId="0" applyFont="1" applyFill="1" applyBorder="1" applyAlignment="1">
      <alignment horizontal="center" vertical="center"/>
    </xf>
    <xf numFmtId="0" fontId="7" fillId="7" borderId="19" xfId="0" applyFont="1" applyFill="1" applyBorder="1" applyAlignment="1">
      <alignment horizontal="center" vertical="center" textRotation="255"/>
    </xf>
    <xf numFmtId="0" fontId="7" fillId="7" borderId="104" xfId="0" applyFont="1" applyFill="1" applyBorder="1" applyAlignment="1">
      <alignment horizontal="center" vertical="center" textRotation="255"/>
    </xf>
    <xf numFmtId="0" fontId="7" fillId="7" borderId="105" xfId="0" applyFont="1" applyFill="1" applyBorder="1" applyAlignment="1">
      <alignment horizontal="center" vertical="center" textRotation="255"/>
    </xf>
    <xf numFmtId="0" fontId="9" fillId="11" borderId="2" xfId="0" applyFont="1" applyFill="1" applyBorder="1" applyAlignment="1" applyProtection="1">
      <alignment horizontal="center" vertical="center"/>
      <protection locked="0"/>
    </xf>
    <xf numFmtId="0" fontId="9" fillId="11" borderId="18" xfId="0" applyFont="1" applyFill="1" applyBorder="1" applyAlignment="1" applyProtection="1">
      <alignment horizontal="center" vertical="center"/>
      <protection locked="0"/>
    </xf>
    <xf numFmtId="0" fontId="9" fillId="11" borderId="0" xfId="0" applyFont="1" applyFill="1" applyAlignment="1" applyProtection="1">
      <alignment horizontal="center" vertical="center"/>
      <protection locked="0"/>
    </xf>
    <xf numFmtId="0" fontId="9" fillId="11" borderId="44" xfId="0" applyFont="1" applyFill="1" applyBorder="1" applyAlignment="1" applyProtection="1">
      <alignment horizontal="center" vertical="center"/>
      <protection locked="0"/>
    </xf>
    <xf numFmtId="178" fontId="9" fillId="11" borderId="2" xfId="0" applyNumberFormat="1" applyFont="1" applyFill="1" applyBorder="1" applyAlignment="1" applyProtection="1">
      <alignment horizontal="center" vertical="center"/>
      <protection locked="0"/>
    </xf>
    <xf numFmtId="178" fontId="9" fillId="11" borderId="0" xfId="0" applyNumberFormat="1" applyFont="1" applyFill="1" applyAlignment="1" applyProtection="1">
      <alignment horizontal="center" vertical="center"/>
      <protection locked="0"/>
    </xf>
    <xf numFmtId="176" fontId="7" fillId="7" borderId="19" xfId="0" applyNumberFormat="1" applyFont="1" applyFill="1" applyBorder="1" applyAlignment="1">
      <alignment horizontal="center" vertical="center" textRotation="255"/>
    </xf>
    <xf numFmtId="176" fontId="7" fillId="7" borderId="104" xfId="0" applyNumberFormat="1" applyFont="1" applyFill="1" applyBorder="1" applyAlignment="1">
      <alignment horizontal="center" vertical="center" textRotation="255"/>
    </xf>
    <xf numFmtId="176" fontId="7" fillId="7" borderId="105" xfId="0" applyNumberFormat="1" applyFont="1" applyFill="1" applyBorder="1" applyAlignment="1">
      <alignment horizontal="center" vertical="center" textRotation="255"/>
    </xf>
    <xf numFmtId="176" fontId="9" fillId="7" borderId="1" xfId="0" applyNumberFormat="1" applyFont="1" applyFill="1" applyBorder="1" applyAlignment="1">
      <alignment horizontal="center" vertical="center"/>
    </xf>
    <xf numFmtId="176" fontId="9" fillId="7" borderId="2" xfId="0" applyNumberFormat="1" applyFont="1" applyFill="1" applyBorder="1" applyAlignment="1">
      <alignment horizontal="center" vertical="center"/>
    </xf>
    <xf numFmtId="0" fontId="9" fillId="7" borderId="2" xfId="0" applyFont="1" applyFill="1" applyBorder="1" applyAlignment="1">
      <alignment horizontal="center" vertical="center"/>
    </xf>
    <xf numFmtId="181" fontId="2" fillId="11" borderId="0" xfId="4" applyNumberFormat="1" applyFont="1" applyFill="1" applyBorder="1" applyAlignment="1" applyProtection="1">
      <alignment horizontal="right" vertical="center"/>
      <protection locked="0"/>
    </xf>
    <xf numFmtId="181" fontId="2" fillId="11" borderId="44" xfId="4" applyNumberFormat="1" applyFont="1" applyFill="1" applyBorder="1" applyAlignment="1" applyProtection="1">
      <alignment horizontal="right" vertical="center"/>
      <protection locked="0"/>
    </xf>
    <xf numFmtId="181" fontId="2" fillId="0" borderId="0" xfId="4" applyNumberFormat="1" applyFont="1" applyFill="1" applyBorder="1" applyAlignment="1" applyProtection="1">
      <alignment horizontal="right" vertical="center"/>
    </xf>
    <xf numFmtId="181" fontId="2" fillId="0" borderId="44" xfId="4" applyNumberFormat="1" applyFont="1" applyFill="1" applyBorder="1" applyAlignment="1" applyProtection="1">
      <alignment horizontal="right" vertical="center"/>
    </xf>
    <xf numFmtId="0" fontId="2" fillId="11" borderId="0" xfId="3" applyFill="1" applyAlignment="1" applyProtection="1">
      <alignment horizontal="center" vertical="center" shrinkToFit="1"/>
      <protection locked="0"/>
    </xf>
    <xf numFmtId="0" fontId="2" fillId="11" borderId="44" xfId="3" applyFill="1" applyBorder="1" applyAlignment="1" applyProtection="1">
      <alignment horizontal="center" vertical="center" shrinkToFit="1"/>
      <protection locked="0"/>
    </xf>
    <xf numFmtId="0" fontId="2" fillId="11" borderId="13" xfId="3" applyFill="1" applyBorder="1" applyAlignment="1" applyProtection="1">
      <alignment horizontal="center" vertical="center"/>
      <protection locked="0"/>
    </xf>
    <xf numFmtId="0" fontId="2" fillId="11" borderId="23" xfId="3" applyFill="1" applyBorder="1" applyAlignment="1" applyProtection="1">
      <alignment horizontal="center" vertical="center"/>
      <protection locked="0"/>
    </xf>
    <xf numFmtId="0" fontId="3" fillId="11" borderId="2" xfId="3" applyFont="1" applyFill="1" applyBorder="1" applyAlignment="1" applyProtection="1">
      <alignment horizontal="left" vertical="center"/>
      <protection locked="0"/>
    </xf>
    <xf numFmtId="0" fontId="3" fillId="11" borderId="0" xfId="3" applyFont="1" applyFill="1" applyAlignment="1" applyProtection="1">
      <alignment horizontal="left" vertical="center"/>
      <protection locked="0"/>
    </xf>
    <xf numFmtId="178" fontId="9" fillId="11" borderId="44" xfId="0" applyNumberFormat="1" applyFont="1" applyFill="1" applyBorder="1" applyAlignment="1" applyProtection="1">
      <alignment horizontal="center" vertical="center"/>
      <protection locked="0"/>
    </xf>
    <xf numFmtId="0" fontId="9" fillId="7" borderId="175" xfId="0" applyFont="1" applyFill="1" applyBorder="1" applyAlignment="1">
      <alignment horizontal="center" vertical="center"/>
    </xf>
    <xf numFmtId="0" fontId="9" fillId="7" borderId="7" xfId="0" applyFont="1" applyFill="1" applyBorder="1" applyAlignment="1">
      <alignment horizontal="center" vertical="center"/>
    </xf>
    <xf numFmtId="0" fontId="9" fillId="7" borderId="45" xfId="0" applyFont="1" applyFill="1" applyBorder="1" applyAlignment="1">
      <alignment horizontal="center" vertical="center"/>
    </xf>
    <xf numFmtId="0" fontId="9" fillId="7" borderId="175" xfId="0" applyFont="1" applyFill="1" applyBorder="1" applyAlignment="1">
      <alignment horizontal="center" vertical="center" wrapText="1"/>
    </xf>
    <xf numFmtId="0" fontId="9" fillId="7" borderId="1" xfId="0" applyFont="1" applyFill="1" applyBorder="1" applyAlignment="1">
      <alignment horizontal="center" vertical="center"/>
    </xf>
    <xf numFmtId="0" fontId="7" fillId="11" borderId="13" xfId="0" applyFont="1" applyFill="1" applyBorder="1" applyAlignment="1" applyProtection="1">
      <alignment horizontal="left" vertical="center"/>
      <protection locked="0"/>
    </xf>
    <xf numFmtId="0" fontId="9" fillId="7" borderId="0" xfId="0" applyFont="1" applyFill="1" applyAlignment="1">
      <alignment horizontal="center" vertical="center"/>
    </xf>
    <xf numFmtId="183" fontId="9" fillId="0" borderId="0" xfId="2" applyNumberFormat="1" applyFont="1" applyFill="1" applyBorder="1" applyAlignment="1" applyProtection="1">
      <alignment horizontal="center" vertical="center"/>
    </xf>
    <xf numFmtId="0" fontId="9" fillId="7" borderId="13" xfId="0" applyFont="1" applyFill="1" applyBorder="1" applyAlignment="1">
      <alignment horizontal="center" vertical="center"/>
    </xf>
    <xf numFmtId="183" fontId="9" fillId="11" borderId="13" xfId="2" applyNumberFormat="1" applyFont="1" applyFill="1" applyBorder="1" applyAlignment="1" applyProtection="1">
      <alignment horizontal="center" vertical="center"/>
      <protection locked="0"/>
    </xf>
    <xf numFmtId="184" fontId="2" fillId="11" borderId="0" xfId="3" applyNumberFormat="1" applyFill="1" applyAlignment="1" applyProtection="1">
      <alignment horizontal="center" vertical="center"/>
      <protection locked="0"/>
    </xf>
    <xf numFmtId="184" fontId="2" fillId="11" borderId="44" xfId="3" applyNumberFormat="1" applyFill="1" applyBorder="1" applyAlignment="1" applyProtection="1">
      <alignment horizontal="center" vertical="center"/>
      <protection locked="0"/>
    </xf>
    <xf numFmtId="184" fontId="2" fillId="11" borderId="13" xfId="3" applyNumberFormat="1" applyFill="1" applyBorder="1" applyAlignment="1" applyProtection="1">
      <alignment horizontal="center" vertical="center"/>
      <protection locked="0"/>
    </xf>
    <xf numFmtId="184" fontId="2" fillId="11" borderId="23" xfId="3" applyNumberFormat="1" applyFill="1" applyBorder="1" applyAlignment="1" applyProtection="1">
      <alignment horizontal="center" vertical="center"/>
      <protection locked="0"/>
    </xf>
    <xf numFmtId="0" fontId="2" fillId="11" borderId="0" xfId="3" applyFill="1" applyAlignment="1" applyProtection="1">
      <alignment horizontal="center" vertical="center"/>
      <protection locked="0"/>
    </xf>
    <xf numFmtId="0" fontId="2" fillId="11" borderId="44" xfId="3" applyFill="1" applyBorder="1" applyAlignment="1" applyProtection="1">
      <alignment horizontal="center" vertical="center"/>
      <protection locked="0"/>
    </xf>
    <xf numFmtId="316" fontId="2" fillId="11" borderId="0" xfId="3" applyNumberFormat="1" applyFill="1" applyAlignment="1" applyProtection="1">
      <alignment horizontal="center" vertical="center" wrapText="1"/>
      <protection locked="0"/>
    </xf>
    <xf numFmtId="316" fontId="2" fillId="11" borderId="44" xfId="3" applyNumberFormat="1" applyFill="1" applyBorder="1" applyAlignment="1" applyProtection="1">
      <alignment horizontal="center" vertical="center"/>
      <protection locked="0"/>
    </xf>
    <xf numFmtId="176" fontId="9" fillId="7" borderId="7" xfId="0" applyNumberFormat="1" applyFont="1" applyFill="1" applyBorder="1" applyAlignment="1">
      <alignment horizontal="center" vertical="center" textRotation="255"/>
    </xf>
    <xf numFmtId="186" fontId="23" fillId="0" borderId="123" xfId="0" applyNumberFormat="1" applyFont="1" applyBorder="1" applyAlignment="1">
      <alignment horizontal="center" vertical="center"/>
    </xf>
    <xf numFmtId="186" fontId="23" fillId="0" borderId="37" xfId="0" applyNumberFormat="1" applyFont="1" applyBorder="1" applyAlignment="1">
      <alignment horizontal="center" vertical="center"/>
    </xf>
    <xf numFmtId="288" fontId="9" fillId="0" borderId="104" xfId="2" applyNumberFormat="1" applyFont="1" applyFill="1" applyBorder="1" applyAlignment="1" applyProtection="1">
      <alignment horizontal="center" vertical="center"/>
    </xf>
    <xf numFmtId="0" fontId="2" fillId="11" borderId="36" xfId="3" applyFill="1" applyBorder="1" applyAlignment="1" applyProtection="1">
      <alignment horizontal="center" vertical="center"/>
      <protection locked="0"/>
    </xf>
    <xf numFmtId="0" fontId="2" fillId="11" borderId="41" xfId="3" applyFill="1" applyBorder="1" applyAlignment="1" applyProtection="1">
      <alignment horizontal="center" vertical="center"/>
      <protection locked="0"/>
    </xf>
    <xf numFmtId="0" fontId="2" fillId="11" borderId="10" xfId="3" applyFill="1" applyBorder="1" applyAlignment="1" applyProtection="1">
      <alignment horizontal="center" vertical="center"/>
      <protection locked="0"/>
    </xf>
    <xf numFmtId="186" fontId="2" fillId="11" borderId="104" xfId="3" applyNumberFormat="1" applyFill="1" applyBorder="1" applyAlignment="1" applyProtection="1">
      <alignment horizontal="center" vertical="center"/>
      <protection locked="0"/>
    </xf>
    <xf numFmtId="186" fontId="9" fillId="11" borderId="104" xfId="0" applyNumberFormat="1" applyFont="1" applyFill="1" applyBorder="1" applyAlignment="1" applyProtection="1">
      <alignment horizontal="center" vertical="center"/>
      <protection locked="0"/>
    </xf>
    <xf numFmtId="41" fontId="9" fillId="0" borderId="115" xfId="1" applyFont="1" applyFill="1" applyBorder="1" applyAlignment="1" applyProtection="1">
      <alignment horizontal="center" vertical="center"/>
    </xf>
    <xf numFmtId="41" fontId="9" fillId="0" borderId="9" xfId="1" applyFont="1" applyFill="1" applyBorder="1" applyAlignment="1" applyProtection="1">
      <alignment horizontal="center" vertical="center"/>
    </xf>
    <xf numFmtId="186" fontId="9" fillId="0" borderId="9" xfId="0" applyNumberFormat="1" applyFont="1" applyBorder="1" applyAlignment="1">
      <alignment horizontal="center" vertical="center"/>
    </xf>
    <xf numFmtId="186" fontId="23" fillId="0" borderId="9" xfId="0" applyNumberFormat="1" applyFont="1" applyBorder="1" applyAlignment="1">
      <alignment horizontal="center" vertical="center"/>
    </xf>
    <xf numFmtId="287" fontId="9" fillId="26" borderId="124" xfId="0" applyNumberFormat="1" applyFont="1" applyFill="1" applyBorder="1" applyAlignment="1">
      <alignment horizontal="center" vertical="center"/>
    </xf>
    <xf numFmtId="287" fontId="9" fillId="26" borderId="3" xfId="0" applyNumberFormat="1" applyFont="1" applyFill="1" applyBorder="1" applyAlignment="1">
      <alignment horizontal="center" vertical="center"/>
    </xf>
    <xf numFmtId="0" fontId="2" fillId="11" borderId="126" xfId="3" applyFill="1" applyBorder="1" applyAlignment="1" applyProtection="1">
      <alignment horizontal="center" vertical="center"/>
      <protection locked="0"/>
    </xf>
    <xf numFmtId="0" fontId="2" fillId="11" borderId="123" xfId="3" applyFill="1" applyBorder="1" applyAlignment="1" applyProtection="1">
      <alignment horizontal="center" vertical="center"/>
      <protection locked="0"/>
    </xf>
    <xf numFmtId="0" fontId="2" fillId="11" borderId="37" xfId="3" applyFill="1" applyBorder="1" applyAlignment="1" applyProtection="1">
      <alignment horizontal="center" vertical="center"/>
      <protection locked="0"/>
    </xf>
    <xf numFmtId="186" fontId="2" fillId="11" borderId="114" xfId="3" applyNumberFormat="1" applyFill="1" applyBorder="1" applyAlignment="1" applyProtection="1">
      <alignment horizontal="center" vertical="center"/>
      <protection locked="0"/>
    </xf>
    <xf numFmtId="186" fontId="2" fillId="11" borderId="38" xfId="3" applyNumberFormat="1" applyFill="1" applyBorder="1" applyAlignment="1" applyProtection="1">
      <alignment horizontal="center" vertical="center"/>
      <protection locked="0"/>
    </xf>
    <xf numFmtId="186" fontId="9" fillId="11" borderId="114" xfId="0" applyNumberFormat="1" applyFont="1" applyFill="1" applyBorder="1" applyAlignment="1" applyProtection="1">
      <alignment horizontal="center" vertical="center"/>
      <protection locked="0"/>
    </xf>
    <xf numFmtId="186" fontId="9" fillId="11" borderId="38" xfId="0" applyNumberFormat="1" applyFont="1" applyFill="1" applyBorder="1" applyAlignment="1" applyProtection="1">
      <alignment horizontal="center" vertical="center"/>
      <protection locked="0"/>
    </xf>
    <xf numFmtId="41" fontId="9" fillId="0" borderId="3" xfId="1" applyFont="1" applyFill="1" applyBorder="1" applyAlignment="1" applyProtection="1">
      <alignment horizontal="center" vertical="center"/>
    </xf>
    <xf numFmtId="288" fontId="9" fillId="0" borderId="114" xfId="2" applyNumberFormat="1" applyFont="1" applyFill="1" applyBorder="1" applyAlignment="1" applyProtection="1">
      <alignment horizontal="center" vertical="center"/>
    </xf>
    <xf numFmtId="288" fontId="9" fillId="0" borderId="38" xfId="2" applyNumberFormat="1" applyFont="1" applyFill="1" applyBorder="1" applyAlignment="1" applyProtection="1">
      <alignment horizontal="center" vertical="center"/>
    </xf>
    <xf numFmtId="10" fontId="9" fillId="26" borderId="19" xfId="0" applyNumberFormat="1" applyFont="1" applyFill="1" applyBorder="1" applyAlignment="1">
      <alignment horizontal="center" vertical="center"/>
    </xf>
    <xf numFmtId="10" fontId="9" fillId="26" borderId="105" xfId="0" applyNumberFormat="1" applyFont="1" applyFill="1" applyBorder="1" applyAlignment="1">
      <alignment horizontal="center" vertical="center"/>
    </xf>
    <xf numFmtId="288" fontId="9" fillId="0" borderId="19" xfId="2" applyNumberFormat="1" applyFont="1" applyFill="1" applyBorder="1" applyAlignment="1" applyProtection="1">
      <alignment horizontal="center" vertical="center"/>
    </xf>
    <xf numFmtId="287" fontId="9" fillId="26" borderId="19" xfId="0" applyNumberFormat="1" applyFont="1" applyFill="1" applyBorder="1" applyAlignment="1">
      <alignment horizontal="center" vertical="center"/>
    </xf>
    <xf numFmtId="287" fontId="9" fillId="26" borderId="105" xfId="0" applyNumberFormat="1" applyFont="1" applyFill="1" applyBorder="1" applyAlignment="1">
      <alignment horizontal="center" vertical="center"/>
    </xf>
    <xf numFmtId="186" fontId="23" fillId="0" borderId="3" xfId="0" applyNumberFormat="1" applyFont="1" applyBorder="1" applyAlignment="1">
      <alignment horizontal="center" vertical="center"/>
    </xf>
    <xf numFmtId="186" fontId="9" fillId="0" borderId="3" xfId="0" applyNumberFormat="1" applyFont="1" applyBorder="1" applyAlignment="1">
      <alignment horizontal="center" vertical="center"/>
    </xf>
    <xf numFmtId="0" fontId="2" fillId="11" borderId="24" xfId="3" applyFill="1" applyBorder="1" applyAlignment="1" applyProtection="1">
      <alignment horizontal="center" vertical="center"/>
      <protection locked="0"/>
    </xf>
    <xf numFmtId="185" fontId="9" fillId="26" borderId="26" xfId="0" applyNumberFormat="1" applyFont="1" applyFill="1" applyBorder="1" applyAlignment="1">
      <alignment horizontal="center" vertical="center"/>
    </xf>
    <xf numFmtId="185" fontId="9" fillId="26" borderId="5" xfId="0" applyNumberFormat="1" applyFont="1" applyFill="1" applyBorder="1" applyAlignment="1">
      <alignment horizontal="center" vertical="center"/>
    </xf>
    <xf numFmtId="185" fontId="9" fillId="26" borderId="6" xfId="0" applyNumberFormat="1" applyFont="1" applyFill="1" applyBorder="1" applyAlignment="1">
      <alignment horizontal="center" vertical="center"/>
    </xf>
    <xf numFmtId="186" fontId="23" fillId="0" borderId="25" xfId="0" applyNumberFormat="1" applyFont="1" applyBorder="1" applyAlignment="1">
      <alignment horizontal="center" vertical="center"/>
    </xf>
    <xf numFmtId="186" fontId="23" fillId="0" borderId="40" xfId="0" applyNumberFormat="1" applyFont="1" applyBorder="1" applyAlignment="1">
      <alignment horizontal="center" vertical="center"/>
    </xf>
    <xf numFmtId="186" fontId="9" fillId="11" borderId="19" xfId="0" applyNumberFormat="1" applyFont="1" applyFill="1" applyBorder="1" applyAlignment="1" applyProtection="1">
      <alignment horizontal="center" vertical="center"/>
      <protection locked="0"/>
    </xf>
    <xf numFmtId="287" fontId="9" fillId="26" borderId="17" xfId="0" applyNumberFormat="1" applyFont="1" applyFill="1" applyBorder="1" applyAlignment="1">
      <alignment horizontal="center" vertical="center"/>
    </xf>
    <xf numFmtId="287" fontId="9" fillId="26" borderId="22" xfId="0" applyNumberFormat="1" applyFont="1" applyFill="1" applyBorder="1" applyAlignment="1">
      <alignment horizontal="center" vertical="center"/>
    </xf>
    <xf numFmtId="41" fontId="9" fillId="0" borderId="124" xfId="1" applyFont="1" applyFill="1" applyBorder="1" applyAlignment="1" applyProtection="1">
      <alignment horizontal="center" vertical="center"/>
    </xf>
    <xf numFmtId="0" fontId="103" fillId="2" borderId="0" xfId="0" applyFont="1" applyFill="1" applyAlignment="1">
      <alignment horizontal="left" vertical="center"/>
    </xf>
    <xf numFmtId="0" fontId="103" fillId="2" borderId="13" xfId="0" applyFont="1" applyFill="1" applyBorder="1" applyAlignment="1">
      <alignment horizontal="left" vertical="center"/>
    </xf>
    <xf numFmtId="0" fontId="98" fillId="0" borderId="36" xfId="0" applyFont="1" applyBorder="1" applyAlignment="1">
      <alignment horizontal="center" vertical="center"/>
    </xf>
    <xf numFmtId="0" fontId="98" fillId="0" borderId="41" xfId="0" applyFont="1" applyBorder="1" applyAlignment="1">
      <alignment horizontal="center" vertical="center"/>
    </xf>
    <xf numFmtId="0" fontId="98" fillId="0" borderId="28" xfId="0" applyFont="1" applyBorder="1" applyAlignment="1">
      <alignment horizontal="center" vertical="center"/>
    </xf>
    <xf numFmtId="185" fontId="9" fillId="26" borderId="18" xfId="0" applyNumberFormat="1" applyFont="1" applyFill="1" applyBorder="1" applyAlignment="1">
      <alignment horizontal="center" vertical="center" wrapText="1"/>
    </xf>
    <xf numFmtId="185" fontId="9" fillId="26" borderId="23" xfId="0" applyNumberFormat="1" applyFont="1" applyFill="1" applyBorder="1" applyAlignment="1">
      <alignment horizontal="center" vertical="center" wrapText="1"/>
    </xf>
    <xf numFmtId="0" fontId="2" fillId="11" borderId="4" xfId="3" applyFill="1" applyBorder="1" applyAlignment="1" applyProtection="1">
      <alignment horizontal="center" vertical="center"/>
      <protection locked="0"/>
    </xf>
    <xf numFmtId="0" fontId="9" fillId="0" borderId="80" xfId="0" applyFont="1" applyBorder="1" applyAlignment="1">
      <alignment horizontal="center" vertical="center"/>
    </xf>
    <xf numFmtId="0" fontId="9" fillId="0" borderId="132" xfId="0" applyFont="1" applyBorder="1" applyAlignment="1">
      <alignment horizontal="center" vertical="center"/>
    </xf>
    <xf numFmtId="0" fontId="0" fillId="26" borderId="24" xfId="0" applyFill="1" applyBorder="1" applyAlignment="1">
      <alignment horizontal="center" vertical="center"/>
    </xf>
    <xf numFmtId="0" fontId="0" fillId="26" borderId="4" xfId="0" applyFill="1" applyBorder="1" applyAlignment="1">
      <alignment horizontal="center" vertical="center"/>
    </xf>
    <xf numFmtId="185" fontId="9" fillId="26" borderId="19" xfId="0" applyNumberFormat="1" applyFont="1" applyFill="1" applyBorder="1" applyAlignment="1">
      <alignment horizontal="center" vertical="center"/>
    </xf>
    <xf numFmtId="185" fontId="9" fillId="26" borderId="105" xfId="0" applyNumberFormat="1" applyFont="1" applyFill="1" applyBorder="1" applyAlignment="1">
      <alignment horizontal="center" vertical="center"/>
    </xf>
    <xf numFmtId="288" fontId="9" fillId="0" borderId="105" xfId="2" applyNumberFormat="1" applyFont="1" applyFill="1" applyBorder="1" applyAlignment="1" applyProtection="1">
      <alignment horizontal="center" vertical="center"/>
    </xf>
    <xf numFmtId="41" fontId="9" fillId="0" borderId="0" xfId="1" applyFont="1" applyFill="1" applyBorder="1" applyAlignment="1" applyProtection="1">
      <alignment horizontal="center" vertical="center"/>
    </xf>
    <xf numFmtId="41" fontId="9" fillId="0" borderId="13" xfId="1" applyFont="1" applyFill="1" applyBorder="1" applyAlignment="1" applyProtection="1">
      <alignment horizontal="center" vertical="center"/>
    </xf>
    <xf numFmtId="186" fontId="23" fillId="0" borderId="31" xfId="0" applyNumberFormat="1" applyFont="1" applyBorder="1" applyAlignment="1">
      <alignment horizontal="center" vertical="center"/>
    </xf>
    <xf numFmtId="41" fontId="9" fillId="0" borderId="126" xfId="1" applyFont="1" applyFill="1" applyBorder="1" applyAlignment="1" applyProtection="1">
      <alignment horizontal="center" vertical="center"/>
    </xf>
    <xf numFmtId="41" fontId="9" fillId="0" borderId="42" xfId="1" applyFont="1" applyFill="1" applyBorder="1" applyAlignment="1" applyProtection="1">
      <alignment horizontal="center" vertical="center"/>
    </xf>
    <xf numFmtId="186" fontId="23" fillId="0" borderId="50" xfId="0" applyNumberFormat="1" applyFont="1" applyBorder="1" applyAlignment="1">
      <alignment horizontal="center" vertical="center"/>
    </xf>
    <xf numFmtId="186" fontId="23" fillId="0" borderId="15" xfId="0" applyNumberFormat="1" applyFont="1" applyBorder="1" applyAlignment="1">
      <alignment horizontal="center" vertical="center"/>
    </xf>
    <xf numFmtId="186" fontId="9" fillId="0" borderId="46" xfId="0" applyNumberFormat="1" applyFont="1" applyBorder="1" applyAlignment="1">
      <alignment horizontal="center" vertical="center"/>
    </xf>
    <xf numFmtId="186" fontId="9" fillId="0" borderId="14" xfId="0" applyNumberFormat="1" applyFont="1" applyBorder="1" applyAlignment="1">
      <alignment horizontal="center" vertical="center"/>
    </xf>
    <xf numFmtId="0" fontId="2" fillId="11" borderId="28" xfId="3" applyFill="1" applyBorder="1" applyAlignment="1" applyProtection="1">
      <alignment horizontal="center" vertical="center"/>
      <protection locked="0"/>
    </xf>
    <xf numFmtId="0" fontId="2" fillId="11" borderId="139" xfId="3" applyFill="1" applyBorder="1" applyAlignment="1" applyProtection="1">
      <alignment horizontal="center" vertical="center"/>
      <protection locked="0"/>
    </xf>
    <xf numFmtId="0" fontId="2" fillId="11" borderId="156" xfId="3" applyFill="1" applyBorder="1" applyAlignment="1" applyProtection="1">
      <alignment horizontal="center" vertical="center"/>
      <protection locked="0"/>
    </xf>
    <xf numFmtId="186" fontId="2" fillId="11" borderId="20" xfId="3" applyNumberFormat="1" applyFill="1" applyBorder="1" applyAlignment="1" applyProtection="1">
      <alignment horizontal="center" vertical="center"/>
      <protection locked="0"/>
    </xf>
    <xf numFmtId="186" fontId="2" fillId="11" borderId="22" xfId="3" applyNumberFormat="1" applyFill="1" applyBorder="1" applyAlignment="1" applyProtection="1">
      <alignment horizontal="center" vertical="center"/>
      <protection locked="0"/>
    </xf>
    <xf numFmtId="186" fontId="9" fillId="11" borderId="105" xfId="0" applyNumberFormat="1" applyFont="1" applyFill="1" applyBorder="1" applyAlignment="1" applyProtection="1">
      <alignment horizontal="center" vertical="center"/>
      <protection locked="0"/>
    </xf>
    <xf numFmtId="186" fontId="23" fillId="0" borderId="46" xfId="0" applyNumberFormat="1" applyFont="1" applyBorder="1" applyAlignment="1">
      <alignment horizontal="center" vertical="center"/>
    </xf>
    <xf numFmtId="186" fontId="23" fillId="0" borderId="14" xfId="0" applyNumberFormat="1" applyFont="1" applyBorder="1" applyAlignment="1">
      <alignment horizontal="center" vertical="center"/>
    </xf>
    <xf numFmtId="0" fontId="2" fillId="11" borderId="140" xfId="3" applyFill="1" applyBorder="1" applyAlignment="1" applyProtection="1">
      <alignment horizontal="center" vertical="center"/>
      <protection locked="0"/>
    </xf>
    <xf numFmtId="0" fontId="2" fillId="11" borderId="119" xfId="3" applyFill="1" applyBorder="1" applyAlignment="1" applyProtection="1">
      <alignment horizontal="center" vertical="center"/>
      <protection locked="0"/>
    </xf>
    <xf numFmtId="0" fontId="0" fillId="0" borderId="27" xfId="0" applyBorder="1" applyAlignment="1">
      <alignment horizontal="center" vertical="center"/>
    </xf>
    <xf numFmtId="0" fontId="0" fillId="36" borderId="27" xfId="0" applyFill="1" applyBorder="1" applyAlignment="1">
      <alignment horizontal="center" vertical="center"/>
    </xf>
    <xf numFmtId="41" fontId="0" fillId="0" borderId="27" xfId="1" applyFont="1" applyBorder="1" applyAlignment="1">
      <alignment horizontal="center" vertical="center"/>
    </xf>
    <xf numFmtId="195" fontId="0" fillId="0" borderId="27" xfId="0" applyNumberFormat="1" applyBorder="1" applyAlignment="1">
      <alignment horizontal="center" vertical="center"/>
    </xf>
    <xf numFmtId="200" fontId="0" fillId="40" borderId="27" xfId="2" applyNumberFormat="1" applyFont="1" applyFill="1" applyBorder="1" applyAlignment="1">
      <alignment horizontal="center" vertical="center"/>
    </xf>
    <xf numFmtId="204" fontId="7" fillId="7" borderId="132" xfId="0" applyNumberFormat="1" applyFont="1" applyFill="1" applyBorder="1" applyAlignment="1">
      <alignment horizontal="center" vertical="center"/>
    </xf>
    <xf numFmtId="204" fontId="7" fillId="7" borderId="34" xfId="0" applyNumberFormat="1" applyFont="1" applyFill="1" applyBorder="1" applyAlignment="1">
      <alignment horizontal="center" vertical="center"/>
    </xf>
    <xf numFmtId="204" fontId="7" fillId="7" borderId="33" xfId="0" applyNumberFormat="1" applyFont="1" applyFill="1" applyBorder="1" applyAlignment="1">
      <alignment horizontal="center" vertical="center"/>
    </xf>
    <xf numFmtId="204" fontId="7" fillId="7" borderId="118" xfId="0" applyNumberFormat="1" applyFont="1" applyFill="1" applyBorder="1" applyAlignment="1">
      <alignment horizontal="center" vertical="center"/>
    </xf>
    <xf numFmtId="204" fontId="7" fillId="7" borderId="81" xfId="0" applyNumberFormat="1" applyFont="1" applyFill="1" applyBorder="1" applyAlignment="1">
      <alignment horizontal="center" vertical="center"/>
    </xf>
    <xf numFmtId="204" fontId="7" fillId="7" borderId="43" xfId="0" applyNumberFormat="1" applyFont="1" applyFill="1" applyBorder="1" applyAlignment="1">
      <alignment horizontal="center" vertical="center"/>
    </xf>
    <xf numFmtId="204" fontId="7" fillId="7" borderId="121" xfId="0" applyNumberFormat="1" applyFont="1" applyFill="1" applyBorder="1" applyAlignment="1">
      <alignment horizontal="center" vertical="center"/>
    </xf>
    <xf numFmtId="0" fontId="2" fillId="0" borderId="4" xfId="3" applyBorder="1" applyAlignment="1">
      <alignment horizontal="center" vertical="center"/>
    </xf>
    <xf numFmtId="0" fontId="2" fillId="0" borderId="6" xfId="3" applyBorder="1" applyAlignment="1">
      <alignment horizontal="center" vertical="center"/>
    </xf>
    <xf numFmtId="0" fontId="2" fillId="0" borderId="10" xfId="3" applyBorder="1" applyAlignment="1">
      <alignment horizontal="center" vertical="center"/>
    </xf>
    <xf numFmtId="0" fontId="2" fillId="0" borderId="108" xfId="3" applyBorder="1" applyAlignment="1">
      <alignment horizontal="center" vertical="center"/>
    </xf>
    <xf numFmtId="316" fontId="2" fillId="0" borderId="10" xfId="3" applyNumberFormat="1" applyBorder="1" applyAlignment="1">
      <alignment horizontal="center" vertical="center"/>
    </xf>
    <xf numFmtId="316" fontId="2" fillId="0" borderId="108" xfId="3" applyNumberFormat="1" applyBorder="1" applyAlignment="1">
      <alignment horizontal="center" vertical="center"/>
    </xf>
    <xf numFmtId="317" fontId="2" fillId="0" borderId="10" xfId="3" applyNumberFormat="1" applyBorder="1" applyAlignment="1">
      <alignment horizontal="center" vertical="center"/>
    </xf>
    <xf numFmtId="317" fontId="2" fillId="0" borderId="108" xfId="3" applyNumberFormat="1" applyBorder="1" applyAlignment="1">
      <alignment horizontal="center" vertical="center"/>
    </xf>
    <xf numFmtId="317" fontId="2" fillId="0" borderId="120" xfId="3" applyNumberFormat="1" applyBorder="1" applyAlignment="1">
      <alignment horizontal="center" vertical="center"/>
    </xf>
    <xf numFmtId="317" fontId="2" fillId="0" borderId="111" xfId="3" applyNumberFormat="1" applyBorder="1" applyAlignment="1">
      <alignment horizontal="center" vertical="center"/>
    </xf>
    <xf numFmtId="0" fontId="0" fillId="0" borderId="52" xfId="0" applyBorder="1" applyAlignment="1">
      <alignment horizontal="center" vertical="center" shrinkToFit="1"/>
    </xf>
    <xf numFmtId="0" fontId="0" fillId="0" borderId="133" xfId="0" applyBorder="1" applyAlignment="1">
      <alignment horizontal="center" vertical="center" shrinkToFit="1"/>
    </xf>
    <xf numFmtId="0" fontId="0" fillId="0" borderId="74" xfId="0" applyBorder="1" applyAlignment="1">
      <alignment horizontal="center" vertical="center" shrinkToFit="1"/>
    </xf>
    <xf numFmtId="200" fontId="0" fillId="0" borderId="21" xfId="2" applyNumberFormat="1" applyFont="1" applyFill="1" applyBorder="1" applyAlignment="1" applyProtection="1">
      <alignment horizontal="center" vertical="center"/>
    </xf>
    <xf numFmtId="200" fontId="0" fillId="0" borderId="51" xfId="2" applyNumberFormat="1" applyFont="1" applyFill="1" applyBorder="1" applyAlignment="1" applyProtection="1">
      <alignment horizontal="center" vertical="center"/>
    </xf>
    <xf numFmtId="178" fontId="9" fillId="0" borderId="115" xfId="0" applyNumberFormat="1" applyFont="1" applyBorder="1" applyAlignment="1">
      <alignment horizontal="center" vertical="center"/>
    </xf>
    <xf numFmtId="178" fontId="9" fillId="0" borderId="9" xfId="0" applyNumberFormat="1" applyFont="1" applyBorder="1" applyAlignment="1">
      <alignment horizontal="center" vertical="center"/>
    </xf>
    <xf numFmtId="0" fontId="9" fillId="0" borderId="51" xfId="0" applyFont="1" applyBorder="1" applyAlignment="1">
      <alignment horizontal="center" vertical="center"/>
    </xf>
    <xf numFmtId="0" fontId="9" fillId="0" borderId="52" xfId="0" applyFont="1" applyBorder="1" applyAlignment="1">
      <alignment horizontal="center" vertical="center"/>
    </xf>
    <xf numFmtId="0" fontId="9" fillId="0" borderId="68" xfId="0" applyFont="1" applyBorder="1" applyAlignment="1">
      <alignment horizontal="center" vertical="center"/>
    </xf>
    <xf numFmtId="200" fontId="0" fillId="30" borderId="21" xfId="2" applyNumberFormat="1" applyFont="1" applyFill="1" applyBorder="1" applyAlignment="1" applyProtection="1">
      <alignment horizontal="center" vertical="center"/>
    </xf>
    <xf numFmtId="200" fontId="0" fillId="30" borderId="51" xfId="2" applyNumberFormat="1" applyFont="1" applyFill="1" applyBorder="1" applyAlignment="1" applyProtection="1">
      <alignment horizontal="center" vertical="center"/>
    </xf>
    <xf numFmtId="0" fontId="9" fillId="30" borderId="51" xfId="0" applyFont="1" applyFill="1" applyBorder="1" applyAlignment="1">
      <alignment horizontal="center" vertical="center"/>
    </xf>
    <xf numFmtId="0" fontId="9" fillId="30" borderId="52" xfId="0" applyFont="1" applyFill="1" applyBorder="1" applyAlignment="1">
      <alignment horizontal="center" vertical="center"/>
    </xf>
    <xf numFmtId="0" fontId="9" fillId="30" borderId="68" xfId="0" applyFont="1" applyFill="1" applyBorder="1" applyAlignment="1">
      <alignment horizontal="center" vertical="center"/>
    </xf>
    <xf numFmtId="0" fontId="0" fillId="0" borderId="51" xfId="0" applyBorder="1" applyAlignment="1">
      <alignment horizontal="center" vertical="center"/>
    </xf>
    <xf numFmtId="0" fontId="0" fillId="0" borderId="52" xfId="0" applyBorder="1" applyAlignment="1">
      <alignment horizontal="center" vertical="center"/>
    </xf>
    <xf numFmtId="0" fontId="0" fillId="0" borderId="68" xfId="0" applyBorder="1" applyAlignment="1">
      <alignment horizontal="center" vertical="center"/>
    </xf>
    <xf numFmtId="176" fontId="9" fillId="0" borderId="10" xfId="0" applyNumberFormat="1" applyFont="1" applyBorder="1" applyAlignment="1">
      <alignment horizontal="center" vertical="center"/>
    </xf>
    <xf numFmtId="176" fontId="9" fillId="0" borderId="115" xfId="0" applyNumberFormat="1" applyFont="1" applyBorder="1" applyAlignment="1">
      <alignment horizontal="center" vertical="center"/>
    </xf>
    <xf numFmtId="176" fontId="9" fillId="0" borderId="4" xfId="0" applyNumberFormat="1" applyFont="1" applyBorder="1" applyAlignment="1">
      <alignment horizontal="center" vertical="center"/>
    </xf>
    <xf numFmtId="176" fontId="9" fillId="0" borderId="124" xfId="0" applyNumberFormat="1" applyFont="1" applyBorder="1" applyAlignment="1">
      <alignment horizontal="center" vertical="center"/>
    </xf>
    <xf numFmtId="177" fontId="2" fillId="0" borderId="10" xfId="3" applyNumberFormat="1" applyBorder="1" applyAlignment="1">
      <alignment horizontal="center" vertical="center"/>
    </xf>
    <xf numFmtId="177" fontId="2" fillId="0" borderId="115" xfId="3" applyNumberFormat="1" applyBorder="1" applyAlignment="1">
      <alignment horizontal="center" vertical="center"/>
    </xf>
    <xf numFmtId="0" fontId="9" fillId="11" borderId="51" xfId="0" applyFont="1" applyFill="1" applyBorder="1" applyAlignment="1" applyProtection="1">
      <alignment horizontal="center" vertical="center"/>
      <protection locked="0"/>
    </xf>
    <xf numFmtId="0" fontId="9" fillId="11" borderId="52" xfId="0" applyFont="1" applyFill="1" applyBorder="1" applyAlignment="1" applyProtection="1">
      <alignment horizontal="center" vertical="center"/>
      <protection locked="0"/>
    </xf>
    <xf numFmtId="0" fontId="9" fillId="11" borderId="68" xfId="0" applyFont="1" applyFill="1" applyBorder="1" applyAlignment="1" applyProtection="1">
      <alignment horizontal="center" vertical="center"/>
      <protection locked="0"/>
    </xf>
    <xf numFmtId="177" fontId="2" fillId="0" borderId="4" xfId="3" applyNumberFormat="1" applyBorder="1" applyAlignment="1">
      <alignment horizontal="center" vertical="center"/>
    </xf>
    <xf numFmtId="177" fontId="2" fillId="0" borderId="124" xfId="3" applyNumberFormat="1" applyBorder="1" applyAlignment="1">
      <alignment horizontal="center" vertical="center"/>
    </xf>
    <xf numFmtId="0" fontId="9" fillId="7" borderId="3" xfId="0" applyFont="1" applyFill="1" applyBorder="1" applyAlignment="1">
      <alignment horizontal="center" vertical="center"/>
    </xf>
    <xf numFmtId="181" fontId="2" fillId="0" borderId="9" xfId="4" applyNumberFormat="1" applyFont="1" applyFill="1" applyBorder="1" applyAlignment="1" applyProtection="1">
      <alignment horizontal="center" vertical="center"/>
    </xf>
    <xf numFmtId="181" fontId="2" fillId="0" borderId="10" xfId="4" applyNumberFormat="1" applyFont="1" applyFill="1" applyBorder="1" applyAlignment="1" applyProtection="1">
      <alignment horizontal="center" vertical="center"/>
    </xf>
    <xf numFmtId="0" fontId="9" fillId="7" borderId="9" xfId="0" applyFont="1" applyFill="1" applyBorder="1" applyAlignment="1">
      <alignment horizontal="center" vertical="center"/>
    </xf>
    <xf numFmtId="0" fontId="2" fillId="0" borderId="9" xfId="3" applyBorder="1" applyAlignment="1">
      <alignment horizontal="center" vertical="center" shrinkToFit="1"/>
    </xf>
    <xf numFmtId="0" fontId="2" fillId="0" borderId="10" xfId="3" applyBorder="1" applyAlignment="1">
      <alignment horizontal="center" vertical="center" shrinkToFit="1"/>
    </xf>
    <xf numFmtId="0" fontId="2" fillId="0" borderId="14" xfId="3" applyBorder="1" applyAlignment="1">
      <alignment horizontal="center" vertical="center"/>
    </xf>
    <xf numFmtId="0" fontId="2" fillId="0" borderId="120" xfId="3" applyBorder="1" applyAlignment="1">
      <alignment horizontal="center" vertical="center"/>
    </xf>
    <xf numFmtId="181" fontId="121" fillId="0" borderId="9" xfId="4" applyNumberFormat="1" applyFont="1" applyFill="1" applyBorder="1" applyAlignment="1" applyProtection="1">
      <alignment horizontal="center" vertical="center"/>
    </xf>
    <xf numFmtId="181" fontId="121" fillId="0" borderId="10" xfId="4" applyNumberFormat="1" applyFont="1" applyFill="1" applyBorder="1" applyAlignment="1" applyProtection="1">
      <alignment horizontal="center" vertical="center"/>
    </xf>
    <xf numFmtId="176" fontId="9" fillId="7" borderId="24" xfId="0" applyNumberFormat="1" applyFont="1" applyFill="1" applyBorder="1" applyAlignment="1">
      <alignment horizontal="center" vertical="center"/>
    </xf>
    <xf numFmtId="176" fontId="9" fillId="7" borderId="3" xfId="0" applyNumberFormat="1" applyFont="1" applyFill="1" applyBorder="1" applyAlignment="1">
      <alignment horizontal="center" vertical="center"/>
    </xf>
    <xf numFmtId="176" fontId="9" fillId="7" borderId="41" xfId="0" applyNumberFormat="1" applyFont="1" applyFill="1" applyBorder="1" applyAlignment="1">
      <alignment horizontal="center" vertical="center" textRotation="255"/>
    </xf>
    <xf numFmtId="0" fontId="9" fillId="7" borderId="41" xfId="0" applyFont="1" applyFill="1" applyBorder="1" applyAlignment="1">
      <alignment horizontal="center" vertical="center"/>
    </xf>
    <xf numFmtId="0" fontId="9" fillId="7" borderId="28" xfId="0" applyFont="1" applyFill="1" applyBorder="1" applyAlignment="1">
      <alignment horizontal="center" vertical="center"/>
    </xf>
    <xf numFmtId="0" fontId="9" fillId="7" borderId="14" xfId="0" applyFont="1" applyFill="1" applyBorder="1" applyAlignment="1">
      <alignment horizontal="center" vertical="center"/>
    </xf>
    <xf numFmtId="10" fontId="2" fillId="0" borderId="10" xfId="2" applyNumberFormat="1" applyFont="1" applyFill="1" applyBorder="1" applyAlignment="1" applyProtection="1">
      <alignment horizontal="center" vertical="center"/>
    </xf>
    <xf numFmtId="10" fontId="2" fillId="0" borderId="107" xfId="2" applyNumberFormat="1" applyFont="1" applyFill="1" applyBorder="1" applyAlignment="1" applyProtection="1">
      <alignment horizontal="center" vertical="center"/>
    </xf>
    <xf numFmtId="10" fontId="2" fillId="0" borderId="115" xfId="2" applyNumberFormat="1" applyFont="1" applyFill="1" applyBorder="1" applyAlignment="1" applyProtection="1">
      <alignment horizontal="center" vertical="center"/>
    </xf>
    <xf numFmtId="10" fontId="2" fillId="0" borderId="120" xfId="2" applyNumberFormat="1" applyFont="1" applyFill="1" applyBorder="1" applyAlignment="1" applyProtection="1">
      <alignment horizontal="center" vertical="center"/>
    </xf>
    <xf numFmtId="10" fontId="2" fillId="0" borderId="110" xfId="2" applyNumberFormat="1" applyFont="1" applyFill="1" applyBorder="1" applyAlignment="1" applyProtection="1">
      <alignment horizontal="center" vertical="center"/>
    </xf>
    <xf numFmtId="10" fontId="2" fillId="0" borderId="15" xfId="2" applyNumberFormat="1" applyFont="1" applyFill="1" applyBorder="1" applyAlignment="1" applyProtection="1">
      <alignment horizontal="center" vertical="center"/>
    </xf>
    <xf numFmtId="0" fontId="2" fillId="14" borderId="143" xfId="0" applyFont="1" applyFill="1" applyBorder="1" applyAlignment="1">
      <alignment horizontal="center" vertical="center" wrapText="1"/>
    </xf>
    <xf numFmtId="0" fontId="2" fillId="14" borderId="30" xfId="0" applyFont="1" applyFill="1" applyBorder="1" applyAlignment="1">
      <alignment horizontal="center" vertical="center" wrapText="1"/>
    </xf>
    <xf numFmtId="0" fontId="128" fillId="14" borderId="1" xfId="0" applyFont="1" applyFill="1" applyBorder="1" applyAlignment="1">
      <alignment horizontal="center" vertical="center" wrapText="1"/>
    </xf>
    <xf numFmtId="0" fontId="128" fillId="14" borderId="151" xfId="0" applyFont="1" applyFill="1" applyBorder="1" applyAlignment="1">
      <alignment horizontal="center" vertical="center" wrapText="1"/>
    </xf>
    <xf numFmtId="0" fontId="128" fillId="14" borderId="12" xfId="0" applyFont="1" applyFill="1" applyBorder="1" applyAlignment="1">
      <alignment horizontal="center" vertical="center" wrapText="1"/>
    </xf>
    <xf numFmtId="0" fontId="128" fillId="14" borderId="209" xfId="0" applyFont="1" applyFill="1" applyBorder="1" applyAlignment="1">
      <alignment horizontal="center" vertical="center" wrapText="1"/>
    </xf>
    <xf numFmtId="0" fontId="7" fillId="7" borderId="134" xfId="0" applyFont="1" applyFill="1" applyBorder="1" applyAlignment="1">
      <alignment horizontal="center" vertical="center"/>
    </xf>
    <xf numFmtId="0" fontId="7" fillId="7" borderId="79" xfId="0" applyFont="1" applyFill="1" applyBorder="1" applyAlignment="1">
      <alignment horizontal="center" vertical="center"/>
    </xf>
    <xf numFmtId="0" fontId="7" fillId="7" borderId="135" xfId="0" applyFont="1" applyFill="1" applyBorder="1" applyAlignment="1">
      <alignment horizontal="center" vertical="center"/>
    </xf>
    <xf numFmtId="0" fontId="7" fillId="7" borderId="136" xfId="0" applyFont="1" applyFill="1" applyBorder="1" applyAlignment="1">
      <alignment horizontal="center" vertical="center"/>
    </xf>
    <xf numFmtId="0" fontId="7" fillId="7" borderId="117" xfId="0" applyFont="1" applyFill="1" applyBorder="1" applyAlignment="1">
      <alignment horizontal="center" vertical="center"/>
    </xf>
    <xf numFmtId="0" fontId="7" fillId="7" borderId="17" xfId="0" applyFont="1" applyFill="1" applyBorder="1" applyAlignment="1">
      <alignment horizontal="center" vertical="center" textRotation="255"/>
    </xf>
    <xf numFmtId="0" fontId="7" fillId="7" borderId="20" xfId="0" applyFont="1" applyFill="1" applyBorder="1" applyAlignment="1">
      <alignment horizontal="center" vertical="center" textRotation="255"/>
    </xf>
    <xf numFmtId="0" fontId="7" fillId="7" borderId="22" xfId="0" applyFont="1" applyFill="1" applyBorder="1" applyAlignment="1">
      <alignment horizontal="center" vertical="center" textRotation="255"/>
    </xf>
    <xf numFmtId="0" fontId="0" fillId="11" borderId="51" xfId="0" applyFill="1" applyBorder="1" applyAlignment="1" applyProtection="1">
      <alignment horizontal="center" vertical="center"/>
      <protection locked="0"/>
    </xf>
    <xf numFmtId="0" fontId="0" fillId="11" borderId="52" xfId="0" applyFill="1" applyBorder="1" applyAlignment="1" applyProtection="1">
      <alignment horizontal="center" vertical="center"/>
      <protection locked="0"/>
    </xf>
    <xf numFmtId="0" fontId="0" fillId="11" borderId="68" xfId="0" applyFill="1" applyBorder="1" applyAlignment="1" applyProtection="1">
      <alignment horizontal="center" vertical="center"/>
      <protection locked="0"/>
    </xf>
    <xf numFmtId="178" fontId="9" fillId="0" borderId="175" xfId="0" applyNumberFormat="1" applyFont="1" applyBorder="1" applyAlignment="1">
      <alignment horizontal="center" vertical="center"/>
    </xf>
    <xf numFmtId="178" fontId="9" fillId="0" borderId="122" xfId="0" applyNumberFormat="1" applyFont="1" applyBorder="1" applyAlignment="1">
      <alignment horizontal="center" vertical="center"/>
    </xf>
    <xf numFmtId="0" fontId="9" fillId="0" borderId="43" xfId="0" applyFont="1" applyBorder="1" applyAlignment="1">
      <alignment horizontal="center" vertical="center"/>
    </xf>
    <xf numFmtId="0" fontId="9" fillId="0" borderId="34" xfId="0" applyFont="1" applyBorder="1" applyAlignment="1">
      <alignment horizontal="center" vertical="center"/>
    </xf>
    <xf numFmtId="0" fontId="9" fillId="0" borderId="33" xfId="0" applyFont="1" applyBorder="1" applyAlignment="1">
      <alignment horizontal="center" vertical="center"/>
    </xf>
    <xf numFmtId="0" fontId="128" fillId="14" borderId="143" xfId="0" applyFont="1" applyFill="1" applyBorder="1" applyAlignment="1">
      <alignment horizontal="center" vertical="center" wrapText="1"/>
    </xf>
    <xf numFmtId="0" fontId="128" fillId="14" borderId="30" xfId="0" applyFont="1" applyFill="1" applyBorder="1" applyAlignment="1">
      <alignment horizontal="center" vertical="center" wrapText="1"/>
    </xf>
    <xf numFmtId="0" fontId="128" fillId="14" borderId="207" xfId="0" applyFont="1" applyFill="1" applyBorder="1" applyAlignment="1">
      <alignment horizontal="center" vertical="center" wrapText="1"/>
    </xf>
    <xf numFmtId="0" fontId="128" fillId="14" borderId="208" xfId="0" applyFont="1" applyFill="1" applyBorder="1" applyAlignment="1">
      <alignment horizontal="center" vertical="center" wrapText="1"/>
    </xf>
    <xf numFmtId="0" fontId="7" fillId="5" borderId="80" xfId="0" applyFont="1" applyFill="1" applyBorder="1" applyAlignment="1">
      <alignment horizontal="center" vertical="center"/>
    </xf>
    <xf numFmtId="0" fontId="7" fillId="5" borderId="118" xfId="0" applyFont="1" applyFill="1" applyBorder="1" applyAlignment="1">
      <alignment horizontal="center" vertical="center"/>
    </xf>
    <xf numFmtId="0" fontId="7" fillId="5" borderId="81" xfId="0" applyFont="1" applyFill="1" applyBorder="1" applyAlignment="1">
      <alignment horizontal="center" vertical="center"/>
    </xf>
    <xf numFmtId="178" fontId="9" fillId="0" borderId="124" xfId="0" applyNumberFormat="1" applyFont="1" applyBorder="1" applyAlignment="1">
      <alignment horizontal="center" vertical="center"/>
    </xf>
    <xf numFmtId="178" fontId="9" fillId="0" borderId="3" xfId="0" applyNumberFormat="1" applyFont="1" applyBorder="1" applyAlignment="1">
      <alignment horizontal="center" vertical="center"/>
    </xf>
    <xf numFmtId="200" fontId="0" fillId="0" borderId="72" xfId="2" applyNumberFormat="1" applyFont="1" applyFill="1" applyBorder="1" applyAlignment="1" applyProtection="1">
      <alignment horizontal="center" vertical="center"/>
    </xf>
    <xf numFmtId="200" fontId="0" fillId="0" borderId="65" xfId="2" applyNumberFormat="1" applyFont="1" applyFill="1" applyBorder="1" applyAlignment="1" applyProtection="1">
      <alignment horizontal="center" vertical="center"/>
    </xf>
    <xf numFmtId="0" fontId="0" fillId="0" borderId="65" xfId="0" applyBorder="1" applyAlignment="1">
      <alignment horizontal="center" vertical="center"/>
    </xf>
    <xf numFmtId="0" fontId="0" fillId="0" borderId="78" xfId="0" applyBorder="1" applyAlignment="1">
      <alignment horizontal="center" vertical="center"/>
    </xf>
    <xf numFmtId="0" fontId="0" fillId="0" borderId="76" xfId="0" applyBorder="1" applyAlignment="1">
      <alignment horizontal="center" vertical="center"/>
    </xf>
    <xf numFmtId="0" fontId="7" fillId="7" borderId="137" xfId="0" applyFont="1" applyFill="1" applyBorder="1" applyAlignment="1">
      <alignment horizontal="center" vertical="center" textRotation="255"/>
    </xf>
    <xf numFmtId="0" fontId="7" fillId="7" borderId="138" xfId="0" applyFont="1" applyFill="1" applyBorder="1" applyAlignment="1">
      <alignment horizontal="center" vertical="center" textRotation="255"/>
    </xf>
    <xf numFmtId="0" fontId="7" fillId="7" borderId="42" xfId="0" applyFont="1" applyFill="1" applyBorder="1" applyAlignment="1">
      <alignment horizontal="center" vertical="center" textRotation="255"/>
    </xf>
    <xf numFmtId="0" fontId="0" fillId="30" borderId="51" xfId="0" applyFill="1" applyBorder="1" applyAlignment="1">
      <alignment horizontal="center" vertical="center"/>
    </xf>
    <xf numFmtId="0" fontId="0" fillId="30" borderId="52" xfId="0" applyFill="1" applyBorder="1" applyAlignment="1">
      <alignment horizontal="center" vertical="center"/>
    </xf>
    <xf numFmtId="0" fontId="0" fillId="30" borderId="68" xfId="0" applyFill="1" applyBorder="1" applyAlignment="1">
      <alignment horizontal="center" vertical="center"/>
    </xf>
    <xf numFmtId="0" fontId="127" fillId="5" borderId="3" xfId="0" applyFont="1" applyFill="1" applyBorder="1" applyAlignment="1">
      <alignment horizontal="center" vertical="center" wrapText="1"/>
    </xf>
    <xf numFmtId="0" fontId="127" fillId="5" borderId="14" xfId="0" applyFont="1" applyFill="1" applyBorder="1" applyAlignment="1">
      <alignment horizontal="center" vertical="center" wrapText="1"/>
    </xf>
    <xf numFmtId="0" fontId="127" fillId="5" borderId="6" xfId="0" applyFont="1" applyFill="1" applyBorder="1" applyAlignment="1">
      <alignment horizontal="center" vertical="center" wrapText="1"/>
    </xf>
    <xf numFmtId="0" fontId="127" fillId="5" borderId="111" xfId="0" applyFont="1" applyFill="1" applyBorder="1" applyAlignment="1">
      <alignment horizontal="center" vertical="center" wrapText="1"/>
    </xf>
    <xf numFmtId="200" fontId="9" fillId="0" borderId="210" xfId="2" applyNumberFormat="1" applyFont="1" applyBorder="1" applyAlignment="1" applyProtection="1">
      <alignment horizontal="center" vertical="center"/>
    </xf>
    <xf numFmtId="200" fontId="9" fillId="0" borderId="211" xfId="2" applyNumberFormat="1" applyFont="1" applyBorder="1" applyAlignment="1" applyProtection="1">
      <alignment horizontal="center" vertical="center"/>
    </xf>
    <xf numFmtId="0" fontId="128" fillId="0" borderId="125" xfId="0" applyFont="1" applyBorder="1" applyAlignment="1">
      <alignment horizontal="center" vertical="center" wrapText="1"/>
    </xf>
    <xf numFmtId="0" fontId="128" fillId="0" borderId="181" xfId="0" applyFont="1" applyBorder="1" applyAlignment="1">
      <alignment horizontal="center" vertical="center" wrapText="1"/>
    </xf>
    <xf numFmtId="200" fontId="9" fillId="0" borderId="212" xfId="2" applyNumberFormat="1" applyFont="1" applyBorder="1" applyAlignment="1" applyProtection="1">
      <alignment horizontal="center" vertical="center"/>
    </xf>
    <xf numFmtId="200" fontId="9" fillId="0" borderId="215" xfId="2" applyNumberFormat="1" applyFont="1" applyBorder="1" applyAlignment="1" applyProtection="1">
      <alignment horizontal="center" vertical="center"/>
    </xf>
    <xf numFmtId="0" fontId="128" fillId="0" borderId="205" xfId="0" applyFont="1" applyBorder="1" applyAlignment="1">
      <alignment horizontal="center" vertical="center" wrapText="1"/>
    </xf>
    <xf numFmtId="0" fontId="128" fillId="0" borderId="168" xfId="0" applyFont="1" applyBorder="1" applyAlignment="1">
      <alignment horizontal="center" vertical="center" wrapText="1"/>
    </xf>
    <xf numFmtId="0" fontId="128" fillId="0" borderId="75" xfId="0" applyFont="1" applyBorder="1" applyAlignment="1">
      <alignment horizontal="center" vertical="center" wrapText="1"/>
    </xf>
    <xf numFmtId="0" fontId="128" fillId="0" borderId="213" xfId="0" applyFont="1" applyBorder="1" applyAlignment="1">
      <alignment horizontal="center" vertical="center" wrapText="1"/>
    </xf>
    <xf numFmtId="0" fontId="128" fillId="0" borderId="214" xfId="0" applyFont="1" applyBorder="1" applyAlignment="1">
      <alignment horizontal="center" vertical="center" wrapText="1"/>
    </xf>
    <xf numFmtId="0" fontId="23" fillId="0" borderId="0" xfId="0" applyFont="1" applyAlignment="1">
      <alignment horizontal="left" vertical="center"/>
    </xf>
    <xf numFmtId="0" fontId="129" fillId="0" borderId="0" xfId="0" applyFont="1" applyAlignment="1">
      <alignment horizontal="left" vertical="center"/>
    </xf>
    <xf numFmtId="10" fontId="9" fillId="0" borderId="116" xfId="2" applyNumberFormat="1" applyFont="1" applyBorder="1" applyAlignment="1" applyProtection="1">
      <alignment horizontal="center" vertical="center"/>
    </xf>
    <xf numFmtId="10" fontId="9" fillId="0" borderId="46" xfId="2" applyNumberFormat="1" applyFont="1" applyBorder="1" applyAlignment="1" applyProtection="1">
      <alignment horizontal="center" vertical="center"/>
    </xf>
    <xf numFmtId="43" fontId="0" fillId="0" borderId="51" xfId="0" applyNumberFormat="1" applyBorder="1" applyAlignment="1">
      <alignment horizontal="center" vertical="center"/>
    </xf>
    <xf numFmtId="0" fontId="0" fillId="0" borderId="133" xfId="0" applyBorder="1" applyAlignment="1">
      <alignment horizontal="center" vertical="center"/>
    </xf>
    <xf numFmtId="0" fontId="0" fillId="0" borderId="74" xfId="0" applyBorder="1" applyAlignment="1">
      <alignment horizontal="center" vertical="center"/>
    </xf>
    <xf numFmtId="200" fontId="0" fillId="0" borderId="133" xfId="2" applyNumberFormat="1" applyFont="1" applyFill="1" applyBorder="1" applyAlignment="1" applyProtection="1">
      <alignment horizontal="center" vertical="center"/>
    </xf>
    <xf numFmtId="10" fontId="9" fillId="0" borderId="143" xfId="2" applyNumberFormat="1" applyFont="1" applyBorder="1" applyAlignment="1" applyProtection="1">
      <alignment horizontal="center" vertical="center"/>
    </xf>
    <xf numFmtId="0" fontId="0" fillId="0" borderId="51" xfId="0" applyBorder="1" applyAlignment="1">
      <alignment horizontal="center" vertical="center" shrinkToFit="1"/>
    </xf>
    <xf numFmtId="0" fontId="0" fillId="0" borderId="68" xfId="0" applyBorder="1" applyAlignment="1">
      <alignment horizontal="center" vertical="center" shrinkToFit="1"/>
    </xf>
    <xf numFmtId="0" fontId="9" fillId="0" borderId="52" xfId="0" applyFont="1" applyBorder="1" applyAlignment="1">
      <alignment horizontal="center" vertical="center" shrinkToFit="1"/>
    </xf>
    <xf numFmtId="0" fontId="9" fillId="0" borderId="133" xfId="0" applyFont="1" applyBorder="1" applyAlignment="1">
      <alignment horizontal="center" vertical="center" shrinkToFit="1"/>
    </xf>
    <xf numFmtId="0" fontId="9" fillId="0" borderId="74" xfId="0" applyFont="1" applyBorder="1" applyAlignment="1">
      <alignment horizontal="center" vertical="center" shrinkToFit="1"/>
    </xf>
    <xf numFmtId="43" fontId="9" fillId="11" borderId="51" xfId="0" applyNumberFormat="1" applyFont="1" applyFill="1" applyBorder="1" applyAlignment="1" applyProtection="1">
      <alignment horizontal="center" vertical="center"/>
      <protection locked="0"/>
    </xf>
    <xf numFmtId="0" fontId="9" fillId="0" borderId="51" xfId="0" applyFont="1" applyBorder="1" applyAlignment="1">
      <alignment horizontal="center" vertical="center" shrinkToFit="1"/>
    </xf>
    <xf numFmtId="0" fontId="9" fillId="0" borderId="68" xfId="0" applyFont="1" applyBorder="1" applyAlignment="1">
      <alignment horizontal="center" vertical="center" shrinkToFit="1"/>
    </xf>
    <xf numFmtId="0" fontId="127" fillId="5" borderId="5" xfId="0" applyFont="1" applyFill="1" applyBorder="1" applyAlignment="1">
      <alignment horizontal="center" vertical="center" wrapText="1"/>
    </xf>
    <xf numFmtId="0" fontId="127" fillId="5" borderId="110" xfId="0" applyFont="1" applyFill="1" applyBorder="1" applyAlignment="1">
      <alignment horizontal="center" vertical="center" wrapText="1"/>
    </xf>
    <xf numFmtId="0" fontId="0" fillId="39" borderId="15" xfId="0" applyFill="1" applyBorder="1" applyAlignment="1">
      <alignment horizontal="center" vertical="center"/>
    </xf>
    <xf numFmtId="0" fontId="0" fillId="39" borderId="14" xfId="0" applyFill="1" applyBorder="1" applyAlignment="1">
      <alignment horizontal="center" vertical="center"/>
    </xf>
    <xf numFmtId="0" fontId="0" fillId="39" borderId="16" xfId="0" applyFill="1" applyBorder="1" applyAlignment="1">
      <alignment horizontal="center" vertical="center"/>
    </xf>
    <xf numFmtId="0" fontId="9" fillId="5" borderId="24" xfId="0" applyFont="1" applyFill="1" applyBorder="1" applyAlignment="1">
      <alignment horizontal="center" vertical="center"/>
    </xf>
    <xf numFmtId="0" fontId="9" fillId="5" borderId="126" xfId="0" applyFont="1" applyFill="1" applyBorder="1" applyAlignment="1">
      <alignment horizontal="center" vertical="center"/>
    </xf>
    <xf numFmtId="0" fontId="7" fillId="0" borderId="1" xfId="0" applyFont="1" applyBorder="1" applyAlignment="1">
      <alignment horizontal="center" vertical="center"/>
    </xf>
    <xf numFmtId="0" fontId="7" fillId="0" borderId="2" xfId="0" applyFont="1" applyBorder="1" applyAlignment="1">
      <alignment horizontal="center" vertical="center"/>
    </xf>
    <xf numFmtId="0" fontId="7" fillId="0" borderId="12" xfId="0" applyFont="1" applyBorder="1" applyAlignment="1">
      <alignment horizontal="center" vertical="center"/>
    </xf>
    <xf numFmtId="0" fontId="7" fillId="0" borderId="13" xfId="0" applyFont="1" applyBorder="1" applyAlignment="1">
      <alignment horizontal="center" vertical="center"/>
    </xf>
    <xf numFmtId="0" fontId="127" fillId="5" borderId="25" xfId="0" applyFont="1" applyFill="1" applyBorder="1" applyAlignment="1">
      <alignment horizontal="center" vertical="center" wrapText="1"/>
    </xf>
    <xf numFmtId="0" fontId="127" fillId="5" borderId="16" xfId="0" applyFont="1" applyFill="1" applyBorder="1" applyAlignment="1">
      <alignment horizontal="center" vertical="center" wrapText="1"/>
    </xf>
    <xf numFmtId="3" fontId="23" fillId="0" borderId="30" xfId="0" applyNumberFormat="1" applyFont="1" applyBorder="1" applyAlignment="1">
      <alignment horizontal="center" vertical="center" wrapText="1"/>
    </xf>
    <xf numFmtId="0" fontId="127" fillId="5" borderId="24" xfId="0" applyFont="1" applyFill="1" applyBorder="1" applyAlignment="1">
      <alignment horizontal="center" vertical="center" wrapText="1"/>
    </xf>
    <xf numFmtId="0" fontId="127" fillId="5" borderId="28" xfId="0" applyFont="1" applyFill="1" applyBorder="1" applyAlignment="1">
      <alignment horizontal="center" vertical="center" wrapText="1"/>
    </xf>
    <xf numFmtId="10" fontId="23" fillId="0" borderId="18" xfId="0" applyNumberFormat="1" applyFont="1" applyBorder="1" applyAlignment="1">
      <alignment horizontal="center" vertical="center" wrapText="1"/>
    </xf>
    <xf numFmtId="10" fontId="23" fillId="0" borderId="44" xfId="0" applyNumberFormat="1" applyFont="1" applyBorder="1" applyAlignment="1">
      <alignment horizontal="center" vertical="center" wrapText="1"/>
    </xf>
    <xf numFmtId="0" fontId="127" fillId="5" borderId="4" xfId="0" applyFont="1" applyFill="1" applyBorder="1" applyAlignment="1">
      <alignment horizontal="center" vertical="center" wrapText="1"/>
    </xf>
    <xf numFmtId="0" fontId="127" fillId="5" borderId="120" xfId="0" applyFont="1" applyFill="1" applyBorder="1" applyAlignment="1">
      <alignment horizontal="center" vertical="center" wrapText="1"/>
    </xf>
    <xf numFmtId="10" fontId="23" fillId="0" borderId="2" xfId="0" applyNumberFormat="1" applyFont="1" applyBorder="1" applyAlignment="1">
      <alignment horizontal="center" vertical="center" wrapText="1"/>
    </xf>
    <xf numFmtId="10" fontId="23" fillId="0" borderId="0" xfId="0" applyNumberFormat="1" applyFont="1" applyAlignment="1">
      <alignment horizontal="center" vertical="center" wrapText="1"/>
    </xf>
    <xf numFmtId="10" fontId="23" fillId="0" borderId="143" xfId="0" applyNumberFormat="1" applyFont="1" applyBorder="1" applyAlignment="1">
      <alignment horizontal="center" vertical="center" wrapText="1"/>
    </xf>
    <xf numFmtId="10" fontId="23" fillId="0" borderId="170" xfId="0" applyNumberFormat="1" applyFont="1" applyBorder="1" applyAlignment="1">
      <alignment horizontal="center" vertical="center" wrapText="1"/>
    </xf>
    <xf numFmtId="0" fontId="0" fillId="0" borderId="70" xfId="0" applyBorder="1" applyAlignment="1">
      <alignment horizontal="center" vertical="center"/>
    </xf>
    <xf numFmtId="0" fontId="0" fillId="0" borderId="73" xfId="0" applyBorder="1" applyAlignment="1">
      <alignment horizontal="center" vertical="center"/>
    </xf>
    <xf numFmtId="0" fontId="0" fillId="0" borderId="71" xfId="0" applyBorder="1" applyAlignment="1">
      <alignment horizontal="center" vertical="center"/>
    </xf>
    <xf numFmtId="200" fontId="0" fillId="35" borderId="21" xfId="2" applyNumberFormat="1" applyFont="1" applyFill="1" applyBorder="1" applyAlignment="1" applyProtection="1">
      <alignment horizontal="center" vertical="center"/>
    </xf>
    <xf numFmtId="200" fontId="0" fillId="35" borderId="51" xfId="2" applyNumberFormat="1" applyFont="1" applyFill="1" applyBorder="1" applyAlignment="1" applyProtection="1">
      <alignment horizontal="center" vertical="center"/>
    </xf>
    <xf numFmtId="0" fontId="0" fillId="35" borderId="51" xfId="0" applyFill="1" applyBorder="1" applyAlignment="1">
      <alignment horizontal="center" vertical="center"/>
    </xf>
    <xf numFmtId="0" fontId="0" fillId="35" borderId="52" xfId="0" applyFill="1" applyBorder="1" applyAlignment="1">
      <alignment horizontal="center" vertical="center"/>
    </xf>
    <xf numFmtId="0" fontId="0" fillId="35" borderId="68" xfId="0" applyFill="1" applyBorder="1" applyAlignment="1">
      <alignment horizontal="center" vertical="center"/>
    </xf>
    <xf numFmtId="195" fontId="0" fillId="0" borderId="186" xfId="1" applyNumberFormat="1" applyFont="1" applyFill="1" applyBorder="1" applyAlignment="1" applyProtection="1">
      <alignment horizontal="center" vertical="center"/>
    </xf>
    <xf numFmtId="195" fontId="0" fillId="0" borderId="21" xfId="1" applyNumberFormat="1" applyFont="1" applyFill="1" applyBorder="1" applyAlignment="1" applyProtection="1">
      <alignment horizontal="center" vertical="center"/>
    </xf>
    <xf numFmtId="200" fontId="0" fillId="0" borderId="186" xfId="2" applyNumberFormat="1" applyFont="1" applyFill="1" applyBorder="1" applyAlignment="1" applyProtection="1">
      <alignment horizontal="center" vertical="center"/>
    </xf>
    <xf numFmtId="0" fontId="0" fillId="0" borderId="52" xfId="0" applyBorder="1" applyAlignment="1" applyProtection="1">
      <alignment horizontal="center" vertical="center"/>
      <protection locked="0"/>
    </xf>
    <xf numFmtId="0" fontId="0" fillId="0" borderId="133" xfId="0" applyBorder="1" applyAlignment="1" applyProtection="1">
      <alignment horizontal="center" vertical="center"/>
      <protection locked="0"/>
    </xf>
    <xf numFmtId="0" fontId="0" fillId="0" borderId="74" xfId="0" applyBorder="1" applyAlignment="1" applyProtection="1">
      <alignment horizontal="center" vertical="center"/>
      <protection locked="0"/>
    </xf>
    <xf numFmtId="198" fontId="0" fillId="0" borderId="52" xfId="0" applyNumberFormat="1" applyBorder="1" applyAlignment="1">
      <alignment horizontal="center" vertical="center"/>
    </xf>
    <xf numFmtId="198" fontId="0" fillId="0" borderId="133" xfId="0" applyNumberFormat="1" applyBorder="1" applyAlignment="1">
      <alignment horizontal="center" vertical="center"/>
    </xf>
    <xf numFmtId="198" fontId="0" fillId="0" borderId="74" xfId="0" applyNumberFormat="1" applyBorder="1" applyAlignment="1">
      <alignment horizontal="center" vertical="center"/>
    </xf>
    <xf numFmtId="199" fontId="0" fillId="11" borderId="52" xfId="0" applyNumberFormat="1" applyFill="1" applyBorder="1" applyAlignment="1" applyProtection="1">
      <alignment horizontal="center" vertical="center"/>
      <protection locked="0"/>
    </xf>
    <xf numFmtId="199" fontId="0" fillId="11" borderId="133" xfId="0" applyNumberFormat="1" applyFill="1" applyBorder="1" applyAlignment="1" applyProtection="1">
      <alignment horizontal="center" vertical="center"/>
      <protection locked="0"/>
    </xf>
    <xf numFmtId="199" fontId="0" fillId="11" borderId="74" xfId="0" applyNumberFormat="1" applyFill="1" applyBorder="1" applyAlignment="1" applyProtection="1">
      <alignment horizontal="center" vertical="center"/>
      <protection locked="0"/>
    </xf>
    <xf numFmtId="200" fontId="0" fillId="30" borderId="186" xfId="2" applyNumberFormat="1" applyFont="1" applyFill="1" applyBorder="1" applyAlignment="1" applyProtection="1">
      <alignment horizontal="center" vertical="center"/>
    </xf>
    <xf numFmtId="0" fontId="0" fillId="30" borderId="133" xfId="0" applyFill="1" applyBorder="1" applyAlignment="1">
      <alignment horizontal="center" vertical="center"/>
    </xf>
    <xf numFmtId="0" fontId="0" fillId="30" borderId="74" xfId="0" applyFill="1" applyBorder="1" applyAlignment="1">
      <alignment horizontal="center" vertical="center"/>
    </xf>
    <xf numFmtId="200" fontId="1" fillId="0" borderId="186" xfId="2" applyNumberFormat="1" applyFont="1" applyFill="1" applyBorder="1" applyAlignment="1" applyProtection="1">
      <alignment horizontal="center" vertical="center"/>
    </xf>
    <xf numFmtId="200" fontId="1" fillId="0" borderId="21" xfId="2" applyNumberFormat="1" applyFont="1" applyFill="1" applyBorder="1" applyAlignment="1" applyProtection="1">
      <alignment horizontal="center" vertical="center"/>
    </xf>
    <xf numFmtId="9" fontId="0" fillId="0" borderId="51" xfId="0" applyNumberFormat="1" applyBorder="1" applyAlignment="1">
      <alignment horizontal="center" vertical="center"/>
    </xf>
    <xf numFmtId="9" fontId="0" fillId="0" borderId="52" xfId="0" applyNumberFormat="1" applyBorder="1" applyAlignment="1">
      <alignment horizontal="center" vertical="center"/>
    </xf>
    <xf numFmtId="0" fontId="142" fillId="0" borderId="51" xfId="0" applyFont="1" applyBorder="1" applyAlignment="1">
      <alignment horizontal="center" vertical="center"/>
    </xf>
    <xf numFmtId="0" fontId="143" fillId="0" borderId="52" xfId="0" applyFont="1" applyBorder="1" applyAlignment="1">
      <alignment horizontal="center" vertical="center"/>
    </xf>
    <xf numFmtId="0" fontId="143" fillId="0" borderId="68" xfId="0" applyFont="1" applyBorder="1" applyAlignment="1">
      <alignment horizontal="center" vertical="center"/>
    </xf>
    <xf numFmtId="0" fontId="0" fillId="35" borderId="74" xfId="0" applyFill="1" applyBorder="1" applyAlignment="1">
      <alignment horizontal="center" vertical="center"/>
    </xf>
    <xf numFmtId="0" fontId="7" fillId="0" borderId="67" xfId="0" applyFont="1" applyBorder="1" applyAlignment="1">
      <alignment horizontal="center" vertical="center"/>
    </xf>
    <xf numFmtId="0" fontId="7" fillId="0" borderId="51" xfId="0" applyFont="1" applyBorder="1" applyAlignment="1">
      <alignment horizontal="center" vertical="center"/>
    </xf>
    <xf numFmtId="0" fontId="7" fillId="0" borderId="68" xfId="0" applyFont="1" applyBorder="1" applyAlignment="1">
      <alignment horizontal="center" vertical="center"/>
    </xf>
    <xf numFmtId="0" fontId="0" fillId="0" borderId="130" xfId="0" applyBorder="1" applyAlignment="1">
      <alignment horizontal="center" vertical="center"/>
    </xf>
    <xf numFmtId="0" fontId="0" fillId="0" borderId="193" xfId="0" applyBorder="1" applyAlignment="1">
      <alignment horizontal="center" vertical="center"/>
    </xf>
    <xf numFmtId="0" fontId="7" fillId="7" borderId="75" xfId="0" applyFont="1" applyFill="1" applyBorder="1" applyAlignment="1">
      <alignment horizontal="center" vertical="center" wrapText="1"/>
    </xf>
    <xf numFmtId="0" fontId="7" fillId="7" borderId="67" xfId="0" applyFont="1" applyFill="1" applyBorder="1" applyAlignment="1">
      <alignment horizontal="center" vertical="center"/>
    </xf>
    <xf numFmtId="0" fontId="1" fillId="0" borderId="133" xfId="0" applyFont="1" applyBorder="1" applyAlignment="1">
      <alignment horizontal="center" vertical="center"/>
    </xf>
    <xf numFmtId="0" fontId="1" fillId="0" borderId="74" xfId="0" applyFont="1" applyBorder="1" applyAlignment="1">
      <alignment horizontal="center" vertical="center"/>
    </xf>
    <xf numFmtId="0" fontId="0" fillId="53" borderId="12" xfId="0" applyFill="1" applyBorder="1" applyAlignment="1">
      <alignment horizontal="center" vertical="center"/>
    </xf>
    <xf numFmtId="0" fontId="0" fillId="53" borderId="23" xfId="0" applyFill="1" applyBorder="1" applyAlignment="1">
      <alignment horizontal="center" vertical="center"/>
    </xf>
    <xf numFmtId="41" fontId="0" fillId="0" borderId="13" xfId="1" applyFont="1" applyBorder="1" applyAlignment="1" applyProtection="1">
      <alignment horizontal="center" vertical="center"/>
    </xf>
    <xf numFmtId="41" fontId="153" fillId="0" borderId="183" xfId="1" applyFont="1" applyFill="1" applyBorder="1" applyAlignment="1" applyProtection="1">
      <alignment horizontal="center" vertical="center"/>
    </xf>
    <xf numFmtId="41" fontId="153" fillId="0" borderId="22" xfId="1" applyFont="1" applyFill="1" applyBorder="1" applyAlignment="1" applyProtection="1">
      <alignment horizontal="center" vertical="center"/>
    </xf>
    <xf numFmtId="41" fontId="153" fillId="0" borderId="184" xfId="1" applyFont="1" applyFill="1" applyBorder="1" applyAlignment="1" applyProtection="1">
      <alignment horizontal="center" vertical="center"/>
    </xf>
    <xf numFmtId="41" fontId="153" fillId="0" borderId="30" xfId="1" applyFont="1" applyFill="1" applyBorder="1" applyAlignment="1" applyProtection="1">
      <alignment horizontal="center" vertical="center"/>
    </xf>
    <xf numFmtId="41" fontId="0" fillId="0" borderId="156" xfId="2" applyNumberFormat="1" applyFont="1" applyBorder="1" applyAlignment="1" applyProtection="1">
      <alignment horizontal="center" vertical="center"/>
    </xf>
    <xf numFmtId="41" fontId="0" fillId="0" borderId="13" xfId="2" applyNumberFormat="1" applyFont="1" applyBorder="1" applyAlignment="1" applyProtection="1">
      <alignment horizontal="center" vertical="center"/>
    </xf>
    <xf numFmtId="41" fontId="0" fillId="0" borderId="23" xfId="2" applyNumberFormat="1" applyFont="1" applyBorder="1" applyAlignment="1" applyProtection="1">
      <alignment horizontal="center" vertical="center"/>
    </xf>
    <xf numFmtId="41" fontId="0" fillId="0" borderId="13" xfId="0" applyNumberFormat="1" applyBorder="1" applyAlignment="1">
      <alignment horizontal="center" vertical="center"/>
    </xf>
    <xf numFmtId="0" fontId="0" fillId="0" borderId="13" xfId="0" applyBorder="1" applyAlignment="1">
      <alignment horizontal="center" vertical="center"/>
    </xf>
    <xf numFmtId="0" fontId="0" fillId="0" borderId="0" xfId="0" applyAlignment="1">
      <alignment horizontal="center" vertical="center"/>
    </xf>
    <xf numFmtId="0" fontId="7" fillId="0" borderId="69" xfId="0" applyFont="1" applyBorder="1" applyAlignment="1">
      <alignment horizontal="center" vertical="center"/>
    </xf>
    <xf numFmtId="0" fontId="7" fillId="0" borderId="70" xfId="0" applyFont="1" applyBorder="1" applyAlignment="1">
      <alignment horizontal="center" vertical="center"/>
    </xf>
    <xf numFmtId="0" fontId="7" fillId="0" borderId="71" xfId="0" applyFont="1" applyBorder="1" applyAlignment="1">
      <alignment horizontal="center" vertical="center"/>
    </xf>
    <xf numFmtId="41" fontId="0" fillId="0" borderId="185" xfId="0" applyNumberFormat="1" applyBorder="1" applyAlignment="1">
      <alignment horizontal="center" vertical="center"/>
    </xf>
    <xf numFmtId="0" fontId="0" fillId="0" borderId="77" xfId="0" applyBorder="1" applyAlignment="1">
      <alignment horizontal="center" vertical="center"/>
    </xf>
    <xf numFmtId="0" fontId="0" fillId="0" borderId="20" xfId="0" applyBorder="1" applyAlignment="1">
      <alignment horizontal="center" vertical="center"/>
    </xf>
    <xf numFmtId="0" fontId="0" fillId="0" borderId="194" xfId="0" applyBorder="1" applyAlignment="1">
      <alignment horizontal="center" vertical="center"/>
    </xf>
    <xf numFmtId="0" fontId="0" fillId="0" borderId="197" xfId="0" applyBorder="1" applyAlignment="1">
      <alignment horizontal="center" vertical="center"/>
    </xf>
    <xf numFmtId="0" fontId="0" fillId="26" borderId="1" xfId="0" applyFill="1" applyBorder="1" applyAlignment="1">
      <alignment horizontal="center" vertical="center"/>
    </xf>
    <xf numFmtId="0" fontId="0" fillId="26" borderId="2" xfId="0" applyFill="1" applyBorder="1" applyAlignment="1">
      <alignment horizontal="center" vertical="center"/>
    </xf>
    <xf numFmtId="0" fontId="0" fillId="26" borderId="18" xfId="0" applyFill="1" applyBorder="1" applyAlignment="1">
      <alignment horizontal="center" vertical="center"/>
    </xf>
    <xf numFmtId="0" fontId="9" fillId="26" borderId="43" xfId="0" applyFont="1" applyFill="1" applyBorder="1" applyAlignment="1">
      <alignment horizontal="center" vertical="center"/>
    </xf>
    <xf numFmtId="0" fontId="9" fillId="26" borderId="33" xfId="0" applyFont="1" applyFill="1" applyBorder="1" applyAlignment="1">
      <alignment horizontal="center" vertical="center"/>
    </xf>
    <xf numFmtId="0" fontId="0" fillId="35" borderId="199" xfId="0" applyFill="1" applyBorder="1" applyAlignment="1">
      <alignment horizontal="center" vertical="center"/>
    </xf>
    <xf numFmtId="0" fontId="0" fillId="35" borderId="198" xfId="0" applyFill="1" applyBorder="1" applyAlignment="1">
      <alignment horizontal="center" vertical="center"/>
    </xf>
    <xf numFmtId="0" fontId="0" fillId="3" borderId="43" xfId="0" applyFill="1" applyBorder="1" applyAlignment="1">
      <alignment horizontal="center" vertical="center"/>
    </xf>
    <xf numFmtId="0" fontId="0" fillId="3" borderId="34" xfId="0" applyFill="1" applyBorder="1" applyAlignment="1">
      <alignment horizontal="center" vertical="center"/>
    </xf>
    <xf numFmtId="0" fontId="0" fillId="3" borderId="33" xfId="0" applyFill="1" applyBorder="1" applyAlignment="1">
      <alignment horizontal="center" vertical="center"/>
    </xf>
    <xf numFmtId="0" fontId="0" fillId="30" borderId="43" xfId="0" applyFill="1" applyBorder="1" applyAlignment="1">
      <alignment horizontal="center" vertical="center"/>
    </xf>
    <xf numFmtId="0" fontId="0" fillId="30" borderId="34" xfId="0" applyFill="1" applyBorder="1" applyAlignment="1">
      <alignment horizontal="center" vertical="center"/>
    </xf>
    <xf numFmtId="0" fontId="0" fillId="30" borderId="33" xfId="0" applyFill="1" applyBorder="1" applyAlignment="1">
      <alignment horizontal="center" vertical="center"/>
    </xf>
    <xf numFmtId="0" fontId="0" fillId="3" borderId="27" xfId="0" applyFill="1" applyBorder="1" applyAlignment="1">
      <alignment horizontal="center" vertical="center"/>
    </xf>
    <xf numFmtId="41" fontId="102" fillId="7" borderId="43" xfId="1" applyFont="1" applyFill="1" applyBorder="1" applyAlignment="1" applyProtection="1">
      <alignment horizontal="center" vertical="center"/>
    </xf>
    <xf numFmtId="41" fontId="102" fillId="7" borderId="34" xfId="1" applyFont="1" applyFill="1" applyBorder="1" applyAlignment="1" applyProtection="1">
      <alignment horizontal="center" vertical="center"/>
    </xf>
    <xf numFmtId="41" fontId="102" fillId="7" borderId="33" xfId="1" applyFont="1" applyFill="1" applyBorder="1" applyAlignment="1" applyProtection="1">
      <alignment horizontal="center" vertical="center"/>
    </xf>
    <xf numFmtId="0" fontId="0" fillId="0" borderId="43" xfId="0" applyBorder="1" applyAlignment="1">
      <alignment horizontal="center" vertical="center"/>
    </xf>
    <xf numFmtId="0" fontId="0" fillId="0" borderId="34" xfId="0" applyBorder="1" applyAlignment="1">
      <alignment horizontal="center" vertical="center"/>
    </xf>
    <xf numFmtId="0" fontId="0" fillId="0" borderId="33" xfId="0" applyBorder="1" applyAlignment="1">
      <alignment horizontal="center" vertical="center"/>
    </xf>
    <xf numFmtId="0" fontId="0" fillId="0" borderId="17" xfId="0" applyBorder="1" applyAlignment="1">
      <alignment horizontal="center" vertical="center" wrapText="1"/>
    </xf>
    <xf numFmtId="0" fontId="0" fillId="0" borderId="20" xfId="0" applyBorder="1" applyAlignment="1">
      <alignment horizontal="center" vertical="center" wrapText="1"/>
    </xf>
    <xf numFmtId="0" fontId="0" fillId="0" borderId="22" xfId="0" applyBorder="1" applyAlignment="1">
      <alignment horizontal="center" vertical="center" wrapText="1"/>
    </xf>
    <xf numFmtId="0" fontId="0" fillId="30" borderId="27" xfId="0" applyFill="1" applyBorder="1" applyAlignment="1">
      <alignment horizontal="center" vertical="center"/>
    </xf>
    <xf numFmtId="0" fontId="11" fillId="0" borderId="17" xfId="0" applyFont="1" applyBorder="1" applyAlignment="1">
      <alignment horizontal="center" vertical="center"/>
    </xf>
    <xf numFmtId="0" fontId="11" fillId="0" borderId="20" xfId="0" applyFont="1" applyBorder="1" applyAlignment="1">
      <alignment horizontal="center" vertical="center"/>
    </xf>
    <xf numFmtId="0" fontId="11" fillId="0" borderId="22" xfId="0" applyFont="1" applyBorder="1" applyAlignment="1">
      <alignment horizontal="center" vertical="center"/>
    </xf>
    <xf numFmtId="0" fontId="108" fillId="50" borderId="26" xfId="548" applyFont="1" applyFill="1" applyBorder="1" applyAlignment="1">
      <alignment horizontal="center"/>
    </xf>
    <xf numFmtId="0" fontId="108" fillId="50" borderId="5" xfId="548" applyFont="1" applyFill="1" applyBorder="1" applyAlignment="1">
      <alignment horizontal="center"/>
    </xf>
    <xf numFmtId="0" fontId="108" fillId="50" borderId="124" xfId="548" applyFont="1" applyFill="1" applyBorder="1" applyAlignment="1">
      <alignment horizontal="center"/>
    </xf>
    <xf numFmtId="0" fontId="108" fillId="56" borderId="26" xfId="548" applyFont="1" applyFill="1" applyBorder="1" applyAlignment="1">
      <alignment horizontal="center"/>
    </xf>
    <xf numFmtId="0" fontId="108" fillId="56" borderId="5" xfId="548" applyFont="1" applyFill="1" applyBorder="1" applyAlignment="1">
      <alignment horizontal="center"/>
    </xf>
    <xf numFmtId="0" fontId="108" fillId="3" borderId="26" xfId="548" applyFont="1" applyFill="1" applyBorder="1" applyAlignment="1">
      <alignment horizontal="center"/>
    </xf>
    <xf numFmtId="0" fontId="108" fillId="3" borderId="5" xfId="548" applyFont="1" applyFill="1" applyBorder="1" applyAlignment="1">
      <alignment horizontal="center"/>
    </xf>
    <xf numFmtId="0" fontId="108" fillId="3" borderId="124" xfId="548" applyFont="1" applyFill="1" applyBorder="1" applyAlignment="1">
      <alignment horizontal="center"/>
    </xf>
    <xf numFmtId="0" fontId="108" fillId="43" borderId="26" xfId="548" applyFont="1" applyFill="1" applyBorder="1" applyAlignment="1">
      <alignment horizontal="center"/>
    </xf>
    <xf numFmtId="0" fontId="108" fillId="43" borderId="5" xfId="548" applyFont="1" applyFill="1" applyBorder="1" applyAlignment="1">
      <alignment horizontal="center"/>
    </xf>
    <xf numFmtId="0" fontId="108" fillId="43" borderId="124" xfId="548" applyFont="1" applyFill="1" applyBorder="1" applyAlignment="1">
      <alignment horizontal="center"/>
    </xf>
    <xf numFmtId="325" fontId="108" fillId="33" borderId="26" xfId="548" applyNumberFormat="1" applyFont="1" applyFill="1" applyBorder="1" applyAlignment="1">
      <alignment horizontal="center"/>
    </xf>
    <xf numFmtId="325" fontId="108" fillId="33" borderId="5" xfId="548" applyNumberFormat="1" applyFont="1" applyFill="1" applyBorder="1" applyAlignment="1">
      <alignment horizontal="center"/>
    </xf>
    <xf numFmtId="0" fontId="108" fillId="18" borderId="106" xfId="548" applyFont="1" applyFill="1" applyBorder="1" applyAlignment="1">
      <alignment horizontal="center"/>
    </xf>
    <xf numFmtId="0" fontId="108" fillId="18" borderId="107" xfId="548" applyFont="1" applyFill="1" applyBorder="1" applyAlignment="1">
      <alignment horizontal="center"/>
    </xf>
    <xf numFmtId="0" fontId="108" fillId="20" borderId="106" xfId="548" applyFont="1" applyFill="1" applyBorder="1" applyAlignment="1">
      <alignment horizontal="center"/>
    </xf>
    <xf numFmtId="0" fontId="108" fillId="20" borderId="107" xfId="548" applyFont="1" applyFill="1" applyBorder="1" applyAlignment="1">
      <alignment horizontal="center"/>
    </xf>
    <xf numFmtId="41" fontId="119" fillId="27" borderId="43" xfId="526" applyFont="1" applyFill="1" applyBorder="1" applyAlignment="1" applyProtection="1">
      <alignment horizontal="center"/>
    </xf>
    <xf numFmtId="41" fontId="119" fillId="27" borderId="33" xfId="526" applyFont="1" applyFill="1" applyBorder="1" applyAlignment="1" applyProtection="1">
      <alignment horizontal="center"/>
    </xf>
    <xf numFmtId="41" fontId="119" fillId="18" borderId="43" xfId="526" applyFont="1" applyFill="1" applyBorder="1" applyAlignment="1" applyProtection="1">
      <alignment horizontal="center"/>
    </xf>
    <xf numFmtId="41" fontId="119" fillId="18" borderId="33" xfId="526" applyFont="1" applyFill="1" applyBorder="1" applyAlignment="1" applyProtection="1">
      <alignment horizontal="center"/>
    </xf>
    <xf numFmtId="41" fontId="119" fillId="20" borderId="43" xfId="526" applyFont="1" applyFill="1" applyBorder="1" applyAlignment="1" applyProtection="1">
      <alignment horizontal="center"/>
    </xf>
    <xf numFmtId="41" fontId="119" fillId="20" borderId="33" xfId="526" applyFont="1" applyFill="1" applyBorder="1" applyAlignment="1" applyProtection="1">
      <alignment horizontal="center"/>
    </xf>
    <xf numFmtId="0" fontId="108" fillId="49" borderId="26" xfId="548" applyFont="1" applyFill="1" applyBorder="1" applyAlignment="1">
      <alignment horizontal="center"/>
    </xf>
    <xf numFmtId="0" fontId="108" fillId="49" borderId="5" xfId="548" applyFont="1" applyFill="1" applyBorder="1" applyAlignment="1">
      <alignment horizontal="center"/>
    </xf>
    <xf numFmtId="0" fontId="108" fillId="49" borderId="124" xfId="548" applyFont="1" applyFill="1" applyBorder="1" applyAlignment="1">
      <alignment horizontal="center"/>
    </xf>
    <xf numFmtId="0" fontId="108" fillId="44" borderId="26" xfId="548" applyFont="1" applyFill="1" applyBorder="1" applyAlignment="1">
      <alignment horizontal="center"/>
    </xf>
    <xf numFmtId="0" fontId="108" fillId="44" borderId="5" xfId="548" applyFont="1" applyFill="1" applyBorder="1" applyAlignment="1">
      <alignment horizontal="center"/>
    </xf>
    <xf numFmtId="0" fontId="108" fillId="44" borderId="124" xfId="548" applyFont="1" applyFill="1" applyBorder="1" applyAlignment="1">
      <alignment horizontal="center"/>
    </xf>
    <xf numFmtId="0" fontId="108" fillId="42" borderId="26" xfId="548" applyFont="1" applyFill="1" applyBorder="1" applyAlignment="1">
      <alignment horizontal="center"/>
    </xf>
    <xf numFmtId="0" fontId="108" fillId="42" borderId="5" xfId="548" applyFont="1" applyFill="1" applyBorder="1" applyAlignment="1">
      <alignment horizontal="center"/>
    </xf>
    <xf numFmtId="0" fontId="108" fillId="42" borderId="124" xfId="548" applyFont="1" applyFill="1" applyBorder="1" applyAlignment="1">
      <alignment horizontal="center"/>
    </xf>
    <xf numFmtId="9" fontId="0" fillId="0" borderId="0" xfId="0" applyNumberFormat="1" applyAlignment="1">
      <alignment horizontal="center" vertical="center"/>
    </xf>
    <xf numFmtId="41" fontId="0" fillId="0" borderId="0" xfId="1" applyFont="1" applyAlignment="1">
      <alignment horizontal="center" vertical="center"/>
    </xf>
    <xf numFmtId="0" fontId="127" fillId="0" borderId="9" xfId="0" applyFont="1" applyBorder="1" applyAlignment="1">
      <alignment horizontal="center" vertical="center" wrapText="1"/>
    </xf>
    <xf numFmtId="0" fontId="127" fillId="15" borderId="5" xfId="0" applyFont="1" applyFill="1" applyBorder="1" applyAlignment="1">
      <alignment horizontal="center" vertical="center" wrapText="1"/>
    </xf>
    <xf numFmtId="0" fontId="127" fillId="15" borderId="110" xfId="0" applyFont="1" applyFill="1" applyBorder="1" applyAlignment="1">
      <alignment horizontal="center" vertical="center" wrapText="1"/>
    </xf>
    <xf numFmtId="0" fontId="127" fillId="15" borderId="25" xfId="0" applyFont="1" applyFill="1" applyBorder="1" applyAlignment="1">
      <alignment horizontal="center" vertical="center" wrapText="1"/>
    </xf>
    <xf numFmtId="0" fontId="127" fillId="15" borderId="16" xfId="0" applyFont="1" applyFill="1" applyBorder="1" applyAlignment="1">
      <alignment horizontal="center" vertical="center" wrapText="1"/>
    </xf>
    <xf numFmtId="0" fontId="127" fillId="15" borderId="124" xfId="0" applyFont="1" applyFill="1" applyBorder="1" applyAlignment="1">
      <alignment horizontal="center" vertical="center" wrapText="1"/>
    </xf>
    <xf numFmtId="0" fontId="127" fillId="15" borderId="15" xfId="0" applyFont="1" applyFill="1" applyBorder="1" applyAlignment="1">
      <alignment horizontal="center" vertical="center" wrapText="1"/>
    </xf>
    <xf numFmtId="0" fontId="127" fillId="15" borderId="4" xfId="0" applyFont="1" applyFill="1" applyBorder="1" applyAlignment="1">
      <alignment horizontal="center" vertical="center" wrapText="1"/>
    </xf>
    <xf numFmtId="0" fontId="127" fillId="15" borderId="120" xfId="0" applyFont="1" applyFill="1" applyBorder="1" applyAlignment="1">
      <alignment horizontal="center" vertical="center" wrapText="1"/>
    </xf>
    <xf numFmtId="0" fontId="127" fillId="15" borderId="24" xfId="0" applyFont="1" applyFill="1" applyBorder="1" applyAlignment="1">
      <alignment horizontal="center" vertical="center" wrapText="1"/>
    </xf>
    <xf numFmtId="0" fontId="127" fillId="15" borderId="3" xfId="0" applyFont="1" applyFill="1" applyBorder="1" applyAlignment="1">
      <alignment horizontal="center" vertical="center" wrapText="1"/>
    </xf>
    <xf numFmtId="0" fontId="127" fillId="15" borderId="143" xfId="0" applyFont="1" applyFill="1" applyBorder="1" applyAlignment="1">
      <alignment horizontal="center" vertical="center" wrapText="1"/>
    </xf>
    <xf numFmtId="0" fontId="127" fillId="15" borderId="30" xfId="0" applyFont="1" applyFill="1" applyBorder="1" applyAlignment="1">
      <alignment horizontal="center" vertical="center" wrapText="1"/>
    </xf>
    <xf numFmtId="0" fontId="103" fillId="2" borderId="0" xfId="0" applyFont="1" applyFill="1">
      <alignment vertical="center"/>
    </xf>
    <xf numFmtId="0" fontId="127" fillId="12" borderId="80" xfId="0" applyFont="1" applyFill="1" applyBorder="1" applyAlignment="1">
      <alignment horizontal="center" vertical="center" wrapText="1"/>
    </xf>
    <xf numFmtId="0" fontId="127" fillId="12" borderId="118" xfId="0" applyFont="1" applyFill="1" applyBorder="1" applyAlignment="1">
      <alignment horizontal="center" vertical="center" wrapText="1"/>
    </xf>
    <xf numFmtId="0" fontId="127" fillId="13" borderId="36" xfId="0" applyFont="1" applyFill="1" applyBorder="1" applyAlignment="1">
      <alignment horizontal="center" vertical="center" wrapText="1"/>
    </xf>
    <xf numFmtId="0" fontId="127" fillId="13" borderId="41" xfId="0" applyFont="1" applyFill="1" applyBorder="1" applyAlignment="1">
      <alignment horizontal="center" vertical="center" wrapText="1"/>
    </xf>
    <xf numFmtId="0" fontId="127" fillId="13" borderId="28" xfId="0" applyFont="1" applyFill="1" applyBorder="1" applyAlignment="1">
      <alignment horizontal="center" vertical="center" wrapText="1"/>
    </xf>
    <xf numFmtId="0" fontId="127" fillId="0" borderId="46" xfId="0" applyFont="1" applyBorder="1" applyAlignment="1">
      <alignment horizontal="center" vertical="center" wrapText="1"/>
    </xf>
    <xf numFmtId="0" fontId="127" fillId="13" borderId="14" xfId="0" applyFont="1" applyFill="1" applyBorder="1" applyAlignment="1">
      <alignment horizontal="center" vertical="center" wrapText="1"/>
    </xf>
    <xf numFmtId="0" fontId="127" fillId="12" borderId="81" xfId="0" applyFont="1" applyFill="1" applyBorder="1" applyAlignment="1">
      <alignment horizontal="center" vertical="center" wrapText="1"/>
    </xf>
    <xf numFmtId="0" fontId="127" fillId="0" borderId="41" xfId="0" applyFont="1" applyBorder="1" applyAlignment="1">
      <alignment horizontal="center" vertical="center" wrapText="1"/>
    </xf>
    <xf numFmtId="0" fontId="127" fillId="0" borderId="28" xfId="0" applyFont="1" applyBorder="1" applyAlignment="1">
      <alignment horizontal="center" vertical="center" wrapText="1"/>
    </xf>
    <xf numFmtId="9" fontId="97" fillId="0" borderId="9" xfId="0" applyNumberFormat="1" applyFont="1" applyBorder="1" applyAlignment="1">
      <alignment horizontal="center" vertical="center" wrapText="1"/>
    </xf>
    <xf numFmtId="0" fontId="97" fillId="0" borderId="40" xfId="0" applyFont="1" applyBorder="1" applyAlignment="1">
      <alignment horizontal="center" vertical="center" wrapText="1"/>
    </xf>
    <xf numFmtId="0" fontId="127" fillId="0" borderId="14" xfId="0" applyFont="1" applyBorder="1" applyAlignment="1">
      <alignment horizontal="center" vertical="center" wrapText="1"/>
    </xf>
    <xf numFmtId="0" fontId="127" fillId="0" borderId="16" xfId="0" applyFont="1" applyBorder="1" applyAlignment="1">
      <alignment horizontal="center" vertical="center" wrapText="1"/>
    </xf>
    <xf numFmtId="0" fontId="127" fillId="15" borderId="14" xfId="0" applyFont="1" applyFill="1" applyBorder="1" applyAlignment="1">
      <alignment horizontal="center" vertical="center" wrapText="1"/>
    </xf>
    <xf numFmtId="0" fontId="9" fillId="0" borderId="36" xfId="0" applyFont="1" applyBorder="1" applyAlignment="1">
      <alignment horizontal="center" vertical="center"/>
    </xf>
    <xf numFmtId="0" fontId="9" fillId="0" borderId="46" xfId="0" applyFont="1" applyBorder="1" applyAlignment="1">
      <alignment horizontal="center" vertical="center"/>
    </xf>
    <xf numFmtId="0" fontId="9" fillId="0" borderId="41" xfId="0" applyFont="1" applyBorder="1" applyAlignment="1">
      <alignment horizontal="center" vertical="center"/>
    </xf>
    <xf numFmtId="0" fontId="9" fillId="0" borderId="9" xfId="0" applyFont="1" applyBorder="1" applyAlignment="1">
      <alignment horizontal="center" vertical="center"/>
    </xf>
    <xf numFmtId="0" fontId="9" fillId="0" borderId="126" xfId="0" applyFont="1" applyBorder="1" applyAlignment="1">
      <alignment horizontal="center" vertical="center"/>
    </xf>
    <xf numFmtId="0" fontId="9" fillId="0" borderId="116" xfId="0" applyFont="1" applyBorder="1" applyAlignment="1">
      <alignment horizontal="center" vertical="center"/>
    </xf>
    <xf numFmtId="0" fontId="127" fillId="13" borderId="80" xfId="0" applyFont="1" applyFill="1" applyBorder="1" applyAlignment="1">
      <alignment horizontal="center" vertical="center" wrapText="1"/>
    </xf>
    <xf numFmtId="0" fontId="127" fillId="13" borderId="118" xfId="0" applyFont="1" applyFill="1" applyBorder="1" applyAlignment="1">
      <alignment horizontal="center" vertical="center" wrapText="1"/>
    </xf>
    <xf numFmtId="0" fontId="137" fillId="15" borderId="19" xfId="0" applyFont="1" applyFill="1" applyBorder="1" applyAlignment="1">
      <alignment horizontal="center" vertical="center" wrapText="1"/>
    </xf>
    <xf numFmtId="0" fontId="127" fillId="15" borderId="105" xfId="0" applyFont="1" applyFill="1" applyBorder="1" applyAlignment="1">
      <alignment horizontal="center" vertical="center" wrapText="1"/>
    </xf>
    <xf numFmtId="0" fontId="0" fillId="9" borderId="27" xfId="0" applyFill="1" applyBorder="1" applyAlignment="1">
      <alignment horizontal="center" vertical="center" wrapText="1"/>
    </xf>
    <xf numFmtId="0" fontId="0" fillId="18" borderId="27" xfId="0" applyFill="1" applyBorder="1" applyAlignment="1">
      <alignment horizontal="center" vertical="center"/>
    </xf>
    <xf numFmtId="0" fontId="0" fillId="20" borderId="27" xfId="0" applyFill="1" applyBorder="1" applyAlignment="1">
      <alignment horizontal="center" vertical="center"/>
    </xf>
    <xf numFmtId="0" fontId="0" fillId="18" borderId="43" xfId="0" applyFill="1" applyBorder="1" applyAlignment="1">
      <alignment horizontal="center" vertical="center"/>
    </xf>
    <xf numFmtId="0" fontId="0" fillId="18" borderId="33" xfId="0" applyFill="1" applyBorder="1" applyAlignment="1">
      <alignment horizontal="center" vertical="center"/>
    </xf>
    <xf numFmtId="0" fontId="0" fillId="9" borderId="27" xfId="0" applyFill="1" applyBorder="1" applyAlignment="1">
      <alignment horizontal="center" vertical="center"/>
    </xf>
    <xf numFmtId="0" fontId="28" fillId="24" borderId="0" xfId="0" applyFont="1" applyFill="1" applyAlignment="1">
      <alignment horizontal="left" vertical="center"/>
    </xf>
    <xf numFmtId="0" fontId="28" fillId="0" borderId="0" xfId="0" applyFont="1" applyAlignment="1">
      <alignment horizontal="left" vertical="center"/>
    </xf>
    <xf numFmtId="0" fontId="25" fillId="0" borderId="13" xfId="550" applyFont="1" applyBorder="1" applyAlignment="1">
      <alignment vertical="center"/>
    </xf>
    <xf numFmtId="0" fontId="25" fillId="0" borderId="95" xfId="0" applyFont="1" applyBorder="1" applyAlignment="1">
      <alignment horizontal="center" vertical="center" wrapText="1"/>
    </xf>
    <xf numFmtId="0" fontId="25" fillId="0" borderId="94" xfId="0" applyFont="1" applyBorder="1" applyAlignment="1">
      <alignment horizontal="center" vertical="center" wrapText="1"/>
    </xf>
    <xf numFmtId="0" fontId="25" fillId="0" borderId="97" xfId="0" applyFont="1" applyBorder="1" applyAlignment="1">
      <alignment horizontal="center" vertical="center" wrapText="1"/>
    </xf>
    <xf numFmtId="0" fontId="26" fillId="25" borderId="0" xfId="0" applyFont="1" applyFill="1" applyAlignment="1">
      <alignment horizontal="center" vertical="center"/>
    </xf>
    <xf numFmtId="0" fontId="26" fillId="0" borderId="95" xfId="0" applyFont="1" applyBorder="1" applyAlignment="1">
      <alignment horizontal="center" vertical="center"/>
    </xf>
    <xf numFmtId="0" fontId="26" fillId="0" borderId="94" xfId="0" applyFont="1" applyBorder="1" applyAlignment="1">
      <alignment horizontal="center" vertical="center"/>
    </xf>
    <xf numFmtId="0" fontId="26" fillId="0" borderId="97" xfId="0" applyFont="1" applyBorder="1" applyAlignment="1">
      <alignment horizontal="center" vertical="center"/>
    </xf>
    <xf numFmtId="0" fontId="25" fillId="0" borderId="82" xfId="0" applyFont="1" applyBorder="1" applyAlignment="1">
      <alignment horizontal="center" vertical="center"/>
    </xf>
    <xf numFmtId="0" fontId="25" fillId="0" borderId="83" xfId="0" applyFont="1" applyBorder="1" applyAlignment="1">
      <alignment horizontal="center" vertical="center"/>
    </xf>
    <xf numFmtId="0" fontId="25" fillId="0" borderId="86" xfId="0" applyFont="1" applyBorder="1" applyAlignment="1">
      <alignment horizontal="center" vertical="center"/>
    </xf>
    <xf numFmtId="0" fontId="25" fillId="0" borderId="87" xfId="0" applyFont="1" applyBorder="1" applyAlignment="1">
      <alignment horizontal="center" vertical="center"/>
    </xf>
    <xf numFmtId="0" fontId="25" fillId="8" borderId="0" xfId="0" applyFont="1" applyFill="1" applyAlignment="1">
      <alignment horizontal="left" vertical="center" wrapText="1"/>
    </xf>
    <xf numFmtId="0" fontId="25" fillId="8" borderId="0" xfId="0" applyFont="1" applyFill="1" applyAlignment="1">
      <alignment horizontal="left" vertical="center"/>
    </xf>
    <xf numFmtId="0" fontId="25" fillId="8" borderId="98" xfId="0" applyFont="1" applyFill="1" applyBorder="1" applyAlignment="1">
      <alignment horizontal="left" vertical="center"/>
    </xf>
    <xf numFmtId="0" fontId="81" fillId="0" borderId="0" xfId="0" applyFont="1" applyAlignment="1">
      <alignment horizontal="center" vertical="center"/>
    </xf>
    <xf numFmtId="0" fontId="25" fillId="0" borderId="92" xfId="0" applyFont="1" applyBorder="1" applyAlignment="1">
      <alignment horizontal="center" vertical="center" wrapText="1"/>
    </xf>
    <xf numFmtId="0" fontId="25" fillId="0" borderId="94" xfId="0" applyFont="1" applyBorder="1" applyAlignment="1">
      <alignment horizontal="center" vertical="center"/>
    </xf>
    <xf numFmtId="0" fontId="25" fillId="0" borderId="97" xfId="0" applyFont="1" applyBorder="1" applyAlignment="1">
      <alignment horizontal="center" vertical="center"/>
    </xf>
    <xf numFmtId="0" fontId="25" fillId="0" borderId="13" xfId="0" applyFont="1" applyBorder="1" applyAlignment="1">
      <alignment horizontal="left" vertical="center"/>
    </xf>
    <xf numFmtId="244" fontId="25" fillId="8" borderId="0" xfId="0" applyNumberFormat="1" applyFont="1" applyFill="1" applyAlignment="1">
      <alignment horizontal="left" vertical="center"/>
    </xf>
    <xf numFmtId="0" fontId="25" fillId="0" borderId="0" xfId="0" applyFont="1" applyAlignment="1">
      <alignment horizontal="left" vertical="center"/>
    </xf>
    <xf numFmtId="0" fontId="25" fillId="0" borderId="6" xfId="0" applyFont="1" applyBorder="1" applyAlignment="1">
      <alignment horizontal="center" vertical="center"/>
    </xf>
    <xf numFmtId="0" fontId="25" fillId="0" borderId="11" xfId="0" applyFont="1" applyBorder="1" applyAlignment="1">
      <alignment horizontal="center" vertical="center"/>
    </xf>
    <xf numFmtId="263" fontId="25" fillId="0" borderId="19" xfId="0" applyNumberFormat="1" applyFont="1" applyBorder="1" applyAlignment="1">
      <alignment horizontal="center" vertical="center"/>
    </xf>
    <xf numFmtId="263" fontId="25" fillId="0" borderId="35" xfId="0" applyNumberFormat="1" applyFont="1" applyBorder="1" applyAlignment="1">
      <alignment horizontal="center" vertical="center"/>
    </xf>
    <xf numFmtId="0" fontId="25" fillId="0" borderId="19" xfId="0" applyFont="1" applyBorder="1" applyAlignment="1">
      <alignment horizontal="center" vertical="center"/>
    </xf>
    <xf numFmtId="0" fontId="26" fillId="0" borderId="0" xfId="0" applyFont="1" applyAlignment="1">
      <alignment horizontal="left" vertical="center"/>
    </xf>
    <xf numFmtId="49" fontId="25" fillId="8" borderId="0" xfId="0" applyNumberFormat="1" applyFont="1" applyFill="1" applyAlignment="1">
      <alignment horizontal="left" vertical="center"/>
    </xf>
    <xf numFmtId="49" fontId="25" fillId="8" borderId="98" xfId="0" applyNumberFormat="1" applyFont="1" applyFill="1" applyBorder="1" applyAlignment="1">
      <alignment horizontal="left" vertical="center"/>
    </xf>
    <xf numFmtId="0" fontId="25" fillId="0" borderId="32" xfId="0" applyFont="1" applyBorder="1" applyAlignment="1">
      <alignment horizontal="center" vertical="center"/>
    </xf>
    <xf numFmtId="0" fontId="25" fillId="0" borderId="93" xfId="0" applyFont="1" applyBorder="1" applyAlignment="1">
      <alignment horizontal="center" vertical="center" wrapText="1"/>
    </xf>
    <xf numFmtId="0" fontId="25" fillId="0" borderId="0" xfId="0" applyFont="1" applyAlignment="1">
      <alignment horizontal="center" vertical="center" wrapText="1"/>
    </xf>
    <xf numFmtId="0" fontId="25" fillId="8" borderId="100" xfId="0" applyFont="1" applyFill="1" applyBorder="1" applyAlignment="1">
      <alignment horizontal="left" vertical="center"/>
    </xf>
    <xf numFmtId="0" fontId="25" fillId="8" borderId="101" xfId="0" applyFont="1" applyFill="1" applyBorder="1" applyAlignment="1">
      <alignment horizontal="left" vertical="center"/>
    </xf>
    <xf numFmtId="0" fontId="25" fillId="0" borderId="96" xfId="0" applyFont="1" applyBorder="1" applyAlignment="1">
      <alignment horizontal="center" vertical="center" wrapText="1"/>
    </xf>
    <xf numFmtId="0" fontId="25" fillId="0" borderId="98" xfId="0" applyFont="1" applyBorder="1" applyAlignment="1">
      <alignment horizontal="center" vertical="center" wrapText="1"/>
    </xf>
    <xf numFmtId="278" fontId="25" fillId="0" borderId="35" xfId="1" applyNumberFormat="1" applyFont="1" applyFill="1" applyBorder="1" applyAlignment="1">
      <alignment horizontal="center" vertical="center" shrinkToFit="1"/>
    </xf>
    <xf numFmtId="0" fontId="87" fillId="0" borderId="35" xfId="0" applyFont="1" applyBorder="1">
      <alignment vertical="center"/>
    </xf>
    <xf numFmtId="0" fontId="25" fillId="0" borderId="92" xfId="0" applyFont="1" applyBorder="1" applyAlignment="1">
      <alignment horizontal="center" vertical="center"/>
    </xf>
    <xf numFmtId="0" fontId="25" fillId="0" borderId="95" xfId="0" applyFont="1" applyBorder="1" applyAlignment="1">
      <alignment horizontal="center" vertical="center"/>
    </xf>
    <xf numFmtId="0" fontId="25" fillId="0" borderId="17" xfId="0" applyFont="1" applyBorder="1" applyAlignment="1">
      <alignment horizontal="center" vertical="center"/>
    </xf>
    <xf numFmtId="0" fontId="25" fillId="0" borderId="38" xfId="0" applyFont="1" applyBorder="1" applyAlignment="1">
      <alignment horizontal="center" vertical="center"/>
    </xf>
    <xf numFmtId="0" fontId="25" fillId="0" borderId="104" xfId="0" applyFont="1" applyBorder="1" applyAlignment="1">
      <alignment horizontal="center" vertical="center"/>
    </xf>
    <xf numFmtId="0" fontId="25" fillId="0" borderId="106" xfId="0" applyFont="1" applyBorder="1" applyAlignment="1">
      <alignment horizontal="center" vertical="center"/>
    </xf>
    <xf numFmtId="0" fontId="25" fillId="0" borderId="107" xfId="0" applyFont="1" applyBorder="1" applyAlignment="1">
      <alignment horizontal="center" vertical="center"/>
    </xf>
    <xf numFmtId="0" fontId="26" fillId="8" borderId="0" xfId="0" applyFont="1" applyFill="1" applyAlignment="1">
      <alignment horizontal="left" vertical="center"/>
    </xf>
    <xf numFmtId="0" fontId="26" fillId="8" borderId="98" xfId="0" applyFont="1" applyFill="1" applyBorder="1" applyAlignment="1">
      <alignment horizontal="left" vertical="center"/>
    </xf>
    <xf numFmtId="0" fontId="26" fillId="0" borderId="92" xfId="0" applyFont="1" applyBorder="1" applyAlignment="1">
      <alignment horizontal="center" vertical="center"/>
    </xf>
    <xf numFmtId="0" fontId="26" fillId="8" borderId="100" xfId="0" applyFont="1" applyFill="1" applyBorder="1" applyAlignment="1">
      <alignment horizontal="left" vertical="top" wrapText="1"/>
    </xf>
    <xf numFmtId="0" fontId="26" fillId="8" borderId="100" xfId="0" applyFont="1" applyFill="1" applyBorder="1" applyAlignment="1">
      <alignment horizontal="left" vertical="top"/>
    </xf>
    <xf numFmtId="0" fontId="26" fillId="8" borderId="101" xfId="0" applyFont="1" applyFill="1" applyBorder="1" applyAlignment="1">
      <alignment horizontal="left" vertical="top"/>
    </xf>
    <xf numFmtId="0" fontId="26" fillId="0" borderId="13" xfId="0" applyFont="1" applyBorder="1" applyAlignment="1">
      <alignment horizontal="left" vertical="center"/>
    </xf>
    <xf numFmtId="0" fontId="26" fillId="0" borderId="0" xfId="0" applyFont="1" applyAlignment="1">
      <alignment horizontal="center" vertical="center"/>
    </xf>
    <xf numFmtId="0" fontId="25" fillId="0" borderId="1" xfId="0" applyFont="1" applyBorder="1" applyAlignment="1">
      <alignment horizontal="center" vertical="center"/>
    </xf>
    <xf numFmtId="0" fontId="25" fillId="0" borderId="18" xfId="0" applyFont="1" applyBorder="1" applyAlignment="1">
      <alignment horizontal="center" vertical="center"/>
    </xf>
    <xf numFmtId="0" fontId="25" fillId="0" borderId="45" xfId="0" applyFont="1" applyBorder="1" applyAlignment="1">
      <alignment horizontal="center" vertical="center"/>
    </xf>
    <xf numFmtId="0" fontId="25" fillId="0" borderId="39" xfId="0" applyFont="1" applyBorder="1" applyAlignment="1">
      <alignment horizontal="center" vertical="center"/>
    </xf>
    <xf numFmtId="41" fontId="25" fillId="0" borderId="7" xfId="1" applyFont="1" applyFill="1" applyBorder="1" applyAlignment="1">
      <alignment horizontal="left" vertical="center"/>
    </xf>
    <xf numFmtId="41" fontId="25" fillId="0" borderId="44" xfId="1" applyFont="1" applyFill="1" applyBorder="1" applyAlignment="1">
      <alignment horizontal="left" vertical="center"/>
    </xf>
    <xf numFmtId="0" fontId="25" fillId="0" borderId="7" xfId="0" applyFont="1" applyBorder="1" applyAlignment="1">
      <alignment horizontal="left" vertical="center"/>
    </xf>
    <xf numFmtId="0" fontId="25" fillId="0" borderId="44" xfId="0" applyFont="1" applyBorder="1" applyAlignment="1">
      <alignment horizontal="left" vertical="center"/>
    </xf>
    <xf numFmtId="0" fontId="25" fillId="0" borderId="12" xfId="0" applyFont="1" applyBorder="1" applyAlignment="1">
      <alignment horizontal="left" vertical="center"/>
    </xf>
    <xf numFmtId="0" fontId="25" fillId="0" borderId="23" xfId="0" applyFont="1" applyBorder="1" applyAlignment="1">
      <alignment horizontal="left" vertical="center"/>
    </xf>
    <xf numFmtId="3" fontId="25" fillId="0" borderId="88" xfId="1" applyNumberFormat="1" applyFont="1" applyBorder="1" applyAlignment="1">
      <alignment horizontal="center" vertical="center"/>
    </xf>
    <xf numFmtId="41" fontId="25" fillId="0" borderId="88" xfId="1" applyFont="1" applyBorder="1" applyAlignment="1">
      <alignment horizontal="left" vertical="center"/>
    </xf>
    <xf numFmtId="41" fontId="25" fillId="0" borderId="89" xfId="1" applyFont="1" applyBorder="1" applyAlignment="1">
      <alignment horizontal="left" vertical="center"/>
    </xf>
    <xf numFmtId="41" fontId="25" fillId="0" borderId="86" xfId="1" applyFont="1" applyBorder="1" applyAlignment="1">
      <alignment horizontal="left" vertical="center"/>
    </xf>
    <xf numFmtId="3" fontId="25" fillId="0" borderId="87" xfId="1" applyNumberFormat="1" applyFont="1" applyBorder="1" applyAlignment="1">
      <alignment horizontal="center" vertical="center"/>
    </xf>
    <xf numFmtId="3" fontId="25" fillId="0" borderId="87" xfId="1" applyNumberFormat="1" applyFont="1" applyBorder="1" applyAlignment="1">
      <alignment horizontal="center" vertical="center" wrapText="1"/>
    </xf>
    <xf numFmtId="3" fontId="25" fillId="3" borderId="88" xfId="1" applyNumberFormat="1" applyFont="1" applyFill="1" applyBorder="1" applyAlignment="1">
      <alignment horizontal="center" vertical="center"/>
    </xf>
    <xf numFmtId="3" fontId="25" fillId="0" borderId="86" xfId="1" applyNumberFormat="1" applyFont="1" applyBorder="1" applyAlignment="1">
      <alignment horizontal="center" vertical="center"/>
    </xf>
    <xf numFmtId="41" fontId="25" fillId="8" borderId="86" xfId="0" applyNumberFormat="1" applyFont="1" applyFill="1" applyBorder="1" applyAlignment="1">
      <alignment horizontal="center" vertical="center" wrapText="1"/>
    </xf>
    <xf numFmtId="0" fontId="25" fillId="8" borderId="87" xfId="0" applyFont="1" applyFill="1" applyBorder="1" applyAlignment="1">
      <alignment horizontal="center" vertical="center" wrapText="1"/>
    </xf>
    <xf numFmtId="0" fontId="25" fillId="8" borderId="86" xfId="0" applyFont="1" applyFill="1" applyBorder="1" applyAlignment="1">
      <alignment horizontal="center" vertical="center" wrapText="1"/>
    </xf>
    <xf numFmtId="41" fontId="25" fillId="0" borderId="87" xfId="1" applyFont="1" applyFill="1" applyBorder="1" applyAlignment="1">
      <alignment vertical="center"/>
    </xf>
    <xf numFmtId="0" fontId="25" fillId="0" borderId="88" xfId="0" applyFont="1" applyBorder="1" applyAlignment="1">
      <alignment horizontal="center" vertical="center"/>
    </xf>
    <xf numFmtId="0" fontId="25" fillId="0" borderId="89" xfId="0" applyFont="1" applyBorder="1" applyAlignment="1">
      <alignment horizontal="center" vertical="center"/>
    </xf>
    <xf numFmtId="0" fontId="25" fillId="8" borderId="82" xfId="0" applyFont="1" applyFill="1" applyBorder="1" applyAlignment="1">
      <alignment horizontal="center" vertical="center" wrapText="1"/>
    </xf>
    <xf numFmtId="0" fontId="25" fillId="8" borderId="83" xfId="0" applyFont="1" applyFill="1" applyBorder="1" applyAlignment="1">
      <alignment horizontal="center" vertical="center" wrapText="1"/>
    </xf>
    <xf numFmtId="0" fontId="25" fillId="8" borderId="83" xfId="0" applyFont="1" applyFill="1" applyBorder="1" applyAlignment="1">
      <alignment horizontal="center" vertical="center"/>
    </xf>
    <xf numFmtId="0" fontId="25" fillId="8" borderId="84" xfId="0" applyFont="1" applyFill="1" applyBorder="1" applyAlignment="1">
      <alignment horizontal="center" vertical="center"/>
    </xf>
    <xf numFmtId="0" fontId="30" fillId="0" borderId="88" xfId="0" applyFont="1" applyBorder="1" applyAlignment="1">
      <alignment horizontal="center" vertical="center" wrapText="1"/>
    </xf>
    <xf numFmtId="10" fontId="25" fillId="0" borderId="88" xfId="0" applyNumberFormat="1" applyFont="1" applyBorder="1" applyAlignment="1">
      <alignment horizontal="right" vertical="center"/>
    </xf>
    <xf numFmtId="10" fontId="25" fillId="0" borderId="89" xfId="0" applyNumberFormat="1" applyFont="1" applyBorder="1" applyAlignment="1">
      <alignment horizontal="right" vertical="center"/>
    </xf>
    <xf numFmtId="10" fontId="25" fillId="0" borderId="86" xfId="0" applyNumberFormat="1" applyFont="1" applyBorder="1" applyAlignment="1">
      <alignment horizontal="right" vertical="center"/>
    </xf>
    <xf numFmtId="0" fontId="30" fillId="0" borderId="88" xfId="0" applyFont="1" applyBorder="1" applyAlignment="1" applyProtection="1">
      <alignment horizontal="left" vertical="center"/>
      <protection locked="0"/>
    </xf>
    <xf numFmtId="0" fontId="30" fillId="0" borderId="89" xfId="0" applyFont="1" applyBorder="1" applyAlignment="1" applyProtection="1">
      <alignment horizontal="left" vertical="center"/>
      <protection locked="0"/>
    </xf>
    <xf numFmtId="0" fontId="30" fillId="0" borderId="86" xfId="0" applyFont="1" applyBorder="1" applyAlignment="1" applyProtection="1">
      <alignment horizontal="left" vertical="center"/>
      <protection locked="0"/>
    </xf>
    <xf numFmtId="10" fontId="25" fillId="0" borderId="87" xfId="2" applyNumberFormat="1" applyFont="1" applyBorder="1" applyAlignment="1">
      <alignment vertical="center"/>
    </xf>
    <xf numFmtId="0" fontId="30" fillId="0" borderId="87" xfId="0" applyFont="1" applyBorder="1" applyAlignment="1">
      <alignment horizontal="center" vertical="center" wrapText="1"/>
    </xf>
    <xf numFmtId="43" fontId="25" fillId="0" borderId="87" xfId="0" applyNumberFormat="1" applyFont="1" applyBorder="1">
      <alignment vertical="center"/>
    </xf>
    <xf numFmtId="0" fontId="30" fillId="0" borderId="87" xfId="0" applyFont="1" applyBorder="1" applyProtection="1">
      <alignment vertical="center"/>
      <protection locked="0"/>
    </xf>
    <xf numFmtId="41" fontId="25" fillId="0" borderId="87" xfId="1" applyFont="1" applyBorder="1" applyAlignment="1">
      <alignment vertical="center"/>
    </xf>
    <xf numFmtId="10" fontId="25" fillId="0" borderId="88" xfId="2" applyNumberFormat="1" applyFont="1" applyBorder="1" applyAlignment="1">
      <alignment horizontal="right" vertical="center"/>
    </xf>
    <xf numFmtId="10" fontId="25" fillId="0" borderId="89" xfId="2" applyNumberFormat="1" applyFont="1" applyBorder="1" applyAlignment="1">
      <alignment horizontal="right" vertical="center"/>
    </xf>
    <xf numFmtId="0" fontId="25" fillId="6" borderId="86" xfId="0" applyFont="1" applyFill="1" applyBorder="1">
      <alignment vertical="center"/>
    </xf>
    <xf numFmtId="0" fontId="25" fillId="6" borderId="87" xfId="0" applyFont="1" applyFill="1" applyBorder="1">
      <alignment vertical="center"/>
    </xf>
    <xf numFmtId="41" fontId="25" fillId="6" borderId="87" xfId="1" applyFont="1" applyFill="1" applyBorder="1" applyAlignment="1">
      <alignment vertical="center"/>
    </xf>
    <xf numFmtId="10" fontId="25" fillId="6" borderId="87" xfId="2" applyNumberFormat="1" applyFont="1" applyFill="1" applyBorder="1" applyAlignment="1">
      <alignment vertical="center"/>
    </xf>
    <xf numFmtId="10" fontId="29" fillId="6" borderId="88" xfId="2" applyNumberFormat="1" applyFont="1" applyFill="1" applyBorder="1" applyAlignment="1">
      <alignment horizontal="right" vertical="center"/>
    </xf>
    <xf numFmtId="10" fontId="29" fillId="6" borderId="89" xfId="2" applyNumberFormat="1" applyFont="1" applyFill="1" applyBorder="1" applyAlignment="1">
      <alignment horizontal="right" vertical="center"/>
    </xf>
    <xf numFmtId="0" fontId="25" fillId="0" borderId="86" xfId="0" applyFont="1" applyBorder="1">
      <alignment vertical="center"/>
    </xf>
    <xf numFmtId="0" fontId="25" fillId="0" borderId="87" xfId="0" applyFont="1" applyBorder="1">
      <alignment vertical="center"/>
    </xf>
    <xf numFmtId="41" fontId="25" fillId="0" borderId="87" xfId="1" applyFont="1" applyBorder="1" applyAlignment="1">
      <alignment vertical="center" wrapText="1"/>
    </xf>
    <xf numFmtId="0" fontId="25" fillId="8" borderId="82" xfId="0" applyFont="1" applyFill="1" applyBorder="1" applyAlignment="1">
      <alignment horizontal="center" vertical="center"/>
    </xf>
    <xf numFmtId="41" fontId="25" fillId="8" borderId="83" xfId="1" applyFont="1" applyFill="1" applyBorder="1" applyAlignment="1">
      <alignment horizontal="center" vertical="center"/>
    </xf>
    <xf numFmtId="0" fontId="25" fillId="0" borderId="89" xfId="0" applyFont="1" applyBorder="1" applyAlignment="1">
      <alignment horizontal="left" vertical="center"/>
    </xf>
    <xf numFmtId="0" fontId="25" fillId="0" borderId="86" xfId="0" applyFont="1" applyBorder="1" applyAlignment="1">
      <alignment horizontal="left" vertical="center"/>
    </xf>
    <xf numFmtId="4" fontId="25" fillId="0" borderId="88" xfId="0" applyNumberFormat="1" applyFont="1" applyBorder="1" applyAlignment="1">
      <alignment horizontal="right" vertical="center"/>
    </xf>
    <xf numFmtId="4" fontId="25" fillId="0" borderId="89" xfId="0" applyNumberFormat="1" applyFont="1" applyBorder="1" applyAlignment="1">
      <alignment horizontal="right" vertical="center"/>
    </xf>
    <xf numFmtId="4" fontId="25" fillId="0" borderId="86" xfId="0" applyNumberFormat="1" applyFont="1" applyBorder="1" applyAlignment="1">
      <alignment horizontal="right" vertical="center"/>
    </xf>
    <xf numFmtId="41" fontId="24" fillId="8" borderId="82" xfId="1" applyFont="1" applyFill="1" applyBorder="1" applyAlignment="1">
      <alignment vertical="center"/>
    </xf>
    <xf numFmtId="41" fontId="24" fillId="8" borderId="83" xfId="1" applyFont="1" applyFill="1" applyBorder="1" applyAlignment="1">
      <alignment vertical="center"/>
    </xf>
    <xf numFmtId="0" fontId="25" fillId="8" borderId="86" xfId="0" applyFont="1" applyFill="1" applyBorder="1" applyAlignment="1">
      <alignment horizontal="center" vertical="center"/>
    </xf>
    <xf numFmtId="0" fontId="25" fillId="8" borderId="87" xfId="0" applyFont="1" applyFill="1" applyBorder="1" applyAlignment="1">
      <alignment horizontal="center" vertical="center"/>
    </xf>
    <xf numFmtId="0" fontId="25" fillId="8" borderId="88" xfId="0" applyFont="1" applyFill="1" applyBorder="1" applyAlignment="1">
      <alignment horizontal="center" vertical="center"/>
    </xf>
    <xf numFmtId="0" fontId="8" fillId="0" borderId="27" xfId="0" applyFont="1" applyBorder="1" applyAlignment="1">
      <alignment horizontal="center" vertical="center"/>
    </xf>
    <xf numFmtId="41" fontId="11" fillId="0" borderId="27" xfId="1" applyFont="1" applyBorder="1" applyAlignment="1">
      <alignment horizontal="right" vertical="center"/>
    </xf>
    <xf numFmtId="332" fontId="11" fillId="0" borderId="27" xfId="1" applyNumberFormat="1" applyFont="1" applyBorder="1" applyAlignment="1">
      <alignment horizontal="right" vertical="center"/>
    </xf>
    <xf numFmtId="41" fontId="11" fillId="0" borderId="27" xfId="1" applyFont="1" applyBorder="1" applyAlignment="1">
      <alignment horizontal="left" vertical="center"/>
    </xf>
    <xf numFmtId="0" fontId="7" fillId="3" borderId="43" xfId="0" applyFont="1" applyFill="1" applyBorder="1" applyAlignment="1">
      <alignment horizontal="center" vertical="center"/>
    </xf>
    <xf numFmtId="0" fontId="7" fillId="3" borderId="34" xfId="0" applyFont="1" applyFill="1" applyBorder="1" applyAlignment="1">
      <alignment horizontal="center" vertical="center"/>
    </xf>
    <xf numFmtId="0" fontId="7" fillId="3" borderId="33" xfId="0" applyFont="1" applyFill="1" applyBorder="1" applyAlignment="1">
      <alignment horizontal="center" vertical="center"/>
    </xf>
    <xf numFmtId="0" fontId="0" fillId="37" borderId="43" xfId="0" applyFill="1" applyBorder="1" applyAlignment="1">
      <alignment horizontal="center" vertical="center"/>
    </xf>
    <xf numFmtId="0" fontId="0" fillId="37" borderId="34" xfId="0" applyFill="1" applyBorder="1" applyAlignment="1">
      <alignment horizontal="center" vertical="center"/>
    </xf>
    <xf numFmtId="0" fontId="0" fillId="37" borderId="33" xfId="0" applyFill="1" applyBorder="1" applyAlignment="1">
      <alignment horizontal="center" vertical="center"/>
    </xf>
    <xf numFmtId="0" fontId="0" fillId="0" borderId="2" xfId="0" applyBorder="1" applyAlignment="1">
      <alignment horizontal="center" vertical="center"/>
    </xf>
    <xf numFmtId="0" fontId="7" fillId="0" borderId="43" xfId="0" applyFont="1" applyBorder="1" applyAlignment="1">
      <alignment horizontal="center" vertical="center"/>
    </xf>
    <xf numFmtId="0" fontId="7" fillId="0" borderId="34" xfId="0" applyFont="1" applyBorder="1" applyAlignment="1">
      <alignment horizontal="center" vertical="center"/>
    </xf>
    <xf numFmtId="0" fontId="7" fillId="0" borderId="33" xfId="0" applyFont="1" applyBorder="1" applyAlignment="1">
      <alignment horizontal="center" vertical="center"/>
    </xf>
    <xf numFmtId="0" fontId="0" fillId="0" borderId="27" xfId="0" applyBorder="1" applyAlignment="1">
      <alignment horizontal="center" vertical="center" wrapText="1"/>
    </xf>
    <xf numFmtId="0" fontId="164" fillId="0" borderId="26" xfId="0" applyFont="1" applyBorder="1" applyAlignment="1">
      <alignment horizontal="center" vertical="center"/>
    </xf>
    <xf numFmtId="0" fontId="97" fillId="0" borderId="5" xfId="0" applyFont="1" applyBorder="1" applyAlignment="1">
      <alignment horizontal="center" vertical="center"/>
    </xf>
    <xf numFmtId="0" fontId="97" fillId="0" borderId="6" xfId="0" applyFont="1" applyBorder="1" applyAlignment="1">
      <alignment horizontal="center" vertical="center"/>
    </xf>
    <xf numFmtId="0" fontId="97" fillId="0" borderId="106" xfId="0" applyFont="1" applyBorder="1" applyAlignment="1">
      <alignment horizontal="center" vertical="center"/>
    </xf>
    <xf numFmtId="0" fontId="97" fillId="0" borderId="107" xfId="0" applyFont="1" applyBorder="1" applyAlignment="1">
      <alignment horizontal="center" vertical="center"/>
    </xf>
    <xf numFmtId="0" fontId="97" fillId="0" borderId="108" xfId="0" applyFont="1" applyBorder="1" applyAlignment="1">
      <alignment horizontal="center" vertical="center"/>
    </xf>
    <xf numFmtId="0" fontId="0" fillId="0" borderId="109" xfId="0" applyBorder="1" applyAlignment="1">
      <alignment horizontal="center" vertical="center"/>
    </xf>
    <xf numFmtId="0" fontId="0" fillId="0" borderId="110" xfId="0" applyBorder="1" applyAlignment="1">
      <alignment horizontal="center" vertical="center"/>
    </xf>
    <xf numFmtId="0" fontId="0" fillId="0" borderId="111" xfId="0" applyBorder="1" applyAlignment="1">
      <alignment horizontal="center" vertical="center"/>
    </xf>
    <xf numFmtId="0" fontId="96" fillId="0" borderId="27" xfId="0" applyFont="1" applyBorder="1" applyAlignment="1">
      <alignment horizontal="center" vertical="center" wrapText="1"/>
    </xf>
    <xf numFmtId="0" fontId="130" fillId="0" borderId="27" xfId="0" applyFont="1" applyBorder="1" applyAlignment="1">
      <alignment horizontal="center" vertical="center"/>
    </xf>
    <xf numFmtId="41" fontId="0" fillId="0" borderId="109" xfId="1" applyFont="1" applyBorder="1" applyAlignment="1">
      <alignment horizontal="center" vertical="center"/>
    </xf>
    <xf numFmtId="41" fontId="0" fillId="0" borderId="111" xfId="1" applyFont="1" applyBorder="1" applyAlignment="1">
      <alignment horizontal="center" vertical="center"/>
    </xf>
    <xf numFmtId="0" fontId="22" fillId="23" borderId="56" xfId="0" applyFont="1" applyFill="1" applyBorder="1" applyAlignment="1">
      <alignment horizontal="center" vertical="center" wrapText="1"/>
    </xf>
    <xf numFmtId="0" fontId="22" fillId="23" borderId="58" xfId="0" applyFont="1" applyFill="1" applyBorder="1" applyAlignment="1">
      <alignment horizontal="center" vertical="center" wrapText="1"/>
    </xf>
    <xf numFmtId="0" fontId="22" fillId="23" borderId="57" xfId="0" applyFont="1" applyFill="1" applyBorder="1" applyAlignment="1">
      <alignment horizontal="center" vertical="center" wrapText="1"/>
    </xf>
    <xf numFmtId="0" fontId="17" fillId="12" borderId="27" xfId="0" applyFont="1" applyFill="1" applyBorder="1" applyAlignment="1">
      <alignment horizontal="center" vertical="center" wrapText="1"/>
    </xf>
  </cellXfs>
  <cellStyles count="657">
    <cellStyle name="#,##0" xfId="10" xr:uid="{00000000-0005-0000-0000-000000000000}"/>
    <cellStyle name="$" xfId="11" xr:uid="{00000000-0005-0000-0000-000001000000}"/>
    <cellStyle name="$_db진흥" xfId="12" xr:uid="{00000000-0005-0000-0000-000002000000}"/>
    <cellStyle name="$_SE40" xfId="13" xr:uid="{00000000-0005-0000-0000-000003000000}"/>
    <cellStyle name="$_견적2" xfId="14" xr:uid="{00000000-0005-0000-0000-000004000000}"/>
    <cellStyle name="$_기아" xfId="15" xr:uid="{00000000-0005-0000-0000-000005000000}"/>
    <cellStyle name="??&amp;O?&amp;H?_x0008__x000f__x0007_?_x0007__x0001__x0001_" xfId="16" xr:uid="{00000000-0005-0000-0000-000006000000}"/>
    <cellStyle name="??&amp;O?&amp;H?_x0008_??_x0007__x0001__x0001_" xfId="17" xr:uid="{00000000-0005-0000-0000-000007000000}"/>
    <cellStyle name="?마 [0]_CASH FLOW " xfId="556" xr:uid="{00000000-0005-0000-0000-000008000000}"/>
    <cellStyle name="?마_CASH FLOW " xfId="557" xr:uid="{00000000-0005-0000-0000-000009000000}"/>
    <cellStyle name="?핺_2Q97 dist.EOM " xfId="558" xr:uid="{00000000-0005-0000-0000-00000A000000}"/>
    <cellStyle name="_2001입찰분석" xfId="18" xr:uid="{00000000-0005-0000-0000-00000B000000}"/>
    <cellStyle name="_2001입찰분석_2002년도BP양식수정(SOC팀수정부결안1101)" xfId="19" xr:uid="{00000000-0005-0000-0000-00000C000000}"/>
    <cellStyle name="_2001입찰분석_2002년도BP양식주정" xfId="20" xr:uid="{00000000-0005-0000-0000-00000D000000}"/>
    <cellStyle name="_2001입찰분석_2002년도BP양식주정_2002년도BP양식주정" xfId="21" xr:uid="{00000000-0005-0000-0000-00000E000000}"/>
    <cellStyle name="_2001입찰분석_2002년도BP양식주정_2002년도BP양식주정_2002년도BP양식수정(SOC팀수정부결안1101)" xfId="22" xr:uid="{00000000-0005-0000-0000-00000F000000}"/>
    <cellStyle name="_2001입찰분석_사업진척점검회의(2001. 8)" xfId="23" xr:uid="{00000000-0005-0000-0000-000010000000}"/>
    <cellStyle name="_2001입찰분석_사업진척점검회의(2001. 8)_2002년도BP양식수정(SOC팀수정부결안1101)" xfId="24" xr:uid="{00000000-0005-0000-0000-000011000000}"/>
    <cellStyle name="_2001입찰분석_사업진척점검회의(2001. 8)_2002년도BP양식주정" xfId="25" xr:uid="{00000000-0005-0000-0000-000012000000}"/>
    <cellStyle name="_2001입찰분석_사업진척점검회의(2001. 8)_2002년도BP양식주정_2002년도BP양식주정" xfId="26" xr:uid="{00000000-0005-0000-0000-000013000000}"/>
    <cellStyle name="_2001입찰분석_사업진척점검회의(2001. 8)_2002년도BP양식주정_2002년도BP양식주정_2002년도BP양식수정(SOC팀수정부결안1101)" xfId="27" xr:uid="{00000000-0005-0000-0000-000014000000}"/>
    <cellStyle name="_2002년도BP양식수정(SOC팀수정부결안1101)" xfId="28" xr:uid="{00000000-0005-0000-0000-000015000000}"/>
    <cellStyle name="_2002년도BP양식주정" xfId="29" xr:uid="{00000000-0005-0000-0000-000016000000}"/>
    <cellStyle name="_2002년도BP양식주정_2002년도BP양식주정" xfId="30" xr:uid="{00000000-0005-0000-0000-000017000000}"/>
    <cellStyle name="_2002년도BP양식주정_2002년도BP양식주정_2002년도BP양식수정(SOC팀수정부결안1101)" xfId="31" xr:uid="{00000000-0005-0000-0000-000018000000}"/>
    <cellStyle name="_20030303_0_MBO평가지침_최종본" xfId="32" xr:uid="{00000000-0005-0000-0000-000019000000}"/>
    <cellStyle name="_'99상반기경영개선활동결과(게시용)" xfId="559" xr:uid="{00000000-0005-0000-0000-00001A000000}"/>
    <cellStyle name="_BP(공사송부)2002" xfId="33" xr:uid="{00000000-0005-0000-0000-00001B000000}"/>
    <cellStyle name="_경전철신모델(020313최종)" xfId="34" xr:uid="{00000000-0005-0000-0000-00001C000000}"/>
    <cellStyle name="_길동장기검토(설계안,10년)(최종본)" xfId="35" xr:uid="{00000000-0005-0000-0000-00001D000000}"/>
    <cellStyle name="_김해작업중" xfId="36" xr:uid="{00000000-0005-0000-0000-00001E000000}"/>
    <cellStyle name="_김해작업중_2002년도BP양식수정(SOC팀수정부결안1101)" xfId="37" xr:uid="{00000000-0005-0000-0000-00001F000000}"/>
    <cellStyle name="_김해작업중_2002년도BP양식주정" xfId="38" xr:uid="{00000000-0005-0000-0000-000020000000}"/>
    <cellStyle name="_김해작업중_2002년도BP양식주정_2002년도BP양식주정" xfId="39" xr:uid="{00000000-0005-0000-0000-000021000000}"/>
    <cellStyle name="_김해작업중_2002년도BP양식주정_2002년도BP양식주정_2002년도BP양식수정(SOC팀수정부결안1101)" xfId="40" xr:uid="{00000000-0005-0000-0000-000022000000}"/>
    <cellStyle name="_김해작업중_사업진척점검회의(2001. 8)" xfId="41" xr:uid="{00000000-0005-0000-0000-000023000000}"/>
    <cellStyle name="_김해작업중_사업진척점검회의(2001. 8)_2002년도BP양식수정(SOC팀수정부결안1101)" xfId="42" xr:uid="{00000000-0005-0000-0000-000024000000}"/>
    <cellStyle name="_김해작업중_사업진척점검회의(2001. 8)_2002년도BP양식주정" xfId="43" xr:uid="{00000000-0005-0000-0000-000025000000}"/>
    <cellStyle name="_김해작업중_사업진척점검회의(2001. 8)_2002년도BP양식주정_2002년도BP양식주정" xfId="44" xr:uid="{00000000-0005-0000-0000-000026000000}"/>
    <cellStyle name="_김해작업중_사업진척점검회의(2001. 8)_2002년도BP양식주정_2002년도BP양식주정_2002년도BP양식수정(SOC팀수정부결안1101)" xfId="45" xr:uid="{00000000-0005-0000-0000-000027000000}"/>
    <cellStyle name="_김해작업중_선운흥덕실행" xfId="46" xr:uid="{00000000-0005-0000-0000-000028000000}"/>
    <cellStyle name="_김해작업중_선운흥덕실행_2002년도BP양식수정(SOC팀수정부결안1101)" xfId="47" xr:uid="{00000000-0005-0000-0000-000029000000}"/>
    <cellStyle name="_김해작업중_선운흥덕실행_2002년도BP양식주정" xfId="48" xr:uid="{00000000-0005-0000-0000-00002A000000}"/>
    <cellStyle name="_김해작업중_선운흥덕실행_2002년도BP양식주정_2002년도BP양식주정" xfId="49" xr:uid="{00000000-0005-0000-0000-00002B000000}"/>
    <cellStyle name="_김해작업중_선운흥덕실행_2002년도BP양식주정_2002년도BP양식주정_2002년도BP양식수정(SOC팀수정부결안1101)" xfId="50" xr:uid="{00000000-0005-0000-0000-00002C000000}"/>
    <cellStyle name="_김해작업중_선운흥덕실행_사업진척점검회의(2001. 8)" xfId="51" xr:uid="{00000000-0005-0000-0000-00002D000000}"/>
    <cellStyle name="_김해작업중_선운흥덕실행_사업진척점검회의(2001. 8)_2002년도BP양식수정(SOC팀수정부결안1101)" xfId="52" xr:uid="{00000000-0005-0000-0000-00002E000000}"/>
    <cellStyle name="_김해작업중_선운흥덕실행_사업진척점검회의(2001. 8)_2002년도BP양식주정" xfId="53" xr:uid="{00000000-0005-0000-0000-00002F000000}"/>
    <cellStyle name="_김해작업중_선운흥덕실행_사업진척점검회의(2001. 8)_2002년도BP양식주정_2002년도BP양식주정" xfId="54" xr:uid="{00000000-0005-0000-0000-000030000000}"/>
    <cellStyle name="_김해작업중_선운흥덕실행_사업진척점검회의(2001. 8)_2002년도BP양식주정_2002년도BP양식주정_2002년도BP양식수정(SOC팀수정부결안1101)" xfId="55" xr:uid="{00000000-0005-0000-0000-000031000000}"/>
    <cellStyle name="_동원작업중" xfId="56" xr:uid="{00000000-0005-0000-0000-000032000000}"/>
    <cellStyle name="_마산우매투찰-last" xfId="57" xr:uid="{00000000-0005-0000-0000-000033000000}"/>
    <cellStyle name="_마산우매투찰-last_2002년도BP양식수정(SOC팀수정부결안1101)" xfId="58" xr:uid="{00000000-0005-0000-0000-000034000000}"/>
    <cellStyle name="_마산우매투찰-last_2002년도BP양식주정" xfId="59" xr:uid="{00000000-0005-0000-0000-000035000000}"/>
    <cellStyle name="_마산우매투찰-last_2002년도BP양식주정_2002년도BP양식주정" xfId="60" xr:uid="{00000000-0005-0000-0000-000036000000}"/>
    <cellStyle name="_마산우매투찰-last_2002년도BP양식주정_2002년도BP양식주정_2002년도BP양식수정(SOC팀수정부결안1101)" xfId="61" xr:uid="{00000000-0005-0000-0000-000037000000}"/>
    <cellStyle name="_마산우매투찰-last_사업진척점검회의(2001. 8)" xfId="62" xr:uid="{00000000-0005-0000-0000-000038000000}"/>
    <cellStyle name="_마산우매투찰-last_사업진척점검회의(2001. 8)_2002년도BP양식수정(SOC팀수정부결안1101)" xfId="63" xr:uid="{00000000-0005-0000-0000-000039000000}"/>
    <cellStyle name="_마산우매투찰-last_사업진척점검회의(2001. 8)_2002년도BP양식주정" xfId="64" xr:uid="{00000000-0005-0000-0000-00003A000000}"/>
    <cellStyle name="_마산우매투찰-last_사업진척점검회의(2001. 8)_2002년도BP양식주정_2002년도BP양식주정" xfId="65" xr:uid="{00000000-0005-0000-0000-00003B000000}"/>
    <cellStyle name="_마산우매투찰-last_사업진척점검회의(2001. 8)_2002년도BP양식주정_2002년도BP양식주정_2002년도BP양식수정(SOC팀수정부결안1101)" xfId="66" xr:uid="{00000000-0005-0000-0000-00003C000000}"/>
    <cellStyle name="_마산우매투찰-last_선운흥덕실행" xfId="67" xr:uid="{00000000-0005-0000-0000-00003D000000}"/>
    <cellStyle name="_마산우매투찰-last_선운흥덕실행_2002년도BP양식수정(SOC팀수정부결안1101)" xfId="68" xr:uid="{00000000-0005-0000-0000-00003E000000}"/>
    <cellStyle name="_마산우매투찰-last_선운흥덕실행_2002년도BP양식주정" xfId="69" xr:uid="{00000000-0005-0000-0000-00003F000000}"/>
    <cellStyle name="_마산우매투찰-last_선운흥덕실행_2002년도BP양식주정_2002년도BP양식주정" xfId="70" xr:uid="{00000000-0005-0000-0000-000040000000}"/>
    <cellStyle name="_마산우매투찰-last_선운흥덕실행_2002년도BP양식주정_2002년도BP양식주정_2002년도BP양식수정(SOC팀수정부결안1101)" xfId="71" xr:uid="{00000000-0005-0000-0000-000041000000}"/>
    <cellStyle name="_마산우매투찰-last_선운흥덕실행_사업진척점검회의(2001. 8)" xfId="72" xr:uid="{00000000-0005-0000-0000-000042000000}"/>
    <cellStyle name="_마산우매투찰-last_선운흥덕실행_사업진척점검회의(2001. 8)_2002년도BP양식수정(SOC팀수정부결안1101)" xfId="73" xr:uid="{00000000-0005-0000-0000-000043000000}"/>
    <cellStyle name="_마산우매투찰-last_선운흥덕실행_사업진척점검회의(2001. 8)_2002년도BP양식주정" xfId="74" xr:uid="{00000000-0005-0000-0000-000044000000}"/>
    <cellStyle name="_마산우매투찰-last_선운흥덕실행_사업진척점검회의(2001. 8)_2002년도BP양식주정_2002년도BP양식주정" xfId="75" xr:uid="{00000000-0005-0000-0000-000045000000}"/>
    <cellStyle name="_마산우매투찰-last_선운흥덕실행_사업진척점검회의(2001. 8)_2002년도BP양식주정_2002년도BP양식주정_2002년도BP양식수정(SOC팀수정부결안1101)" xfId="76" xr:uid="{00000000-0005-0000-0000-000046000000}"/>
    <cellStyle name="_면적0110" xfId="560" xr:uid="{00000000-0005-0000-0000-000047000000}"/>
    <cellStyle name="_별첨(계획서및실적서양식)" xfId="561" xr:uid="{00000000-0005-0000-0000-000048000000}"/>
    <cellStyle name="_별첨(계획서및실적서양식)_1" xfId="562" xr:uid="{00000000-0005-0000-0000-000049000000}"/>
    <cellStyle name="_부대내역" xfId="77" xr:uid="{00000000-0005-0000-0000-00004A000000}"/>
    <cellStyle name="_부대내역_2002년도BP양식수정(SOC팀수정부결안1101)" xfId="78" xr:uid="{00000000-0005-0000-0000-00004B000000}"/>
    <cellStyle name="_부대내역_2002년도BP양식주정" xfId="79" xr:uid="{00000000-0005-0000-0000-00004C000000}"/>
    <cellStyle name="_부대내역_2002년도BP양식주정_2002년도BP양식주정" xfId="80" xr:uid="{00000000-0005-0000-0000-00004D000000}"/>
    <cellStyle name="_부대내역_2002년도BP양식주정_2002년도BP양식주정_2002년도BP양식수정(SOC팀수정부결안1101)" xfId="81" xr:uid="{00000000-0005-0000-0000-00004E000000}"/>
    <cellStyle name="_부대내역_사업진척점검회의(2001. 8)" xfId="82" xr:uid="{00000000-0005-0000-0000-00004F000000}"/>
    <cellStyle name="_부대내역_사업진척점검회의(2001. 8)_2002년도BP양식수정(SOC팀수정부결안1101)" xfId="83" xr:uid="{00000000-0005-0000-0000-000050000000}"/>
    <cellStyle name="_부대내역_사업진척점검회의(2001. 8)_2002년도BP양식주정" xfId="84" xr:uid="{00000000-0005-0000-0000-000051000000}"/>
    <cellStyle name="_부대내역_사업진척점검회의(2001. 8)_2002년도BP양식주정_2002년도BP양식주정" xfId="85" xr:uid="{00000000-0005-0000-0000-000052000000}"/>
    <cellStyle name="_부대내역_사업진척점검회의(2001. 8)_2002년도BP양식주정_2002년도BP양식주정_2002년도BP양식수정(SOC팀수정부결안1101)" xfId="86" xr:uid="{00000000-0005-0000-0000-000053000000}"/>
    <cellStyle name="_부안지구투찰2" xfId="87" xr:uid="{00000000-0005-0000-0000-000054000000}"/>
    <cellStyle name="_사업진척점검회의(2001. 8)" xfId="88" xr:uid="{00000000-0005-0000-0000-000055000000}"/>
    <cellStyle name="_사업진척점검회의(2001. 8)_2002년도BP양식수정(SOC팀수정부결안1101)" xfId="89" xr:uid="{00000000-0005-0000-0000-000056000000}"/>
    <cellStyle name="_사업진척점검회의(2001. 8)_2002년도BP양식주정" xfId="90" xr:uid="{00000000-0005-0000-0000-000057000000}"/>
    <cellStyle name="_사업진척점검회의(2001. 8)_2002년도BP양식주정_2002년도BP양식주정" xfId="91" xr:uid="{00000000-0005-0000-0000-000058000000}"/>
    <cellStyle name="_사업진척점검회의(2001. 8)_2002년도BP양식주정_2002년도BP양식주정_2002년도BP양식수정(SOC팀수정부결안1101)" xfId="92" xr:uid="{00000000-0005-0000-0000-000059000000}"/>
    <cellStyle name="_상무작업중" xfId="93" xr:uid="{00000000-0005-0000-0000-00005A000000}"/>
    <cellStyle name="_상무작업중_2002년도BP양식수정(SOC팀수정부결안1101)" xfId="94" xr:uid="{00000000-0005-0000-0000-00005B000000}"/>
    <cellStyle name="_상무작업중_2002년도BP양식주정" xfId="95" xr:uid="{00000000-0005-0000-0000-00005C000000}"/>
    <cellStyle name="_상무작업중_2002년도BP양식주정_2002년도BP양식주정" xfId="96" xr:uid="{00000000-0005-0000-0000-00005D000000}"/>
    <cellStyle name="_상무작업중_2002년도BP양식주정_2002년도BP양식주정_2002년도BP양식수정(SOC팀수정부결안1101)" xfId="97" xr:uid="{00000000-0005-0000-0000-00005E000000}"/>
    <cellStyle name="_상무작업중_사업진척점검회의(2001. 8)" xfId="98" xr:uid="{00000000-0005-0000-0000-00005F000000}"/>
    <cellStyle name="_상무작업중_사업진척점검회의(2001. 8)_2002년도BP양식수정(SOC팀수정부결안1101)" xfId="99" xr:uid="{00000000-0005-0000-0000-000060000000}"/>
    <cellStyle name="_상무작업중_사업진척점검회의(2001. 8)_2002년도BP양식주정" xfId="100" xr:uid="{00000000-0005-0000-0000-000061000000}"/>
    <cellStyle name="_상무작업중_사업진척점검회의(2001. 8)_2002년도BP양식주정_2002년도BP양식주정" xfId="101" xr:uid="{00000000-0005-0000-0000-000062000000}"/>
    <cellStyle name="_상무작업중_사업진척점검회의(2001. 8)_2002년도BP양식주정_2002년도BP양식주정_2002년도BP양식수정(SOC팀수정부결안1101)" xfId="102" xr:uid="{00000000-0005-0000-0000-000063000000}"/>
    <cellStyle name="_상무작업중_선운흥덕실행" xfId="103" xr:uid="{00000000-0005-0000-0000-000064000000}"/>
    <cellStyle name="_상무작업중_선운흥덕실행_2002년도BP양식수정(SOC팀수정부결안1101)" xfId="104" xr:uid="{00000000-0005-0000-0000-000065000000}"/>
    <cellStyle name="_상무작업중_선운흥덕실행_2002년도BP양식주정" xfId="105" xr:uid="{00000000-0005-0000-0000-000066000000}"/>
    <cellStyle name="_상무작업중_선운흥덕실행_2002년도BP양식주정_2002년도BP양식주정" xfId="106" xr:uid="{00000000-0005-0000-0000-000067000000}"/>
    <cellStyle name="_상무작업중_선운흥덕실행_2002년도BP양식주정_2002년도BP양식주정_2002년도BP양식수정(SOC팀수정부결안1101)" xfId="107" xr:uid="{00000000-0005-0000-0000-000068000000}"/>
    <cellStyle name="_상무작업중_선운흥덕실행_사업진척점검회의(2001. 8)" xfId="108" xr:uid="{00000000-0005-0000-0000-000069000000}"/>
    <cellStyle name="_상무작업중_선운흥덕실행_사업진척점검회의(2001. 8)_2002년도BP양식수정(SOC팀수정부결안1101)" xfId="109" xr:uid="{00000000-0005-0000-0000-00006A000000}"/>
    <cellStyle name="_상무작업중_선운흥덕실행_사업진척점검회의(2001. 8)_2002년도BP양식주정" xfId="110" xr:uid="{00000000-0005-0000-0000-00006B000000}"/>
    <cellStyle name="_상무작업중_선운흥덕실행_사업진척점검회의(2001. 8)_2002년도BP양식주정_2002년도BP양식주정" xfId="111" xr:uid="{00000000-0005-0000-0000-00006C000000}"/>
    <cellStyle name="_상무작업중_선운흥덕실행_사업진척점검회의(2001. 8)_2002년도BP양식주정_2002년도BP양식주정_2002년도BP양식수정(SOC팀수정부결안1101)" xfId="112" xr:uid="{00000000-0005-0000-0000-00006D000000}"/>
    <cellStyle name="_소코드1" xfId="563" xr:uid="{00000000-0005-0000-0000-00006E000000}"/>
    <cellStyle name="_스페이스21-1" xfId="113" xr:uid="{00000000-0005-0000-0000-00006F000000}"/>
    <cellStyle name="_양식" xfId="564" xr:uid="{00000000-0005-0000-0000-000070000000}"/>
    <cellStyle name="_양식_1" xfId="565" xr:uid="{00000000-0005-0000-0000-000071000000}"/>
    <cellStyle name="_양식_2" xfId="566" xr:uid="{00000000-0005-0000-0000-000072000000}"/>
    <cellStyle name="_우매05" xfId="114" xr:uid="{00000000-0005-0000-0000-000073000000}"/>
    <cellStyle name="_우매05_2002년도BP양식수정(SOC팀수정부결안1101)" xfId="115" xr:uid="{00000000-0005-0000-0000-000074000000}"/>
    <cellStyle name="_우매05_2002년도BP양식주정" xfId="116" xr:uid="{00000000-0005-0000-0000-000075000000}"/>
    <cellStyle name="_우매05_2002년도BP양식주정_2002년도BP양식주정" xfId="117" xr:uid="{00000000-0005-0000-0000-000076000000}"/>
    <cellStyle name="_우매05_2002년도BP양식주정_2002년도BP양식주정_2002년도BP양식수정(SOC팀수정부결안1101)" xfId="118" xr:uid="{00000000-0005-0000-0000-000077000000}"/>
    <cellStyle name="_우매05_사업진척점검회의(2001. 8)" xfId="119" xr:uid="{00000000-0005-0000-0000-000078000000}"/>
    <cellStyle name="_우매05_사업진척점검회의(2001. 8)_2002년도BP양식수정(SOC팀수정부결안1101)" xfId="120" xr:uid="{00000000-0005-0000-0000-000079000000}"/>
    <cellStyle name="_우매05_사업진척점검회의(2001. 8)_2002년도BP양식주정" xfId="121" xr:uid="{00000000-0005-0000-0000-00007A000000}"/>
    <cellStyle name="_우매05_사업진척점검회의(2001. 8)_2002년도BP양식주정_2002년도BP양식주정" xfId="122" xr:uid="{00000000-0005-0000-0000-00007B000000}"/>
    <cellStyle name="_우매05_사업진척점검회의(2001. 8)_2002년도BP양식주정_2002년도BP양식주정_2002년도BP양식수정(SOC팀수정부결안1101)" xfId="123" xr:uid="{00000000-0005-0000-0000-00007C000000}"/>
    <cellStyle name="_우매05_선운흥덕실행" xfId="124" xr:uid="{00000000-0005-0000-0000-00007D000000}"/>
    <cellStyle name="_우매05_선운흥덕실행_2002년도BP양식수정(SOC팀수정부결안1101)" xfId="125" xr:uid="{00000000-0005-0000-0000-00007E000000}"/>
    <cellStyle name="_우매05_선운흥덕실행_2002년도BP양식주정" xfId="126" xr:uid="{00000000-0005-0000-0000-00007F000000}"/>
    <cellStyle name="_우매05_선운흥덕실행_2002년도BP양식주정_2002년도BP양식주정" xfId="127" xr:uid="{00000000-0005-0000-0000-000080000000}"/>
    <cellStyle name="_우매05_선운흥덕실행_2002년도BP양식주정_2002년도BP양식주정_2002년도BP양식수정(SOC팀수정부결안1101)" xfId="128" xr:uid="{00000000-0005-0000-0000-000081000000}"/>
    <cellStyle name="_우매05_선운흥덕실행_사업진척점검회의(2001. 8)" xfId="129" xr:uid="{00000000-0005-0000-0000-000082000000}"/>
    <cellStyle name="_우매05_선운흥덕실행_사업진척점검회의(2001. 8)_2002년도BP양식수정(SOC팀수정부결안1101)" xfId="130" xr:uid="{00000000-0005-0000-0000-000083000000}"/>
    <cellStyle name="_우매05_선운흥덕실행_사업진척점검회의(2001. 8)_2002년도BP양식주정" xfId="131" xr:uid="{00000000-0005-0000-0000-000084000000}"/>
    <cellStyle name="_우매05_선운흥덕실행_사업진척점검회의(2001. 8)_2002년도BP양식주정_2002년도BP양식주정" xfId="132" xr:uid="{00000000-0005-0000-0000-000085000000}"/>
    <cellStyle name="_우매05_선운흥덕실행_사업진척점검회의(2001. 8)_2002년도BP양식주정_2002년도BP양식주정_2002년도BP양식수정(SOC팀수정부결안1101)" xfId="133" xr:uid="{00000000-0005-0000-0000-000086000000}"/>
    <cellStyle name="_원덕근덕" xfId="134" xr:uid="{00000000-0005-0000-0000-000087000000}"/>
    <cellStyle name="_원덕근덕_2002년도BP양식수정(SOC팀수정부결안1101)" xfId="135" xr:uid="{00000000-0005-0000-0000-000088000000}"/>
    <cellStyle name="_원덕근덕_2002년도BP양식주정" xfId="136" xr:uid="{00000000-0005-0000-0000-000089000000}"/>
    <cellStyle name="_원덕근덕_2002년도BP양식주정_2002년도BP양식주정" xfId="137" xr:uid="{00000000-0005-0000-0000-00008A000000}"/>
    <cellStyle name="_원덕근덕_2002년도BP양식주정_2002년도BP양식주정_2002년도BP양식수정(SOC팀수정부결안1101)" xfId="138" xr:uid="{00000000-0005-0000-0000-00008B000000}"/>
    <cellStyle name="_원덕근덕_사업진척점검회의(2001. 8)" xfId="139" xr:uid="{00000000-0005-0000-0000-00008C000000}"/>
    <cellStyle name="_원덕근덕_사업진척점검회의(2001. 8)_2002년도BP양식수정(SOC팀수정부결안1101)" xfId="140" xr:uid="{00000000-0005-0000-0000-00008D000000}"/>
    <cellStyle name="_원덕근덕_사업진척점검회의(2001. 8)_2002년도BP양식주정" xfId="141" xr:uid="{00000000-0005-0000-0000-00008E000000}"/>
    <cellStyle name="_원덕근덕_사업진척점검회의(2001. 8)_2002년도BP양식주정_2002년도BP양식주정" xfId="142" xr:uid="{00000000-0005-0000-0000-00008F000000}"/>
    <cellStyle name="_원덕근덕_사업진척점검회의(2001. 8)_2002년도BP양식주정_2002년도BP양식주정_2002년도BP양식수정(SOC팀수정부결안1101)" xfId="143" xr:uid="{00000000-0005-0000-0000-000090000000}"/>
    <cellStyle name="_원덕투찰" xfId="144" xr:uid="{00000000-0005-0000-0000-000091000000}"/>
    <cellStyle name="_원덕투찰_2002년도BP양식수정(SOC팀수정부결안1101)" xfId="145" xr:uid="{00000000-0005-0000-0000-000092000000}"/>
    <cellStyle name="_원덕투찰_2002년도BP양식주정" xfId="146" xr:uid="{00000000-0005-0000-0000-000093000000}"/>
    <cellStyle name="_원덕투찰_2002년도BP양식주정_2002년도BP양식주정" xfId="147" xr:uid="{00000000-0005-0000-0000-000094000000}"/>
    <cellStyle name="_원덕투찰_2002년도BP양식주정_2002년도BP양식주정_2002년도BP양식수정(SOC팀수정부결안1101)" xfId="148" xr:uid="{00000000-0005-0000-0000-000095000000}"/>
    <cellStyle name="_원덕투찰_사업진척점검회의(2001. 8)" xfId="149" xr:uid="{00000000-0005-0000-0000-000096000000}"/>
    <cellStyle name="_원덕투찰_사업진척점검회의(2001. 8)_2002년도BP양식수정(SOC팀수정부결안1101)" xfId="150" xr:uid="{00000000-0005-0000-0000-000097000000}"/>
    <cellStyle name="_원덕투찰_사업진척점검회의(2001. 8)_2002년도BP양식주정" xfId="151" xr:uid="{00000000-0005-0000-0000-000098000000}"/>
    <cellStyle name="_원덕투찰_사업진척점검회의(2001. 8)_2002년도BP양식주정_2002년도BP양식주정" xfId="152" xr:uid="{00000000-0005-0000-0000-000099000000}"/>
    <cellStyle name="_원덕투찰_사업진척점검회의(2001. 8)_2002년도BP양식주정_2002년도BP양식주정_2002년도BP양식수정(SOC팀수정부결안1101)" xfId="153" xr:uid="{00000000-0005-0000-0000-00009A000000}"/>
    <cellStyle name="_유첨3(서식)" xfId="567" xr:uid="{00000000-0005-0000-0000-00009B000000}"/>
    <cellStyle name="_유첨3(서식)_1" xfId="568" xr:uid="{00000000-0005-0000-0000-00009C000000}"/>
    <cellStyle name="_인원계획표 " xfId="154" xr:uid="{00000000-0005-0000-0000-00009D000000}"/>
    <cellStyle name="_인원계획표 _2001입찰분석" xfId="155" xr:uid="{00000000-0005-0000-0000-00009E000000}"/>
    <cellStyle name="_인원계획표 _2001입찰분석_2002년도BP양식수정(SOC팀수정부결안1101)" xfId="156" xr:uid="{00000000-0005-0000-0000-00009F000000}"/>
    <cellStyle name="_인원계획표 _2001입찰분석_2002년도BP양식주정" xfId="157" xr:uid="{00000000-0005-0000-0000-0000A0000000}"/>
    <cellStyle name="_인원계획표 _2001입찰분석_2002년도BP양식주정_2002년도BP양식주정" xfId="158" xr:uid="{00000000-0005-0000-0000-0000A1000000}"/>
    <cellStyle name="_인원계획표 _2001입찰분석_2002년도BP양식주정_2002년도BP양식주정_2002년도BP양식수정(SOC팀수정부결안1101)" xfId="159" xr:uid="{00000000-0005-0000-0000-0000A2000000}"/>
    <cellStyle name="_인원계획표 _2001입찰분석_사업진척점검회의(2001. 8)" xfId="160" xr:uid="{00000000-0005-0000-0000-0000A3000000}"/>
    <cellStyle name="_인원계획표 _2001입찰분석_사업진척점검회의(2001. 8)_2002년도BP양식수정(SOC팀수정부결안1101)" xfId="161" xr:uid="{00000000-0005-0000-0000-0000A4000000}"/>
    <cellStyle name="_인원계획표 _2001입찰분석_사업진척점검회의(2001. 8)_2002년도BP양식주정" xfId="162" xr:uid="{00000000-0005-0000-0000-0000A5000000}"/>
    <cellStyle name="_인원계획표 _2001입찰분석_사업진척점검회의(2001. 8)_2002년도BP양식주정_2002년도BP양식주정" xfId="163" xr:uid="{00000000-0005-0000-0000-0000A6000000}"/>
    <cellStyle name="_인원계획표 _2001입찰분석_사업진척점검회의(2001. 8)_2002년도BP양식주정_2002년도BP양식주정_2002년도BP양식수정(SOC팀수정부결안1101)" xfId="164" xr:uid="{00000000-0005-0000-0000-0000A7000000}"/>
    <cellStyle name="_인원계획표 _2002년도BP양식수정(SOC팀수정부결안1101)" xfId="165" xr:uid="{00000000-0005-0000-0000-0000A8000000}"/>
    <cellStyle name="_인원계획표 _2002년도BP양식주정" xfId="166" xr:uid="{00000000-0005-0000-0000-0000A9000000}"/>
    <cellStyle name="_인원계획표 _2002년도BP양식주정_2002년도BP양식주정" xfId="167" xr:uid="{00000000-0005-0000-0000-0000AA000000}"/>
    <cellStyle name="_인원계획표 _2002년도BP양식주정_2002년도BP양식주정_2002년도BP양식수정(SOC팀수정부결안1101)" xfId="168" xr:uid="{00000000-0005-0000-0000-0000AB000000}"/>
    <cellStyle name="_인원계획표 _김해작업중" xfId="169" xr:uid="{00000000-0005-0000-0000-0000AC000000}"/>
    <cellStyle name="_인원계획표 _김해작업중_2002년도BP양식수정(SOC팀수정부결안1101)" xfId="170" xr:uid="{00000000-0005-0000-0000-0000AD000000}"/>
    <cellStyle name="_인원계획표 _김해작업중_2002년도BP양식주정" xfId="171" xr:uid="{00000000-0005-0000-0000-0000AE000000}"/>
    <cellStyle name="_인원계획표 _김해작업중_2002년도BP양식주정_2002년도BP양식주정" xfId="172" xr:uid="{00000000-0005-0000-0000-0000AF000000}"/>
    <cellStyle name="_인원계획표 _김해작업중_2002년도BP양식주정_2002년도BP양식주정_2002년도BP양식수정(SOC팀수정부결안1101)" xfId="173" xr:uid="{00000000-0005-0000-0000-0000B0000000}"/>
    <cellStyle name="_인원계획표 _김해작업중_사업진척점검회의(2001. 8)" xfId="174" xr:uid="{00000000-0005-0000-0000-0000B1000000}"/>
    <cellStyle name="_인원계획표 _김해작업중_사업진척점검회의(2001. 8)_2002년도BP양식수정(SOC팀수정부결안1101)" xfId="175" xr:uid="{00000000-0005-0000-0000-0000B2000000}"/>
    <cellStyle name="_인원계획표 _김해작업중_사업진척점검회의(2001. 8)_2002년도BP양식주정" xfId="176" xr:uid="{00000000-0005-0000-0000-0000B3000000}"/>
    <cellStyle name="_인원계획표 _김해작업중_사업진척점검회의(2001. 8)_2002년도BP양식주정_2002년도BP양식주정" xfId="177" xr:uid="{00000000-0005-0000-0000-0000B4000000}"/>
    <cellStyle name="_인원계획표 _김해작업중_사업진척점검회의(2001. 8)_2002년도BP양식주정_2002년도BP양식주정_2002년도BP양식수정(SOC팀수정부결안1101)" xfId="178" xr:uid="{00000000-0005-0000-0000-0000B5000000}"/>
    <cellStyle name="_인원계획표 _김해작업중_선운흥덕실행" xfId="179" xr:uid="{00000000-0005-0000-0000-0000B6000000}"/>
    <cellStyle name="_인원계획표 _김해작업중_선운흥덕실행_2002년도BP양식수정(SOC팀수정부결안1101)" xfId="180" xr:uid="{00000000-0005-0000-0000-0000B7000000}"/>
    <cellStyle name="_인원계획표 _김해작업중_선운흥덕실행_2002년도BP양식주정" xfId="181" xr:uid="{00000000-0005-0000-0000-0000B8000000}"/>
    <cellStyle name="_인원계획표 _김해작업중_선운흥덕실행_2002년도BP양식주정_2002년도BP양식주정" xfId="182" xr:uid="{00000000-0005-0000-0000-0000B9000000}"/>
    <cellStyle name="_인원계획표 _김해작업중_선운흥덕실행_2002년도BP양식주정_2002년도BP양식주정_2002년도BP양식수정(SOC팀수정부결안1101)" xfId="183" xr:uid="{00000000-0005-0000-0000-0000BA000000}"/>
    <cellStyle name="_인원계획표 _김해작업중_선운흥덕실행_사업진척점검회의(2001. 8)" xfId="184" xr:uid="{00000000-0005-0000-0000-0000BB000000}"/>
    <cellStyle name="_인원계획표 _김해작업중_선운흥덕실행_사업진척점검회의(2001. 8)_2002년도BP양식수정(SOC팀수정부결안1101)" xfId="185" xr:uid="{00000000-0005-0000-0000-0000BC000000}"/>
    <cellStyle name="_인원계획표 _김해작업중_선운흥덕실행_사업진척점검회의(2001. 8)_2002년도BP양식주정" xfId="186" xr:uid="{00000000-0005-0000-0000-0000BD000000}"/>
    <cellStyle name="_인원계획표 _김해작업중_선운흥덕실행_사업진척점검회의(2001. 8)_2002년도BP양식주정_2002년도BP양식주정" xfId="187" xr:uid="{00000000-0005-0000-0000-0000BE000000}"/>
    <cellStyle name="_인원계획표 _김해작업중_선운흥덕실행_사업진척점검회의(2001. 8)_2002년도BP양식주정_2002년도BP양식주정_2002년도BP양식수정(SOC팀수정부결안1101)" xfId="188" xr:uid="{00000000-0005-0000-0000-0000BF000000}"/>
    <cellStyle name="_인원계획표 _동원작업중" xfId="189" xr:uid="{00000000-0005-0000-0000-0000C0000000}"/>
    <cellStyle name="_인원계획표 _동원작업중_2002년도BP양식수정(SOC팀수정부결안1101)" xfId="190" xr:uid="{00000000-0005-0000-0000-0000C1000000}"/>
    <cellStyle name="_인원계획표 _동원작업중_2002년도BP양식주정" xfId="191" xr:uid="{00000000-0005-0000-0000-0000C2000000}"/>
    <cellStyle name="_인원계획표 _동원작업중_2002년도BP양식주정_2002년도BP양식주정" xfId="192" xr:uid="{00000000-0005-0000-0000-0000C3000000}"/>
    <cellStyle name="_인원계획표 _동원작업중_2002년도BP양식주정_2002년도BP양식주정_2002년도BP양식수정(SOC팀수정부결안1101)" xfId="193" xr:uid="{00000000-0005-0000-0000-0000C4000000}"/>
    <cellStyle name="_인원계획표 _동원작업중_사업진척점검회의(2001. 8)" xfId="194" xr:uid="{00000000-0005-0000-0000-0000C5000000}"/>
    <cellStyle name="_인원계획표 _동원작업중_사업진척점검회의(2001. 8)_2002년도BP양식수정(SOC팀수정부결안1101)" xfId="195" xr:uid="{00000000-0005-0000-0000-0000C6000000}"/>
    <cellStyle name="_인원계획표 _동원작업중_사업진척점검회의(2001. 8)_2002년도BP양식주정" xfId="196" xr:uid="{00000000-0005-0000-0000-0000C7000000}"/>
    <cellStyle name="_인원계획표 _동원작업중_사업진척점검회의(2001. 8)_2002년도BP양식주정_2002년도BP양식주정" xfId="197" xr:uid="{00000000-0005-0000-0000-0000C8000000}"/>
    <cellStyle name="_인원계획표 _동원작업중_사업진척점검회의(2001. 8)_2002년도BP양식주정_2002년도BP양식주정_2002년도BP양식수정(SOC팀수정부결안1101)" xfId="198" xr:uid="{00000000-0005-0000-0000-0000C9000000}"/>
    <cellStyle name="_인원계획표 _동원작업중_선운흥덕실행" xfId="199" xr:uid="{00000000-0005-0000-0000-0000CA000000}"/>
    <cellStyle name="_인원계획표 _동원작업중_선운흥덕실행_2002년도BP양식수정(SOC팀수정부결안1101)" xfId="200" xr:uid="{00000000-0005-0000-0000-0000CB000000}"/>
    <cellStyle name="_인원계획표 _동원작업중_선운흥덕실행_2002년도BP양식주정" xfId="201" xr:uid="{00000000-0005-0000-0000-0000CC000000}"/>
    <cellStyle name="_인원계획표 _동원작업중_선운흥덕실행_2002년도BP양식주정_2002년도BP양식주정" xfId="202" xr:uid="{00000000-0005-0000-0000-0000CD000000}"/>
    <cellStyle name="_인원계획표 _동원작업중_선운흥덕실행_2002년도BP양식주정_2002년도BP양식주정_2002년도BP양식수정(SOC팀수정부결안1101)" xfId="203" xr:uid="{00000000-0005-0000-0000-0000CE000000}"/>
    <cellStyle name="_인원계획표 _동원작업중_선운흥덕실행_사업진척점검회의(2001. 8)" xfId="204" xr:uid="{00000000-0005-0000-0000-0000CF000000}"/>
    <cellStyle name="_인원계획표 _동원작업중_선운흥덕실행_사업진척점검회의(2001. 8)_2002년도BP양식수정(SOC팀수정부결안1101)" xfId="205" xr:uid="{00000000-0005-0000-0000-0000D0000000}"/>
    <cellStyle name="_인원계획표 _동원작업중_선운흥덕실행_사업진척점검회의(2001. 8)_2002년도BP양식주정" xfId="206" xr:uid="{00000000-0005-0000-0000-0000D1000000}"/>
    <cellStyle name="_인원계획표 _동원작업중_선운흥덕실행_사업진척점검회의(2001. 8)_2002년도BP양식주정_2002년도BP양식주정" xfId="207" xr:uid="{00000000-0005-0000-0000-0000D2000000}"/>
    <cellStyle name="_인원계획표 _동원작업중_선운흥덕실행_사업진척점검회의(2001. 8)_2002년도BP양식주정_2002년도BP양식주정_2002년도BP양식수정(SOC팀수정부결안1101)" xfId="208" xr:uid="{00000000-0005-0000-0000-0000D3000000}"/>
    <cellStyle name="_인원계획표 _사업진척점검회의(2001. 8)" xfId="209" xr:uid="{00000000-0005-0000-0000-0000D4000000}"/>
    <cellStyle name="_인원계획표 _사업진척점검회의(2001. 8)_2002년도BP양식수정(SOC팀수정부결안1101)" xfId="210" xr:uid="{00000000-0005-0000-0000-0000D5000000}"/>
    <cellStyle name="_인원계획표 _사업진척점검회의(2001. 8)_2002년도BP양식주정" xfId="211" xr:uid="{00000000-0005-0000-0000-0000D6000000}"/>
    <cellStyle name="_인원계획표 _사업진척점검회의(2001. 8)_2002년도BP양식주정_2002년도BP양식주정" xfId="212" xr:uid="{00000000-0005-0000-0000-0000D7000000}"/>
    <cellStyle name="_인원계획표 _사업진척점검회의(2001. 8)_2002년도BP양식주정_2002년도BP양식주정_2002년도BP양식수정(SOC팀수정부결안1101)" xfId="213" xr:uid="{00000000-0005-0000-0000-0000D8000000}"/>
    <cellStyle name="_인원계획표 _원덕근덕" xfId="214" xr:uid="{00000000-0005-0000-0000-0000D9000000}"/>
    <cellStyle name="_인원계획표 _원덕근덕_2002년도BP양식수정(SOC팀수정부결안1101)" xfId="215" xr:uid="{00000000-0005-0000-0000-0000DA000000}"/>
    <cellStyle name="_인원계획표 _원덕근덕_2002년도BP양식주정" xfId="216" xr:uid="{00000000-0005-0000-0000-0000DB000000}"/>
    <cellStyle name="_인원계획표 _원덕근덕_2002년도BP양식주정_2002년도BP양식주정" xfId="217" xr:uid="{00000000-0005-0000-0000-0000DC000000}"/>
    <cellStyle name="_인원계획표 _원덕근덕_2002년도BP양식주정_2002년도BP양식주정_2002년도BP양식수정(SOC팀수정부결안1101)" xfId="218" xr:uid="{00000000-0005-0000-0000-0000DD000000}"/>
    <cellStyle name="_인원계획표 _원덕근덕_사업진척점검회의(2001. 8)" xfId="219" xr:uid="{00000000-0005-0000-0000-0000DE000000}"/>
    <cellStyle name="_인원계획표 _원덕근덕_사업진척점검회의(2001. 8)_2002년도BP양식수정(SOC팀수정부결안1101)" xfId="220" xr:uid="{00000000-0005-0000-0000-0000DF000000}"/>
    <cellStyle name="_인원계획표 _원덕근덕_사업진척점검회의(2001. 8)_2002년도BP양식주정" xfId="221" xr:uid="{00000000-0005-0000-0000-0000E0000000}"/>
    <cellStyle name="_인원계획표 _원덕근덕_사업진척점검회의(2001. 8)_2002년도BP양식주정_2002년도BP양식주정" xfId="222" xr:uid="{00000000-0005-0000-0000-0000E1000000}"/>
    <cellStyle name="_인원계획표 _원덕근덕_사업진척점검회의(2001. 8)_2002년도BP양식주정_2002년도BP양식주정_2002년도BP양식수정(SOC팀수정부결안1101)" xfId="223" xr:uid="{00000000-0005-0000-0000-0000E2000000}"/>
    <cellStyle name="_인원계획표 _원덕투찰" xfId="224" xr:uid="{00000000-0005-0000-0000-0000E3000000}"/>
    <cellStyle name="_인원계획표 _원덕투찰_2002년도BP양식수정(SOC팀수정부결안1101)" xfId="225" xr:uid="{00000000-0005-0000-0000-0000E4000000}"/>
    <cellStyle name="_인원계획표 _원덕투찰_2002년도BP양식주정" xfId="226" xr:uid="{00000000-0005-0000-0000-0000E5000000}"/>
    <cellStyle name="_인원계획표 _원덕투찰_2002년도BP양식주정_2002년도BP양식주정" xfId="227" xr:uid="{00000000-0005-0000-0000-0000E6000000}"/>
    <cellStyle name="_인원계획표 _원덕투찰_2002년도BP양식주정_2002년도BP양식주정_2002년도BP양식수정(SOC팀수정부결안1101)" xfId="228" xr:uid="{00000000-0005-0000-0000-0000E7000000}"/>
    <cellStyle name="_인원계획표 _원덕투찰_사업진척점검회의(2001. 8)" xfId="229" xr:uid="{00000000-0005-0000-0000-0000E8000000}"/>
    <cellStyle name="_인원계획표 _원덕투찰_사업진척점검회의(2001. 8)_2002년도BP양식수정(SOC팀수정부결안1101)" xfId="230" xr:uid="{00000000-0005-0000-0000-0000E9000000}"/>
    <cellStyle name="_인원계획표 _원덕투찰_사업진척점검회의(2001. 8)_2002년도BP양식주정" xfId="231" xr:uid="{00000000-0005-0000-0000-0000EA000000}"/>
    <cellStyle name="_인원계획표 _원덕투찰_사업진척점검회의(2001. 8)_2002년도BP양식주정_2002년도BP양식주정" xfId="232" xr:uid="{00000000-0005-0000-0000-0000EB000000}"/>
    <cellStyle name="_인원계획표 _원덕투찰_사업진척점검회의(2001. 8)_2002년도BP양식주정_2002년도BP양식주정_2002년도BP양식수정(SOC팀수정부결안1101)" xfId="233" xr:uid="{00000000-0005-0000-0000-0000EC000000}"/>
    <cellStyle name="_입찰표지 " xfId="234" xr:uid="{00000000-0005-0000-0000-0000ED000000}"/>
    <cellStyle name="_입찰표지 _2001입찰분석" xfId="235" xr:uid="{00000000-0005-0000-0000-0000EE000000}"/>
    <cellStyle name="_입찰표지 _2001입찰분석_2002년도BP양식수정(SOC팀수정부결안1101)" xfId="236" xr:uid="{00000000-0005-0000-0000-0000EF000000}"/>
    <cellStyle name="_입찰표지 _2001입찰분석_2002년도BP양식주정" xfId="237" xr:uid="{00000000-0005-0000-0000-0000F0000000}"/>
    <cellStyle name="_입찰표지 _2001입찰분석_2002년도BP양식주정_2002년도BP양식주정" xfId="238" xr:uid="{00000000-0005-0000-0000-0000F1000000}"/>
    <cellStyle name="_입찰표지 _2001입찰분석_2002년도BP양식주정_2002년도BP양식주정_2002년도BP양식수정(SOC팀수정부결안1101)" xfId="239" xr:uid="{00000000-0005-0000-0000-0000F2000000}"/>
    <cellStyle name="_입찰표지 _2001입찰분석_사업진척점검회의(2001. 8)" xfId="240" xr:uid="{00000000-0005-0000-0000-0000F3000000}"/>
    <cellStyle name="_입찰표지 _2001입찰분석_사업진척점검회의(2001. 8)_2002년도BP양식수정(SOC팀수정부결안1101)" xfId="241" xr:uid="{00000000-0005-0000-0000-0000F4000000}"/>
    <cellStyle name="_입찰표지 _2001입찰분석_사업진척점검회의(2001. 8)_2002년도BP양식주정" xfId="242" xr:uid="{00000000-0005-0000-0000-0000F5000000}"/>
    <cellStyle name="_입찰표지 _2001입찰분석_사업진척점검회의(2001. 8)_2002년도BP양식주정_2002년도BP양식주정" xfId="243" xr:uid="{00000000-0005-0000-0000-0000F6000000}"/>
    <cellStyle name="_입찰표지 _2001입찰분석_사업진척점검회의(2001. 8)_2002년도BP양식주정_2002년도BP양식주정_2002년도BP양식수정(SOC팀수정부결안1101)" xfId="244" xr:uid="{00000000-0005-0000-0000-0000F7000000}"/>
    <cellStyle name="_입찰표지 _2002년도BP양식수정(SOC팀수정부결안1101)" xfId="245" xr:uid="{00000000-0005-0000-0000-0000F8000000}"/>
    <cellStyle name="_입찰표지 _2002년도BP양식주정" xfId="246" xr:uid="{00000000-0005-0000-0000-0000F9000000}"/>
    <cellStyle name="_입찰표지 _2002년도BP양식주정_2002년도BP양식주정" xfId="247" xr:uid="{00000000-0005-0000-0000-0000FA000000}"/>
    <cellStyle name="_입찰표지 _2002년도BP양식주정_2002년도BP양식주정_2002년도BP양식수정(SOC팀수정부결안1101)" xfId="248" xr:uid="{00000000-0005-0000-0000-0000FB000000}"/>
    <cellStyle name="_입찰표지 _김해작업중" xfId="249" xr:uid="{00000000-0005-0000-0000-0000FC000000}"/>
    <cellStyle name="_입찰표지 _김해작업중_2002년도BP양식수정(SOC팀수정부결안1101)" xfId="250" xr:uid="{00000000-0005-0000-0000-0000FD000000}"/>
    <cellStyle name="_입찰표지 _김해작업중_2002년도BP양식주정" xfId="251" xr:uid="{00000000-0005-0000-0000-0000FE000000}"/>
    <cellStyle name="_입찰표지 _김해작업중_2002년도BP양식주정_2002년도BP양식주정" xfId="252" xr:uid="{00000000-0005-0000-0000-0000FF000000}"/>
    <cellStyle name="_입찰표지 _김해작업중_2002년도BP양식주정_2002년도BP양식주정_2002년도BP양식수정(SOC팀수정부결안1101)" xfId="253" xr:uid="{00000000-0005-0000-0000-000000010000}"/>
    <cellStyle name="_입찰표지 _김해작업중_사업진척점검회의(2001. 8)" xfId="254" xr:uid="{00000000-0005-0000-0000-000001010000}"/>
    <cellStyle name="_입찰표지 _김해작업중_사업진척점검회의(2001. 8)_2002년도BP양식수정(SOC팀수정부결안1101)" xfId="255" xr:uid="{00000000-0005-0000-0000-000002010000}"/>
    <cellStyle name="_입찰표지 _김해작업중_사업진척점검회의(2001. 8)_2002년도BP양식주정" xfId="256" xr:uid="{00000000-0005-0000-0000-000003010000}"/>
    <cellStyle name="_입찰표지 _김해작업중_사업진척점검회의(2001. 8)_2002년도BP양식주정_2002년도BP양식주정" xfId="257" xr:uid="{00000000-0005-0000-0000-000004010000}"/>
    <cellStyle name="_입찰표지 _김해작업중_사업진척점검회의(2001. 8)_2002년도BP양식주정_2002년도BP양식주정_2002년도BP양식수정(SOC팀수정부결안1101)" xfId="258" xr:uid="{00000000-0005-0000-0000-000005010000}"/>
    <cellStyle name="_입찰표지 _김해작업중_선운흥덕실행" xfId="259" xr:uid="{00000000-0005-0000-0000-000006010000}"/>
    <cellStyle name="_입찰표지 _김해작업중_선운흥덕실행_2002년도BP양식수정(SOC팀수정부결안1101)" xfId="260" xr:uid="{00000000-0005-0000-0000-000007010000}"/>
    <cellStyle name="_입찰표지 _김해작업중_선운흥덕실행_2002년도BP양식주정" xfId="261" xr:uid="{00000000-0005-0000-0000-000008010000}"/>
    <cellStyle name="_입찰표지 _김해작업중_선운흥덕실행_2002년도BP양식주정_2002년도BP양식주정" xfId="262" xr:uid="{00000000-0005-0000-0000-000009010000}"/>
    <cellStyle name="_입찰표지 _김해작업중_선운흥덕실행_2002년도BP양식주정_2002년도BP양식주정_2002년도BP양식수정(SOC팀수정부결안1101)" xfId="263" xr:uid="{00000000-0005-0000-0000-00000A010000}"/>
    <cellStyle name="_입찰표지 _김해작업중_선운흥덕실행_사업진척점검회의(2001. 8)" xfId="264" xr:uid="{00000000-0005-0000-0000-00000B010000}"/>
    <cellStyle name="_입찰표지 _김해작업중_선운흥덕실행_사업진척점검회의(2001. 8)_2002년도BP양식수정(SOC팀수정부결안1101)" xfId="265" xr:uid="{00000000-0005-0000-0000-00000C010000}"/>
    <cellStyle name="_입찰표지 _김해작업중_선운흥덕실행_사업진척점검회의(2001. 8)_2002년도BP양식주정" xfId="266" xr:uid="{00000000-0005-0000-0000-00000D010000}"/>
    <cellStyle name="_입찰표지 _김해작업중_선운흥덕실행_사업진척점검회의(2001. 8)_2002년도BP양식주정_2002년도BP양식주정" xfId="267" xr:uid="{00000000-0005-0000-0000-00000E010000}"/>
    <cellStyle name="_입찰표지 _김해작업중_선운흥덕실행_사업진척점검회의(2001. 8)_2002년도BP양식주정_2002년도BP양식주정_2002년도BP양식수정(SOC팀수정부결안1101)" xfId="268" xr:uid="{00000000-0005-0000-0000-00000F010000}"/>
    <cellStyle name="_입찰표지 _동원작업중" xfId="269" xr:uid="{00000000-0005-0000-0000-000010010000}"/>
    <cellStyle name="_입찰표지 _동원작업중_2002년도BP양식수정(SOC팀수정부결안1101)" xfId="270" xr:uid="{00000000-0005-0000-0000-000011010000}"/>
    <cellStyle name="_입찰표지 _동원작업중_2002년도BP양식주정" xfId="271" xr:uid="{00000000-0005-0000-0000-000012010000}"/>
    <cellStyle name="_입찰표지 _동원작업중_2002년도BP양식주정_2002년도BP양식주정" xfId="272" xr:uid="{00000000-0005-0000-0000-000013010000}"/>
    <cellStyle name="_입찰표지 _동원작업중_2002년도BP양식주정_2002년도BP양식주정_2002년도BP양식수정(SOC팀수정부결안1101)" xfId="273" xr:uid="{00000000-0005-0000-0000-000014010000}"/>
    <cellStyle name="_입찰표지 _동원작업중_사업진척점검회의(2001. 8)" xfId="274" xr:uid="{00000000-0005-0000-0000-000015010000}"/>
    <cellStyle name="_입찰표지 _동원작업중_사업진척점검회의(2001. 8)_2002년도BP양식수정(SOC팀수정부결안1101)" xfId="275" xr:uid="{00000000-0005-0000-0000-000016010000}"/>
    <cellStyle name="_입찰표지 _동원작업중_사업진척점검회의(2001. 8)_2002년도BP양식주정" xfId="276" xr:uid="{00000000-0005-0000-0000-000017010000}"/>
    <cellStyle name="_입찰표지 _동원작업중_사업진척점검회의(2001. 8)_2002년도BP양식주정_2002년도BP양식주정" xfId="277" xr:uid="{00000000-0005-0000-0000-000018010000}"/>
    <cellStyle name="_입찰표지 _동원작업중_사업진척점검회의(2001. 8)_2002년도BP양식주정_2002년도BP양식주정_2002년도BP양식수정(SOC팀수정부결안1101)" xfId="278" xr:uid="{00000000-0005-0000-0000-000019010000}"/>
    <cellStyle name="_입찰표지 _동원작업중_선운흥덕실행" xfId="279" xr:uid="{00000000-0005-0000-0000-00001A010000}"/>
    <cellStyle name="_입찰표지 _동원작업중_선운흥덕실행_2002년도BP양식수정(SOC팀수정부결안1101)" xfId="280" xr:uid="{00000000-0005-0000-0000-00001B010000}"/>
    <cellStyle name="_입찰표지 _동원작업중_선운흥덕실행_2002년도BP양식주정" xfId="281" xr:uid="{00000000-0005-0000-0000-00001C010000}"/>
    <cellStyle name="_입찰표지 _동원작업중_선운흥덕실행_2002년도BP양식주정_2002년도BP양식주정" xfId="282" xr:uid="{00000000-0005-0000-0000-00001D010000}"/>
    <cellStyle name="_입찰표지 _동원작업중_선운흥덕실행_2002년도BP양식주정_2002년도BP양식주정_2002년도BP양식수정(SOC팀수정부결안1101)" xfId="283" xr:uid="{00000000-0005-0000-0000-00001E010000}"/>
    <cellStyle name="_입찰표지 _동원작업중_선운흥덕실행_사업진척점검회의(2001. 8)" xfId="284" xr:uid="{00000000-0005-0000-0000-00001F010000}"/>
    <cellStyle name="_입찰표지 _동원작업중_선운흥덕실행_사업진척점검회의(2001. 8)_2002년도BP양식수정(SOC팀수정부결안1101)" xfId="285" xr:uid="{00000000-0005-0000-0000-000020010000}"/>
    <cellStyle name="_입찰표지 _동원작업중_선운흥덕실행_사업진척점검회의(2001. 8)_2002년도BP양식주정" xfId="286" xr:uid="{00000000-0005-0000-0000-000021010000}"/>
    <cellStyle name="_입찰표지 _동원작업중_선운흥덕실행_사업진척점검회의(2001. 8)_2002년도BP양식주정_2002년도BP양식주정" xfId="287" xr:uid="{00000000-0005-0000-0000-000022010000}"/>
    <cellStyle name="_입찰표지 _동원작업중_선운흥덕실행_사업진척점검회의(2001. 8)_2002년도BP양식주정_2002년도BP양식주정_2002년도BP양식수정(SOC팀수정부결안1101)" xfId="288" xr:uid="{00000000-0005-0000-0000-000023010000}"/>
    <cellStyle name="_입찰표지 _사업진척점검회의(2001. 8)" xfId="289" xr:uid="{00000000-0005-0000-0000-000024010000}"/>
    <cellStyle name="_입찰표지 _사업진척점검회의(2001. 8)_2002년도BP양식수정(SOC팀수정부결안1101)" xfId="290" xr:uid="{00000000-0005-0000-0000-000025010000}"/>
    <cellStyle name="_입찰표지 _사업진척점검회의(2001. 8)_2002년도BP양식주정" xfId="291" xr:uid="{00000000-0005-0000-0000-000026010000}"/>
    <cellStyle name="_입찰표지 _사업진척점검회의(2001. 8)_2002년도BP양식주정_2002년도BP양식주정" xfId="292" xr:uid="{00000000-0005-0000-0000-000027010000}"/>
    <cellStyle name="_입찰표지 _사업진척점검회의(2001. 8)_2002년도BP양식주정_2002년도BP양식주정_2002년도BP양식수정(SOC팀수정부결안1101)" xfId="293" xr:uid="{00000000-0005-0000-0000-000028010000}"/>
    <cellStyle name="_입찰표지 _원덕근덕" xfId="294" xr:uid="{00000000-0005-0000-0000-000029010000}"/>
    <cellStyle name="_입찰표지 _원덕근덕_2002년도BP양식수정(SOC팀수정부결안1101)" xfId="295" xr:uid="{00000000-0005-0000-0000-00002A010000}"/>
    <cellStyle name="_입찰표지 _원덕근덕_2002년도BP양식주정" xfId="296" xr:uid="{00000000-0005-0000-0000-00002B010000}"/>
    <cellStyle name="_입찰표지 _원덕근덕_2002년도BP양식주정_2002년도BP양식주정" xfId="297" xr:uid="{00000000-0005-0000-0000-00002C010000}"/>
    <cellStyle name="_입찰표지 _원덕근덕_2002년도BP양식주정_2002년도BP양식주정_2002년도BP양식수정(SOC팀수정부결안1101)" xfId="298" xr:uid="{00000000-0005-0000-0000-00002D010000}"/>
    <cellStyle name="_입찰표지 _원덕근덕_사업진척점검회의(2001. 8)" xfId="299" xr:uid="{00000000-0005-0000-0000-00002E010000}"/>
    <cellStyle name="_입찰표지 _원덕근덕_사업진척점검회의(2001. 8)_2002년도BP양식수정(SOC팀수정부결안1101)" xfId="300" xr:uid="{00000000-0005-0000-0000-00002F010000}"/>
    <cellStyle name="_입찰표지 _원덕근덕_사업진척점검회의(2001. 8)_2002년도BP양식주정" xfId="301" xr:uid="{00000000-0005-0000-0000-000030010000}"/>
    <cellStyle name="_입찰표지 _원덕근덕_사업진척점검회의(2001. 8)_2002년도BP양식주정_2002년도BP양식주정" xfId="302" xr:uid="{00000000-0005-0000-0000-000031010000}"/>
    <cellStyle name="_입찰표지 _원덕근덕_사업진척점검회의(2001. 8)_2002년도BP양식주정_2002년도BP양식주정_2002년도BP양식수정(SOC팀수정부결안1101)" xfId="303" xr:uid="{00000000-0005-0000-0000-000032010000}"/>
    <cellStyle name="_입찰표지 _원덕투찰" xfId="304" xr:uid="{00000000-0005-0000-0000-000033010000}"/>
    <cellStyle name="_입찰표지 _원덕투찰_2002년도BP양식수정(SOC팀수정부결안1101)" xfId="305" xr:uid="{00000000-0005-0000-0000-000034010000}"/>
    <cellStyle name="_입찰표지 _원덕투찰_2002년도BP양식주정" xfId="306" xr:uid="{00000000-0005-0000-0000-000035010000}"/>
    <cellStyle name="_입찰표지 _원덕투찰_2002년도BP양식주정_2002년도BP양식주정" xfId="307" xr:uid="{00000000-0005-0000-0000-000036010000}"/>
    <cellStyle name="_입찰표지 _원덕투찰_2002년도BP양식주정_2002년도BP양식주정_2002년도BP양식수정(SOC팀수정부결안1101)" xfId="308" xr:uid="{00000000-0005-0000-0000-000037010000}"/>
    <cellStyle name="_입찰표지 _원덕투찰_사업진척점검회의(2001. 8)" xfId="309" xr:uid="{00000000-0005-0000-0000-000038010000}"/>
    <cellStyle name="_입찰표지 _원덕투찰_사업진척점검회의(2001. 8)_2002년도BP양식수정(SOC팀수정부결안1101)" xfId="310" xr:uid="{00000000-0005-0000-0000-000039010000}"/>
    <cellStyle name="_입찰표지 _원덕투찰_사업진척점검회의(2001. 8)_2002년도BP양식주정" xfId="311" xr:uid="{00000000-0005-0000-0000-00003A010000}"/>
    <cellStyle name="_입찰표지 _원덕투찰_사업진척점검회의(2001. 8)_2002년도BP양식주정_2002년도BP양식주정" xfId="312" xr:uid="{00000000-0005-0000-0000-00003B010000}"/>
    <cellStyle name="_입찰표지 _원덕투찰_사업진척점검회의(2001. 8)_2002년도BP양식주정_2002년도BP양식주정_2002년도BP양식수정(SOC팀수정부결안1101)" xfId="313" xr:uid="{00000000-0005-0000-0000-00003C010000}"/>
    <cellStyle name="_적격(화산) " xfId="314" xr:uid="{00000000-0005-0000-0000-00003D010000}"/>
    <cellStyle name="_적격(화산) _2001입찰분석" xfId="315" xr:uid="{00000000-0005-0000-0000-00003E010000}"/>
    <cellStyle name="_적격(화산) _2001입찰분석_2002년도BP양식수정(SOC팀수정부결안1101)" xfId="316" xr:uid="{00000000-0005-0000-0000-00003F010000}"/>
    <cellStyle name="_적격(화산) _2001입찰분석_2002년도BP양식주정" xfId="317" xr:uid="{00000000-0005-0000-0000-000040010000}"/>
    <cellStyle name="_적격(화산) _2001입찰분석_2002년도BP양식주정_2002년도BP양식주정" xfId="318" xr:uid="{00000000-0005-0000-0000-000041010000}"/>
    <cellStyle name="_적격(화산) _2001입찰분석_2002년도BP양식주정_2002년도BP양식주정_2002년도BP양식수정(SOC팀수정부결안1101)" xfId="319" xr:uid="{00000000-0005-0000-0000-000042010000}"/>
    <cellStyle name="_적격(화산) _2001입찰분석_사업진척점검회의(2001. 8)" xfId="320" xr:uid="{00000000-0005-0000-0000-000043010000}"/>
    <cellStyle name="_적격(화산) _2001입찰분석_사업진척점검회의(2001. 8)_2002년도BP양식수정(SOC팀수정부결안1101)" xfId="321" xr:uid="{00000000-0005-0000-0000-000044010000}"/>
    <cellStyle name="_적격(화산) _2001입찰분석_사업진척점검회의(2001. 8)_2002년도BP양식주정" xfId="322" xr:uid="{00000000-0005-0000-0000-000045010000}"/>
    <cellStyle name="_적격(화산) _2001입찰분석_사업진척점검회의(2001. 8)_2002년도BP양식주정_2002년도BP양식주정" xfId="323" xr:uid="{00000000-0005-0000-0000-000046010000}"/>
    <cellStyle name="_적격(화산) _2001입찰분석_사업진척점검회의(2001. 8)_2002년도BP양식주정_2002년도BP양식주정_2002년도BP양식수정(SOC팀수정부결안1101)" xfId="324" xr:uid="{00000000-0005-0000-0000-000047010000}"/>
    <cellStyle name="_적격(화산) _2002년도BP양식수정(SOC팀수정부결안1101)" xfId="325" xr:uid="{00000000-0005-0000-0000-000048010000}"/>
    <cellStyle name="_적격(화산) _2002년도BP양식주정" xfId="326" xr:uid="{00000000-0005-0000-0000-000049010000}"/>
    <cellStyle name="_적격(화산) _2002년도BP양식주정_2002년도BP양식주정" xfId="327" xr:uid="{00000000-0005-0000-0000-00004A010000}"/>
    <cellStyle name="_적격(화산) _2002년도BP양식주정_2002년도BP양식주정_2002년도BP양식수정(SOC팀수정부결안1101)" xfId="328" xr:uid="{00000000-0005-0000-0000-00004B010000}"/>
    <cellStyle name="_적격(화산) _김해작업중" xfId="329" xr:uid="{00000000-0005-0000-0000-00004C010000}"/>
    <cellStyle name="_적격(화산) _김해작업중_2002년도BP양식수정(SOC팀수정부결안1101)" xfId="330" xr:uid="{00000000-0005-0000-0000-00004D010000}"/>
    <cellStyle name="_적격(화산) _김해작업중_2002년도BP양식주정" xfId="331" xr:uid="{00000000-0005-0000-0000-00004E010000}"/>
    <cellStyle name="_적격(화산) _김해작업중_2002년도BP양식주정_2002년도BP양식주정" xfId="332" xr:uid="{00000000-0005-0000-0000-00004F010000}"/>
    <cellStyle name="_적격(화산) _김해작업중_2002년도BP양식주정_2002년도BP양식주정_2002년도BP양식수정(SOC팀수정부결안1101)" xfId="333" xr:uid="{00000000-0005-0000-0000-000050010000}"/>
    <cellStyle name="_적격(화산) _김해작업중_사업진척점검회의(2001. 8)" xfId="334" xr:uid="{00000000-0005-0000-0000-000051010000}"/>
    <cellStyle name="_적격(화산) _김해작업중_사업진척점검회의(2001. 8)_2002년도BP양식수정(SOC팀수정부결안1101)" xfId="335" xr:uid="{00000000-0005-0000-0000-000052010000}"/>
    <cellStyle name="_적격(화산) _김해작업중_사업진척점검회의(2001. 8)_2002년도BP양식주정" xfId="336" xr:uid="{00000000-0005-0000-0000-000053010000}"/>
    <cellStyle name="_적격(화산) _김해작업중_사업진척점검회의(2001. 8)_2002년도BP양식주정_2002년도BP양식주정" xfId="337" xr:uid="{00000000-0005-0000-0000-000054010000}"/>
    <cellStyle name="_적격(화산) _김해작업중_사업진척점검회의(2001. 8)_2002년도BP양식주정_2002년도BP양식주정_2002년도BP양식수정(SOC팀수정부결안1101)" xfId="338" xr:uid="{00000000-0005-0000-0000-000055010000}"/>
    <cellStyle name="_적격(화산) _김해작업중_선운흥덕실행" xfId="339" xr:uid="{00000000-0005-0000-0000-000056010000}"/>
    <cellStyle name="_적격(화산) _김해작업중_선운흥덕실행_2002년도BP양식수정(SOC팀수정부결안1101)" xfId="340" xr:uid="{00000000-0005-0000-0000-000057010000}"/>
    <cellStyle name="_적격(화산) _김해작업중_선운흥덕실행_2002년도BP양식주정" xfId="341" xr:uid="{00000000-0005-0000-0000-000058010000}"/>
    <cellStyle name="_적격(화산) _김해작업중_선운흥덕실행_2002년도BP양식주정_2002년도BP양식주정" xfId="342" xr:uid="{00000000-0005-0000-0000-000059010000}"/>
    <cellStyle name="_적격(화산) _김해작업중_선운흥덕실행_2002년도BP양식주정_2002년도BP양식주정_2002년도BP양식수정(SOC팀수정부결안1101)" xfId="343" xr:uid="{00000000-0005-0000-0000-00005A010000}"/>
    <cellStyle name="_적격(화산) _김해작업중_선운흥덕실행_사업진척점검회의(2001. 8)" xfId="344" xr:uid="{00000000-0005-0000-0000-00005B010000}"/>
    <cellStyle name="_적격(화산) _김해작업중_선운흥덕실행_사업진척점검회의(2001. 8)_2002년도BP양식수정(SOC팀수정부결안1101)" xfId="345" xr:uid="{00000000-0005-0000-0000-00005C010000}"/>
    <cellStyle name="_적격(화산) _김해작업중_선운흥덕실행_사업진척점검회의(2001. 8)_2002년도BP양식주정" xfId="346" xr:uid="{00000000-0005-0000-0000-00005D010000}"/>
    <cellStyle name="_적격(화산) _김해작업중_선운흥덕실행_사업진척점검회의(2001. 8)_2002년도BP양식주정_2002년도BP양식주정" xfId="347" xr:uid="{00000000-0005-0000-0000-00005E010000}"/>
    <cellStyle name="_적격(화산) _김해작업중_선운흥덕실행_사업진척점검회의(2001. 8)_2002년도BP양식주정_2002년도BP양식주정_2002년도BP양식수정(SOC팀수정부결안1101)" xfId="348" xr:uid="{00000000-0005-0000-0000-00005F010000}"/>
    <cellStyle name="_적격(화산) _동원작업중" xfId="349" xr:uid="{00000000-0005-0000-0000-000060010000}"/>
    <cellStyle name="_적격(화산) _동원작업중_2002년도BP양식수정(SOC팀수정부결안1101)" xfId="350" xr:uid="{00000000-0005-0000-0000-000061010000}"/>
    <cellStyle name="_적격(화산) _동원작업중_2002년도BP양식주정" xfId="351" xr:uid="{00000000-0005-0000-0000-000062010000}"/>
    <cellStyle name="_적격(화산) _동원작업중_2002년도BP양식주정_2002년도BP양식주정" xfId="352" xr:uid="{00000000-0005-0000-0000-000063010000}"/>
    <cellStyle name="_적격(화산) _동원작업중_2002년도BP양식주정_2002년도BP양식주정_2002년도BP양식수정(SOC팀수정부결안1101)" xfId="353" xr:uid="{00000000-0005-0000-0000-000064010000}"/>
    <cellStyle name="_적격(화산) _동원작업중_사업진척점검회의(2001. 8)" xfId="354" xr:uid="{00000000-0005-0000-0000-000065010000}"/>
    <cellStyle name="_적격(화산) _동원작업중_사업진척점검회의(2001. 8)_2002년도BP양식수정(SOC팀수정부결안1101)" xfId="355" xr:uid="{00000000-0005-0000-0000-000066010000}"/>
    <cellStyle name="_적격(화산) _동원작업중_사업진척점검회의(2001. 8)_2002년도BP양식주정" xfId="356" xr:uid="{00000000-0005-0000-0000-000067010000}"/>
    <cellStyle name="_적격(화산) _동원작업중_사업진척점검회의(2001. 8)_2002년도BP양식주정_2002년도BP양식주정" xfId="357" xr:uid="{00000000-0005-0000-0000-000068010000}"/>
    <cellStyle name="_적격(화산) _동원작업중_사업진척점검회의(2001. 8)_2002년도BP양식주정_2002년도BP양식주정_2002년도BP양식수정(SOC팀수정부결안1101)" xfId="358" xr:uid="{00000000-0005-0000-0000-000069010000}"/>
    <cellStyle name="_적격(화산) _동원작업중_선운흥덕실행" xfId="359" xr:uid="{00000000-0005-0000-0000-00006A010000}"/>
    <cellStyle name="_적격(화산) _동원작업중_선운흥덕실행_2002년도BP양식수정(SOC팀수정부결안1101)" xfId="360" xr:uid="{00000000-0005-0000-0000-00006B010000}"/>
    <cellStyle name="_적격(화산) _동원작업중_선운흥덕실행_2002년도BP양식주정" xfId="361" xr:uid="{00000000-0005-0000-0000-00006C010000}"/>
    <cellStyle name="_적격(화산) _동원작업중_선운흥덕실행_2002년도BP양식주정_2002년도BP양식주정" xfId="362" xr:uid="{00000000-0005-0000-0000-00006D010000}"/>
    <cellStyle name="_적격(화산) _동원작업중_선운흥덕실행_2002년도BP양식주정_2002년도BP양식주정_2002년도BP양식수정(SOC팀수정부결안1101)" xfId="363" xr:uid="{00000000-0005-0000-0000-00006E010000}"/>
    <cellStyle name="_적격(화산) _동원작업중_선운흥덕실행_사업진척점검회의(2001. 8)" xfId="364" xr:uid="{00000000-0005-0000-0000-00006F010000}"/>
    <cellStyle name="_적격(화산) _동원작업중_선운흥덕실행_사업진척점검회의(2001. 8)_2002년도BP양식수정(SOC팀수정부결안1101)" xfId="365" xr:uid="{00000000-0005-0000-0000-000070010000}"/>
    <cellStyle name="_적격(화산) _동원작업중_선운흥덕실행_사업진척점검회의(2001. 8)_2002년도BP양식주정" xfId="366" xr:uid="{00000000-0005-0000-0000-000071010000}"/>
    <cellStyle name="_적격(화산) _동원작업중_선운흥덕실행_사업진척점검회의(2001. 8)_2002년도BP양식주정_2002년도BP양식주정" xfId="367" xr:uid="{00000000-0005-0000-0000-000072010000}"/>
    <cellStyle name="_적격(화산) _동원작업중_선운흥덕실행_사업진척점검회의(2001. 8)_2002년도BP양식주정_2002년도BP양식주정_2002년도BP양식수정(SOC팀수정부결안1101)" xfId="368" xr:uid="{00000000-0005-0000-0000-000073010000}"/>
    <cellStyle name="_적격(화산) _사업진척점검회의(2001. 8)" xfId="369" xr:uid="{00000000-0005-0000-0000-000074010000}"/>
    <cellStyle name="_적격(화산) _사업진척점검회의(2001. 8)_2002년도BP양식수정(SOC팀수정부결안1101)" xfId="370" xr:uid="{00000000-0005-0000-0000-000075010000}"/>
    <cellStyle name="_적격(화산) _사업진척점검회의(2001. 8)_2002년도BP양식주정" xfId="371" xr:uid="{00000000-0005-0000-0000-000076010000}"/>
    <cellStyle name="_적격(화산) _사업진척점검회의(2001. 8)_2002년도BP양식주정_2002년도BP양식주정" xfId="372" xr:uid="{00000000-0005-0000-0000-000077010000}"/>
    <cellStyle name="_적격(화산) _사업진척점검회의(2001. 8)_2002년도BP양식주정_2002년도BP양식주정_2002년도BP양식수정(SOC팀수정부결안1101)" xfId="373" xr:uid="{00000000-0005-0000-0000-000078010000}"/>
    <cellStyle name="_적격(화산) _원덕근덕" xfId="374" xr:uid="{00000000-0005-0000-0000-000079010000}"/>
    <cellStyle name="_적격(화산) _원덕근덕_2002년도BP양식수정(SOC팀수정부결안1101)" xfId="375" xr:uid="{00000000-0005-0000-0000-00007A010000}"/>
    <cellStyle name="_적격(화산) _원덕근덕_2002년도BP양식주정" xfId="376" xr:uid="{00000000-0005-0000-0000-00007B010000}"/>
    <cellStyle name="_적격(화산) _원덕근덕_2002년도BP양식주정_2002년도BP양식주정" xfId="377" xr:uid="{00000000-0005-0000-0000-00007C010000}"/>
    <cellStyle name="_적격(화산) _원덕근덕_2002년도BP양식주정_2002년도BP양식주정_2002년도BP양식수정(SOC팀수정부결안1101)" xfId="378" xr:uid="{00000000-0005-0000-0000-00007D010000}"/>
    <cellStyle name="_적격(화산) _원덕근덕_사업진척점검회의(2001. 8)" xfId="379" xr:uid="{00000000-0005-0000-0000-00007E010000}"/>
    <cellStyle name="_적격(화산) _원덕근덕_사업진척점검회의(2001. 8)_2002년도BP양식수정(SOC팀수정부결안1101)" xfId="380" xr:uid="{00000000-0005-0000-0000-00007F010000}"/>
    <cellStyle name="_적격(화산) _원덕근덕_사업진척점검회의(2001. 8)_2002년도BP양식주정" xfId="381" xr:uid="{00000000-0005-0000-0000-000080010000}"/>
    <cellStyle name="_적격(화산) _원덕근덕_사업진척점검회의(2001. 8)_2002년도BP양식주정_2002년도BP양식주정" xfId="382" xr:uid="{00000000-0005-0000-0000-000081010000}"/>
    <cellStyle name="_적격(화산) _원덕근덕_사업진척점검회의(2001. 8)_2002년도BP양식주정_2002년도BP양식주정_2002년도BP양식수정(SOC팀수정부결안1101)" xfId="383" xr:uid="{00000000-0005-0000-0000-000082010000}"/>
    <cellStyle name="_적격(화산) _원덕투찰" xfId="384" xr:uid="{00000000-0005-0000-0000-000083010000}"/>
    <cellStyle name="_적격(화산) _원덕투찰_2002년도BP양식수정(SOC팀수정부결안1101)" xfId="385" xr:uid="{00000000-0005-0000-0000-000084010000}"/>
    <cellStyle name="_적격(화산) _원덕투찰_2002년도BP양식주정" xfId="386" xr:uid="{00000000-0005-0000-0000-000085010000}"/>
    <cellStyle name="_적격(화산) _원덕투찰_2002년도BP양식주정_2002년도BP양식주정" xfId="387" xr:uid="{00000000-0005-0000-0000-000086010000}"/>
    <cellStyle name="_적격(화산) _원덕투찰_2002년도BP양식주정_2002년도BP양식주정_2002년도BP양식수정(SOC팀수정부결안1101)" xfId="388" xr:uid="{00000000-0005-0000-0000-000087010000}"/>
    <cellStyle name="_적격(화산) _원덕투찰_사업진척점검회의(2001. 8)" xfId="389" xr:uid="{00000000-0005-0000-0000-000088010000}"/>
    <cellStyle name="_적격(화산) _원덕투찰_사업진척점검회의(2001. 8)_2002년도BP양식수정(SOC팀수정부결안1101)" xfId="390" xr:uid="{00000000-0005-0000-0000-000089010000}"/>
    <cellStyle name="_적격(화산) _원덕투찰_사업진척점검회의(2001. 8)_2002년도BP양식주정" xfId="391" xr:uid="{00000000-0005-0000-0000-00008A010000}"/>
    <cellStyle name="_적격(화산) _원덕투찰_사업진척점검회의(2001. 8)_2002년도BP양식주정_2002년도BP양식주정" xfId="392" xr:uid="{00000000-0005-0000-0000-00008B010000}"/>
    <cellStyle name="_적격(화산) _원덕투찰_사업진척점검회의(2001. 8)_2002년도BP양식주정_2002년도BP양식주정_2002년도BP양식수정(SOC팀수정부결안1101)" xfId="393" xr:uid="{00000000-0005-0000-0000-00008C010000}"/>
    <cellStyle name="_지정과제2차심의list" xfId="569" xr:uid="{00000000-0005-0000-0000-00008D010000}"/>
    <cellStyle name="_지정과제2차심의list_1" xfId="570" xr:uid="{00000000-0005-0000-0000-00008E010000}"/>
    <cellStyle name="_지정과제2차심의list_2" xfId="571" xr:uid="{00000000-0005-0000-0000-00008F010000}"/>
    <cellStyle name="_지정과제2차심의결과" xfId="572" xr:uid="{00000000-0005-0000-0000-000090010000}"/>
    <cellStyle name="_지정과제2차심의결과(금액조정후최종)" xfId="573" xr:uid="{00000000-0005-0000-0000-000091010000}"/>
    <cellStyle name="_지정과제2차심의결과(금액조정후최종)_1" xfId="574" xr:uid="{00000000-0005-0000-0000-000092010000}"/>
    <cellStyle name="_지정과제2차심의결과_1" xfId="575" xr:uid="{00000000-0005-0000-0000-000093010000}"/>
    <cellStyle name="_집중관리(981231)" xfId="576" xr:uid="{00000000-0005-0000-0000-000094010000}"/>
    <cellStyle name="_집중관리(981231)_1" xfId="577" xr:uid="{00000000-0005-0000-0000-000095010000}"/>
    <cellStyle name="_집중관리(지정과제및 양식)" xfId="578" xr:uid="{00000000-0005-0000-0000-000096010000}"/>
    <cellStyle name="_집중관리(지정과제및 양식)_1" xfId="579" xr:uid="{00000000-0005-0000-0000-000097010000}"/>
    <cellStyle name="_최저투찰" xfId="394" xr:uid="{00000000-0005-0000-0000-000098010000}"/>
    <cellStyle name="_토목설계팀수주현황" xfId="395" xr:uid="{00000000-0005-0000-0000-000099010000}"/>
    <cellStyle name="¤@?e_TEST-1 " xfId="396" xr:uid="{00000000-0005-0000-0000-00009A010000}"/>
    <cellStyle name="△ [0]" xfId="397" xr:uid="{00000000-0005-0000-0000-00009B010000}"/>
    <cellStyle name="0.0" xfId="398" xr:uid="{00000000-0005-0000-0000-00009C010000}"/>
    <cellStyle name="0.00" xfId="399" xr:uid="{00000000-0005-0000-0000-00009D010000}"/>
    <cellStyle name="1" xfId="400" xr:uid="{00000000-0005-0000-0000-00009E010000}"/>
    <cellStyle name="1_단가조사표" xfId="401" xr:uid="{00000000-0005-0000-0000-00009F010000}"/>
    <cellStyle name="1Normal" xfId="402" xr:uid="{00000000-0005-0000-0000-0000A0010000}"/>
    <cellStyle name="2" xfId="403" xr:uid="{00000000-0005-0000-0000-0000A1010000}"/>
    <cellStyle name="2_단가조사표" xfId="404" xr:uid="{00000000-0005-0000-0000-0000A2010000}"/>
    <cellStyle name="82" xfId="405" xr:uid="{00000000-0005-0000-0000-0000A3010000}"/>
    <cellStyle name="A???[0]_97 ?? " xfId="580" xr:uid="{00000000-0005-0000-0000-0000A4010000}"/>
    <cellStyle name="A???97 ?? " xfId="581" xr:uid="{00000000-0005-0000-0000-0000A5010000}"/>
    <cellStyle name="A???97?a?u? " xfId="582" xr:uid="{00000000-0005-0000-0000-0000A6010000}"/>
    <cellStyle name="A???97Ae?A? " xfId="583" xr:uid="{00000000-0005-0000-0000-0000A7010000}"/>
    <cellStyle name="A???98Ae?A? " xfId="584" xr:uid="{00000000-0005-0000-0000-0000A8010000}"/>
    <cellStyle name="A???AoAUAy캿C? " xfId="585" xr:uid="{00000000-0005-0000-0000-0000A9010000}"/>
    <cellStyle name="A???C?Ao_AoAUAy캿C? " xfId="586" xr:uid="{00000000-0005-0000-0000-0000AA010000}"/>
    <cellStyle name="A???CASH FLOW " xfId="587" xr:uid="{00000000-0005-0000-0000-0000AB010000}"/>
    <cellStyle name="A??[0]_CASH FLOW " xfId="588" xr:uid="{00000000-0005-0000-0000-0000AC010000}"/>
    <cellStyle name="A??CASH FLOW " xfId="589" xr:uid="{00000000-0005-0000-0000-0000AD010000}"/>
    <cellStyle name="A¨­￠￢￠O [0]_INQUIRY ￠?￥i¨u¡AAⓒ￢Aⓒª " xfId="406" xr:uid="{00000000-0005-0000-0000-0000AE010000}"/>
    <cellStyle name="A¨­￠￢￠O_INQUIRY ￠?￥i¨u¡AAⓒ￢Aⓒª " xfId="407" xr:uid="{00000000-0005-0000-0000-0000AF010000}"/>
    <cellStyle name="Aee­ " xfId="408" xr:uid="{00000000-0005-0000-0000-0000B0010000}"/>
    <cellStyle name="AeE­ [0]_ 2ÆAAþº° " xfId="409" xr:uid="{00000000-0005-0000-0000-0000B1010000}"/>
    <cellStyle name="ÅëÈ­ [0]_±×·¡ÇÁ (2)" xfId="590" xr:uid="{00000000-0005-0000-0000-0000B2010000}"/>
    <cellStyle name="AeE­ [0]_INQUIRY ¿μ¾÷AßAø " xfId="410" xr:uid="{00000000-0005-0000-0000-0000B3010000}"/>
    <cellStyle name="ÅëÈ­ [0]_º»¼± ±æ¾î±úºÎ ¼ö·® Áý°èÇ¥ " xfId="411" xr:uid="{00000000-0005-0000-0000-0000B4010000}"/>
    <cellStyle name="AeE?[0]_97 ?? " xfId="591" xr:uid="{00000000-0005-0000-0000-0000B5010000}"/>
    <cellStyle name="AeE?97 ?? " xfId="592" xr:uid="{00000000-0005-0000-0000-0000B6010000}"/>
    <cellStyle name="AeE?97?a?u? " xfId="593" xr:uid="{00000000-0005-0000-0000-0000B7010000}"/>
    <cellStyle name="AeE?97Ae?A? " xfId="594" xr:uid="{00000000-0005-0000-0000-0000B8010000}"/>
    <cellStyle name="AeE?98Ae?A? " xfId="595" xr:uid="{00000000-0005-0000-0000-0000B9010000}"/>
    <cellStyle name="AeE?AoAUAy캿C? " xfId="596" xr:uid="{00000000-0005-0000-0000-0000BA010000}"/>
    <cellStyle name="AeE?C?Ao_AoAUAy캿C? " xfId="597" xr:uid="{00000000-0005-0000-0000-0000BB010000}"/>
    <cellStyle name="AeE?CASH FLOW " xfId="598" xr:uid="{00000000-0005-0000-0000-0000BC010000}"/>
    <cellStyle name="AeE­_ 2ÆAAþº° " xfId="412" xr:uid="{00000000-0005-0000-0000-0000BD010000}"/>
    <cellStyle name="ÅëÈ­_±×·¡ÇÁ (2)" xfId="599" xr:uid="{00000000-0005-0000-0000-0000BE010000}"/>
    <cellStyle name="AeE­_INQUIRY ¿μ¾÷AßAø " xfId="413" xr:uid="{00000000-0005-0000-0000-0000BF010000}"/>
    <cellStyle name="ÅëÈ­_º»¼± ±æ¾î±úºÎ ¼ö·® Áý°èÇ¥ " xfId="414" xr:uid="{00000000-0005-0000-0000-0000C0010000}"/>
    <cellStyle name="AeE¡ⓒ [0]_INQUIRY ￠?￥i¨u¡AAⓒ￢Aⓒª " xfId="415" xr:uid="{00000000-0005-0000-0000-0000C1010000}"/>
    <cellStyle name="AeE¡ⓒ_INQUIRY ￠?￥i¨u¡AAⓒ￢Aⓒª " xfId="416" xr:uid="{00000000-0005-0000-0000-0000C2010000}"/>
    <cellStyle name="AÞ¸¶ [0]_ 2ÆAAþº° " xfId="417" xr:uid="{00000000-0005-0000-0000-0000C3010000}"/>
    <cellStyle name="ÄÞ¸¶ [0]_±×·¡ÇÁ (2)" xfId="600" xr:uid="{00000000-0005-0000-0000-0000C4010000}"/>
    <cellStyle name="AÞ¸¶ [0]_INQUIRY ¿μ¾÷AßAø " xfId="418" xr:uid="{00000000-0005-0000-0000-0000C5010000}"/>
    <cellStyle name="ÄÞ¸¶ [0]_º»¼± ±æ¾î±úºÎ ¼ö·® Áý°èÇ¥ " xfId="419" xr:uid="{00000000-0005-0000-0000-0000C6010000}"/>
    <cellStyle name="AÞ¸¶_ 2ÆAAþº° " xfId="420" xr:uid="{00000000-0005-0000-0000-0000C7010000}"/>
    <cellStyle name="ÄÞ¸¶_±×·¡ÇÁ (2)" xfId="601" xr:uid="{00000000-0005-0000-0000-0000C8010000}"/>
    <cellStyle name="AÞ¸¶_INQUIRY ¿μ¾÷AßAø " xfId="421" xr:uid="{00000000-0005-0000-0000-0000C9010000}"/>
    <cellStyle name="ÄÞ¸¶_º»¼± ±æ¾î±úºÎ ¼ö·® Áý°èÇ¥ " xfId="422" xr:uid="{00000000-0005-0000-0000-0000CA010000}"/>
    <cellStyle name="Border" xfId="423" xr:uid="{00000000-0005-0000-0000-0000CB010000}"/>
    <cellStyle name="Brand Default" xfId="653" xr:uid="{00000000-0005-0000-0000-0000CC010000}"/>
    <cellStyle name="C?AO_?? " xfId="602" xr:uid="{00000000-0005-0000-0000-0000CD010000}"/>
    <cellStyle name="C¡IA¨ª_¡ic¨u¡A¨￢I¨￢¡Æ AN¡Æe " xfId="424" xr:uid="{00000000-0005-0000-0000-0000CE010000}"/>
    <cellStyle name="C￥AØ_  FAB AIA¤  " xfId="425" xr:uid="{00000000-0005-0000-0000-0000CF010000}"/>
    <cellStyle name="Ç¥ÁØ_´ç¿ùÃßÁø°èÈ¹" xfId="603" xr:uid="{00000000-0005-0000-0000-0000D0010000}"/>
    <cellStyle name="C￥AØ_´eAN°yC￥ " xfId="604" xr:uid="{00000000-0005-0000-0000-0000D1010000}"/>
    <cellStyle name="Ç¥ÁØ_»ç¾÷ºÎº° ÃÑ°è " xfId="426" xr:uid="{00000000-0005-0000-0000-0000D2010000}"/>
    <cellStyle name="C￥AØ_≫c¾÷ºIº° AN°e " xfId="427" xr:uid="{00000000-0005-0000-0000-0000D3010000}"/>
    <cellStyle name="Ç¥ÁØ_5-1±¤°í " xfId="428" xr:uid="{00000000-0005-0000-0000-0000D4010000}"/>
    <cellStyle name="C￥AØ_5-1±¤°i _Co´e¾÷¹≪AßAø " xfId="429" xr:uid="{00000000-0005-0000-0000-0000D5010000}"/>
    <cellStyle name="Ç¥ÁØ_ÀüÇöÀå2" xfId="430" xr:uid="{00000000-0005-0000-0000-0000D6010000}"/>
    <cellStyle name="category" xfId="431" xr:uid="{00000000-0005-0000-0000-0000D7010000}"/>
    <cellStyle name="Comma" xfId="432" xr:uid="{00000000-0005-0000-0000-0000D8010000}"/>
    <cellStyle name="Comma  - Style1" xfId="433" xr:uid="{00000000-0005-0000-0000-0000D9010000}"/>
    <cellStyle name="Comma  - Style2" xfId="434" xr:uid="{00000000-0005-0000-0000-0000DA010000}"/>
    <cellStyle name="Comma  - Style3" xfId="435" xr:uid="{00000000-0005-0000-0000-0000DB010000}"/>
    <cellStyle name="Comma  - Style4" xfId="436" xr:uid="{00000000-0005-0000-0000-0000DC010000}"/>
    <cellStyle name="Comma  - Style5" xfId="437" xr:uid="{00000000-0005-0000-0000-0000DD010000}"/>
    <cellStyle name="Comma  - Style6" xfId="438" xr:uid="{00000000-0005-0000-0000-0000DE010000}"/>
    <cellStyle name="Comma  - Style7" xfId="439" xr:uid="{00000000-0005-0000-0000-0000DF010000}"/>
    <cellStyle name="Comma  - Style8" xfId="440" xr:uid="{00000000-0005-0000-0000-0000E0010000}"/>
    <cellStyle name="Comma [0]" xfId="441" xr:uid="{00000000-0005-0000-0000-0000E1010000}"/>
    <cellStyle name="comma zerodec" xfId="442" xr:uid="{00000000-0005-0000-0000-0000E2010000}"/>
    <cellStyle name="Comma_ SG&amp;A Bridge " xfId="443" xr:uid="{00000000-0005-0000-0000-0000E3010000}"/>
    <cellStyle name="Curren?_x0012_퐀_x0017_?" xfId="444" xr:uid="{00000000-0005-0000-0000-0000E4010000}"/>
    <cellStyle name="Currency" xfId="445" xr:uid="{00000000-0005-0000-0000-0000E5010000}"/>
    <cellStyle name="Currency [0]" xfId="446" xr:uid="{00000000-0005-0000-0000-0000E6010000}"/>
    <cellStyle name="Currency_ SG&amp;A Bridge " xfId="447" xr:uid="{00000000-0005-0000-0000-0000E7010000}"/>
    <cellStyle name="Currency1" xfId="448" xr:uid="{00000000-0005-0000-0000-0000E8010000}"/>
    <cellStyle name="Dezimal [0]_laroux" xfId="449" xr:uid="{00000000-0005-0000-0000-0000E9010000}"/>
    <cellStyle name="Dezimal_laroux" xfId="450" xr:uid="{00000000-0005-0000-0000-0000EA010000}"/>
    <cellStyle name="dgw" xfId="451" xr:uid="{00000000-0005-0000-0000-0000EB010000}"/>
    <cellStyle name="Dollar (zero dec)" xfId="452" xr:uid="{00000000-0005-0000-0000-0000EC010000}"/>
    <cellStyle name="Euro" xfId="453" xr:uid="{00000000-0005-0000-0000-0000ED010000}"/>
    <cellStyle name="Excel Built-in Normal" xfId="630" xr:uid="{00000000-0005-0000-0000-0000EE010000}"/>
    <cellStyle name="F2" xfId="454" xr:uid="{00000000-0005-0000-0000-0000EF010000}"/>
    <cellStyle name="F3" xfId="455" xr:uid="{00000000-0005-0000-0000-0000F0010000}"/>
    <cellStyle name="F4" xfId="456" xr:uid="{00000000-0005-0000-0000-0000F1010000}"/>
    <cellStyle name="F5" xfId="457" xr:uid="{00000000-0005-0000-0000-0000F2010000}"/>
    <cellStyle name="F6" xfId="458" xr:uid="{00000000-0005-0000-0000-0000F3010000}"/>
    <cellStyle name="F7" xfId="459" xr:uid="{00000000-0005-0000-0000-0000F4010000}"/>
    <cellStyle name="F8" xfId="460" xr:uid="{00000000-0005-0000-0000-0000F5010000}"/>
    <cellStyle name="Grey" xfId="461" xr:uid="{00000000-0005-0000-0000-0000F6010000}"/>
    <cellStyle name="H1" xfId="462" xr:uid="{00000000-0005-0000-0000-0000F7010000}"/>
    <cellStyle name="H2" xfId="463" xr:uid="{00000000-0005-0000-0000-0000F8010000}"/>
    <cellStyle name="HEADER" xfId="464" xr:uid="{00000000-0005-0000-0000-0000F9010000}"/>
    <cellStyle name="Header1" xfId="465" xr:uid="{00000000-0005-0000-0000-0000FA010000}"/>
    <cellStyle name="Header2" xfId="466" xr:uid="{00000000-0005-0000-0000-0000FB010000}"/>
    <cellStyle name="Heading" xfId="467" xr:uid="{00000000-0005-0000-0000-0000FC010000}"/>
    <cellStyle name="heading, 1,A MAJOR/BOLD" xfId="468" xr:uid="{00000000-0005-0000-0000-0000FD010000}"/>
    <cellStyle name="Heading1" xfId="469" xr:uid="{00000000-0005-0000-0000-0000FE010000}"/>
    <cellStyle name="Input [yellow]" xfId="470" xr:uid="{00000000-0005-0000-0000-0000FF010000}"/>
    <cellStyle name="Milliers [0]_Arabian Spec" xfId="471" xr:uid="{00000000-0005-0000-0000-000000020000}"/>
    <cellStyle name="Milliers_Arabian Spec" xfId="472" xr:uid="{00000000-0005-0000-0000-000001020000}"/>
    <cellStyle name="Model" xfId="473" xr:uid="{00000000-0005-0000-0000-000002020000}"/>
    <cellStyle name="Mon?aire [0]_Arabian Spec" xfId="474" xr:uid="{00000000-0005-0000-0000-000003020000}"/>
    <cellStyle name="Mon?aire_Arabian Spec" xfId="475" xr:uid="{00000000-0005-0000-0000-000004020000}"/>
    <cellStyle name="no dec" xfId="476" xr:uid="{00000000-0005-0000-0000-000005020000}"/>
    <cellStyle name="Nor_SX_DB" xfId="477" xr:uid="{00000000-0005-0000-0000-000006020000}"/>
    <cellStyle name="Normal - Style1" xfId="478" xr:uid="{00000000-0005-0000-0000-000007020000}"/>
    <cellStyle name="Normal - 유형1" xfId="479" xr:uid="{00000000-0005-0000-0000-000008020000}"/>
    <cellStyle name="Normal_ SG&amp;A Bridge" xfId="480" xr:uid="{00000000-0005-0000-0000-000009020000}"/>
    <cellStyle name="Normal1" xfId="481" xr:uid="{00000000-0005-0000-0000-00000A020000}"/>
    <cellStyle name="Normal2" xfId="482" xr:uid="{00000000-0005-0000-0000-00000B020000}"/>
    <cellStyle name="OJECT" xfId="483" xr:uid="{00000000-0005-0000-0000-00000C020000}"/>
    <cellStyle name="Output Amounts" xfId="484" xr:uid="{00000000-0005-0000-0000-00000D020000}"/>
    <cellStyle name="Output Column Headings" xfId="485" xr:uid="{00000000-0005-0000-0000-00000E020000}"/>
    <cellStyle name="Output Line Items" xfId="486" xr:uid="{00000000-0005-0000-0000-00000F020000}"/>
    <cellStyle name="Output Report Heading" xfId="487" xr:uid="{00000000-0005-0000-0000-000010020000}"/>
    <cellStyle name="Output Report Title" xfId="488" xr:uid="{00000000-0005-0000-0000-000011020000}"/>
    <cellStyle name="Percent" xfId="489" xr:uid="{00000000-0005-0000-0000-000012020000}"/>
    <cellStyle name="Percent [2]" xfId="490" xr:uid="{00000000-0005-0000-0000-000013020000}"/>
    <cellStyle name="Standard_laroux" xfId="491" xr:uid="{00000000-0005-0000-0000-000014020000}"/>
    <cellStyle name="subhead" xfId="492" xr:uid="{00000000-0005-0000-0000-000015020000}"/>
    <cellStyle name="Thousands" xfId="493" xr:uid="{00000000-0005-0000-0000-000016020000}"/>
    <cellStyle name="Times New Roman" xfId="494" xr:uid="{00000000-0005-0000-0000-000017020000}"/>
    <cellStyle name="title [1]" xfId="495" xr:uid="{00000000-0005-0000-0000-000018020000}"/>
    <cellStyle name="title [2]" xfId="496" xr:uid="{00000000-0005-0000-0000-000019020000}"/>
    <cellStyle name="Unprotect" xfId="497" xr:uid="{00000000-0005-0000-0000-00001A020000}"/>
    <cellStyle name="W?rung [0]_laroux" xfId="498" xr:uid="{00000000-0005-0000-0000-00001B020000}"/>
    <cellStyle name="W?rung_laroux" xfId="499" xr:uid="{00000000-0005-0000-0000-00001C020000}"/>
    <cellStyle name="고정소숫점" xfId="500" xr:uid="{00000000-0005-0000-0000-00001D020000}"/>
    <cellStyle name="고정출력1" xfId="501" xr:uid="{00000000-0005-0000-0000-00001E020000}"/>
    <cellStyle name="고정출력2" xfId="502" xr:uid="{00000000-0005-0000-0000-00001F020000}"/>
    <cellStyle name="咬訌裝?report-2 " xfId="605" xr:uid="{00000000-0005-0000-0000-000020020000}"/>
    <cellStyle name="기계" xfId="503" xr:uid="{00000000-0005-0000-0000-000021020000}"/>
    <cellStyle name="날짜" xfId="504" xr:uid="{00000000-0005-0000-0000-000022020000}"/>
    <cellStyle name="날짜 yyyy-mm-dd" xfId="505" xr:uid="{00000000-0005-0000-0000-000023020000}"/>
    <cellStyle name="날짜 yyyy-mm-dd현재" xfId="506" xr:uid="{00000000-0005-0000-0000-000024020000}"/>
    <cellStyle name="날짜(yyyy-mm-dd현재)" xfId="507" xr:uid="{00000000-0005-0000-0000-000025020000}"/>
    <cellStyle name="내역서" xfId="508" xr:uid="{00000000-0005-0000-0000-000026020000}"/>
    <cellStyle name="달러" xfId="509" xr:uid="{00000000-0005-0000-0000-000027020000}"/>
    <cellStyle name="뒤에 오는 하이퍼링크_0103월보" xfId="606" xr:uid="{00000000-0005-0000-0000-000028020000}"/>
    <cellStyle name="똿뗦먛귟 [0.00]_PRODUCT DETAIL Q1" xfId="510" xr:uid="{00000000-0005-0000-0000-000029020000}"/>
    <cellStyle name="똿뗦먛귟_PRODUCT DETAIL Q1" xfId="511" xr:uid="{00000000-0005-0000-0000-00002A020000}"/>
    <cellStyle name="믅됞 [0.00]_PRODUCT DETAIL Q1" xfId="512" xr:uid="{00000000-0005-0000-0000-00002B020000}"/>
    <cellStyle name="믅됞_PRODUCT DETAIL Q1" xfId="513" xr:uid="{00000000-0005-0000-0000-00002C020000}"/>
    <cellStyle name="未定義" xfId="514" xr:uid="{00000000-0005-0000-0000-00002D020000}"/>
    <cellStyle name="배분" xfId="515" xr:uid="{00000000-0005-0000-0000-00002E020000}"/>
    <cellStyle name="백분율" xfId="2" builtinId="5"/>
    <cellStyle name="백분율 [0]" xfId="516" xr:uid="{00000000-0005-0000-0000-000030020000}"/>
    <cellStyle name="백분율 [2]" xfId="517" xr:uid="{00000000-0005-0000-0000-000031020000}"/>
    <cellStyle name="백분율 10" xfId="607" xr:uid="{00000000-0005-0000-0000-000032020000}"/>
    <cellStyle name="백분율 2" xfId="518" xr:uid="{00000000-0005-0000-0000-000033020000}"/>
    <cellStyle name="백분율 2 2" xfId="519" xr:uid="{00000000-0005-0000-0000-000034020000}"/>
    <cellStyle name="백분율 2 2 2" xfId="631" xr:uid="{00000000-0005-0000-0000-000035020000}"/>
    <cellStyle name="백분율 2 2 3" xfId="632" xr:uid="{00000000-0005-0000-0000-000036020000}"/>
    <cellStyle name="백분율 2 3" xfId="633" xr:uid="{00000000-0005-0000-0000-000037020000}"/>
    <cellStyle name="백분율 2 4" xfId="634" xr:uid="{00000000-0005-0000-0000-000038020000}"/>
    <cellStyle name="백분율 2 5" xfId="635" xr:uid="{00000000-0005-0000-0000-000039020000}"/>
    <cellStyle name="백분율 3" xfId="7" xr:uid="{00000000-0005-0000-0000-00003A020000}"/>
    <cellStyle name="백분율 3 2" xfId="636" xr:uid="{00000000-0005-0000-0000-00003B020000}"/>
    <cellStyle name="백분율 4" xfId="608" xr:uid="{00000000-0005-0000-0000-00003C020000}"/>
    <cellStyle name="백분율 4 2" xfId="637" xr:uid="{00000000-0005-0000-0000-00003D020000}"/>
    <cellStyle name="백분율 5" xfId="609" xr:uid="{00000000-0005-0000-0000-00003E020000}"/>
    <cellStyle name="백분율［△1］" xfId="520" xr:uid="{00000000-0005-0000-0000-00003F020000}"/>
    <cellStyle name="백분율［△2］" xfId="521" xr:uid="{00000000-0005-0000-0000-000040020000}"/>
    <cellStyle name="뷭?_BOOKSHIP" xfId="522" xr:uid="{00000000-0005-0000-0000-000041020000}"/>
    <cellStyle name="새귑[0]_롤痰삠悧 " xfId="610" xr:uid="{00000000-0005-0000-0000-000042020000}"/>
    <cellStyle name="새귑_롤痰삠悧 " xfId="611" xr:uid="{00000000-0005-0000-0000-000043020000}"/>
    <cellStyle name="선택영역의 가운데로" xfId="523" xr:uid="{00000000-0005-0000-0000-000044020000}"/>
    <cellStyle name="숫자(R)" xfId="524" xr:uid="{00000000-0005-0000-0000-000045020000}"/>
    <cellStyle name="쉼표 [0]" xfId="1" builtinId="6"/>
    <cellStyle name="쉼표 [0] 10" xfId="612" xr:uid="{00000000-0005-0000-0000-000047020000}"/>
    <cellStyle name="쉼표 [0] 11" xfId="654" xr:uid="{00000000-0005-0000-0000-000048020000}"/>
    <cellStyle name="쉼표 [0] 2" xfId="525" xr:uid="{00000000-0005-0000-0000-000049020000}"/>
    <cellStyle name="쉼표 [0] 2 2" xfId="526" xr:uid="{00000000-0005-0000-0000-00004A020000}"/>
    <cellStyle name="쉼표 [0] 2 3" xfId="613" xr:uid="{00000000-0005-0000-0000-00004B020000}"/>
    <cellStyle name="쉼표 [0] 3" xfId="6" xr:uid="{00000000-0005-0000-0000-00004C020000}"/>
    <cellStyle name="쉼표 [0] 3 2" xfId="638" xr:uid="{00000000-0005-0000-0000-00004D020000}"/>
    <cellStyle name="쉼표 [0] 3 2 2" xfId="639" xr:uid="{00000000-0005-0000-0000-00004E020000}"/>
    <cellStyle name="쉼표 [0] 3 3" xfId="640" xr:uid="{00000000-0005-0000-0000-00004F020000}"/>
    <cellStyle name="쉼표 [0] 3 4" xfId="641" xr:uid="{00000000-0005-0000-0000-000050020000}"/>
    <cellStyle name="쉼표 [0] 3 5" xfId="642" xr:uid="{00000000-0005-0000-0000-000051020000}"/>
    <cellStyle name="쉼표 [0] 4" xfId="614" xr:uid="{00000000-0005-0000-0000-000052020000}"/>
    <cellStyle name="쉼표 [0] 4 2" xfId="9" xr:uid="{00000000-0005-0000-0000-000053020000}"/>
    <cellStyle name="쉼표 [0] 4 3" xfId="643" xr:uid="{00000000-0005-0000-0000-000054020000}"/>
    <cellStyle name="쉼표 [0] 5" xfId="4" xr:uid="{00000000-0005-0000-0000-000055020000}"/>
    <cellStyle name="쉼표 [0] 5 2" xfId="644" xr:uid="{00000000-0005-0000-0000-000056020000}"/>
    <cellStyle name="쉼표 [0] 6" xfId="615" xr:uid="{00000000-0005-0000-0000-000057020000}"/>
    <cellStyle name="스타일 1" xfId="527" xr:uid="{00000000-0005-0000-0000-000058020000}"/>
    <cellStyle name="스타일 2" xfId="616" xr:uid="{00000000-0005-0000-0000-000059020000}"/>
    <cellStyle name="스타일 3" xfId="617" xr:uid="{00000000-0005-0000-0000-00005A020000}"/>
    <cellStyle name="스타일 4" xfId="618" xr:uid="{00000000-0005-0000-0000-00005B020000}"/>
    <cellStyle name="연결된 셀 2" xfId="619" xr:uid="{00000000-0005-0000-0000-00005C020000}"/>
    <cellStyle name="원" xfId="528" xr:uid="{00000000-0005-0000-0000-00005D020000}"/>
    <cellStyle name="유1" xfId="529" xr:uid="{00000000-0005-0000-0000-00005E020000}"/>
    <cellStyle name="자리수" xfId="530" xr:uid="{00000000-0005-0000-0000-00005F020000}"/>
    <cellStyle name="자리수0" xfId="531" xr:uid="{00000000-0005-0000-0000-000060020000}"/>
    <cellStyle name="지정되지 않음" xfId="532" xr:uid="{00000000-0005-0000-0000-000061020000}"/>
    <cellStyle name="지하철정렬" xfId="533" xr:uid="{00000000-0005-0000-0000-000062020000}"/>
    <cellStyle name="콤마 [ - 유형1" xfId="534" xr:uid="{00000000-0005-0000-0000-000063020000}"/>
    <cellStyle name="콤마 [ - 유형2" xfId="535" xr:uid="{00000000-0005-0000-0000-000064020000}"/>
    <cellStyle name="콤마 [ - 유형3" xfId="536" xr:uid="{00000000-0005-0000-0000-000065020000}"/>
    <cellStyle name="콤마 [ - 유형4" xfId="537" xr:uid="{00000000-0005-0000-0000-000066020000}"/>
    <cellStyle name="콤마 [ - 유형5" xfId="538" xr:uid="{00000000-0005-0000-0000-000067020000}"/>
    <cellStyle name="콤마 [ - 유형6" xfId="539" xr:uid="{00000000-0005-0000-0000-000068020000}"/>
    <cellStyle name="콤마 [ - 유형7" xfId="540" xr:uid="{00000000-0005-0000-0000-000069020000}"/>
    <cellStyle name="콤마 [ - 유형8" xfId="541" xr:uid="{00000000-0005-0000-0000-00006A020000}"/>
    <cellStyle name="콤마 [0]_  RANGE " xfId="620" xr:uid="{00000000-0005-0000-0000-00006B020000}"/>
    <cellStyle name="콤마 [2]" xfId="542" xr:uid="{00000000-0005-0000-0000-00006C020000}"/>
    <cellStyle name="콤마 [금액]" xfId="543" xr:uid="{00000000-0005-0000-0000-00006D020000}"/>
    <cellStyle name="콤마 [소수]" xfId="544" xr:uid="{00000000-0005-0000-0000-00006E020000}"/>
    <cellStyle name="콤마 [수량]" xfId="545" xr:uid="{00000000-0005-0000-0000-00006F020000}"/>
    <cellStyle name="콤마_  RANGE " xfId="621" xr:uid="{00000000-0005-0000-0000-000070020000}"/>
    <cellStyle name="퍼센트" xfId="546" xr:uid="{00000000-0005-0000-0000-000071020000}"/>
    <cellStyle name="표준" xfId="0" builtinId="0"/>
    <cellStyle name="표준 10" xfId="622" xr:uid="{00000000-0005-0000-0000-000073020000}"/>
    <cellStyle name="표준 11" xfId="623" xr:uid="{00000000-0005-0000-0000-000074020000}"/>
    <cellStyle name="표준 12" xfId="655" xr:uid="{00000000-0005-0000-0000-000075020000}"/>
    <cellStyle name="표준 2" xfId="547" xr:uid="{00000000-0005-0000-0000-000076020000}"/>
    <cellStyle name="표준 2 2" xfId="548" xr:uid="{00000000-0005-0000-0000-000077020000}"/>
    <cellStyle name="표준 2 3" xfId="624" xr:uid="{00000000-0005-0000-0000-000078020000}"/>
    <cellStyle name="표준 3" xfId="5" xr:uid="{00000000-0005-0000-0000-000079020000}"/>
    <cellStyle name="표준 3 2" xfId="645" xr:uid="{00000000-0005-0000-0000-00007A020000}"/>
    <cellStyle name="표준 3 2 2" xfId="646" xr:uid="{00000000-0005-0000-0000-00007B020000}"/>
    <cellStyle name="표준 3 3" xfId="647" xr:uid="{00000000-0005-0000-0000-00007C020000}"/>
    <cellStyle name="표준 3 4" xfId="648" xr:uid="{00000000-0005-0000-0000-00007D020000}"/>
    <cellStyle name="표준 3 5" xfId="649" xr:uid="{00000000-0005-0000-0000-00007E020000}"/>
    <cellStyle name="표준 4" xfId="8" xr:uid="{00000000-0005-0000-0000-00007F020000}"/>
    <cellStyle name="표준 4 2" xfId="650" xr:uid="{00000000-0005-0000-0000-000080020000}"/>
    <cellStyle name="표준 5" xfId="3" xr:uid="{00000000-0005-0000-0000-000081020000}"/>
    <cellStyle name="표준 5 2" xfId="625" xr:uid="{00000000-0005-0000-0000-000082020000}"/>
    <cellStyle name="표준 5 3" xfId="651" xr:uid="{00000000-0005-0000-0000-000083020000}"/>
    <cellStyle name="표준 6" xfId="626" xr:uid="{00000000-0005-0000-0000-000084020000}"/>
    <cellStyle name="표준 7" xfId="627" xr:uid="{00000000-0005-0000-0000-000085020000}"/>
    <cellStyle name="표준 8" xfId="628" xr:uid="{00000000-0005-0000-0000-000086020000}"/>
    <cellStyle name="표준 9" xfId="629" xr:uid="{00000000-0005-0000-0000-000087020000}"/>
    <cellStyle name="標準_Akia(F）-8" xfId="549" xr:uid="{00000000-0005-0000-0000-000088020000}"/>
    <cellStyle name="표준_손익참고" xfId="550" xr:uid="{00000000-0005-0000-0000-000089020000}"/>
    <cellStyle name="하이퍼링크" xfId="656" builtinId="8"/>
    <cellStyle name="하이퍼링크 2" xfId="652" xr:uid="{00000000-0005-0000-0000-00008B020000}"/>
    <cellStyle name="합산" xfId="551" xr:uid="{00000000-0005-0000-0000-00008C020000}"/>
    <cellStyle name="桁区切り [0.00]_Book1" xfId="552" xr:uid="{00000000-0005-0000-0000-00008D020000}"/>
    <cellStyle name="桁区切り_Atago_WC_011501" xfId="553" xr:uid="{00000000-0005-0000-0000-00008E020000}"/>
    <cellStyle name="화폐기호" xfId="554" xr:uid="{00000000-0005-0000-0000-00008F020000}"/>
    <cellStyle name="화폐기호0" xfId="555" xr:uid="{00000000-0005-0000-0000-000090020000}"/>
  </cellStyles>
  <dxfs count="29">
    <dxf>
      <font>
        <color rgb="FF9C0006"/>
      </font>
      <fill>
        <patternFill>
          <bgColor rgb="FFFFC7CE"/>
        </patternFill>
      </fill>
    </dxf>
    <dxf>
      <font>
        <color rgb="FF9C0006"/>
      </font>
      <fill>
        <patternFill>
          <bgColor rgb="FFFFC7CE"/>
        </patternFill>
      </fill>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i val="0"/>
        <color rgb="FFFF0000"/>
      </font>
    </dxf>
    <dxf>
      <font>
        <b/>
        <i val="0"/>
        <color rgb="FFFF0000"/>
      </font>
    </dxf>
    <dxf>
      <font>
        <b/>
        <i val="0"/>
        <color rgb="FFFF0000"/>
      </font>
    </dxf>
    <dxf>
      <font>
        <b/>
        <i val="0"/>
        <color rgb="FFFF0000"/>
      </font>
    </dxf>
    <dxf>
      <font>
        <color rgb="FF9C0006"/>
      </font>
      <fill>
        <patternFill>
          <bgColor rgb="FFFFC7CE"/>
        </patternFill>
      </fill>
    </dxf>
    <dxf>
      <font>
        <b/>
        <i val="0"/>
        <color rgb="FFFF0000"/>
      </font>
    </dxf>
    <dxf>
      <font>
        <b/>
        <i val="0"/>
        <color rgb="FFFF0000"/>
      </font>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theme="5" tint="0.59996337778862885"/>
        </patternFill>
      </fill>
    </dxf>
    <dxf>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C65911"/>
      <color rgb="FF000000"/>
      <color rgb="FF70AD47"/>
      <color rgb="FFED7D31"/>
      <color rgb="FF0070C0"/>
      <color rgb="FF007077"/>
      <color rgb="FFFF9999"/>
      <color rgb="FF0000FF"/>
      <color rgb="FFF1F3A1"/>
      <color rgb="FFD8A9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externalLink" Target="externalLinks/externalLink7.xml"/><Relationship Id="rId21" Type="http://schemas.openxmlformats.org/officeDocument/2006/relationships/externalLink" Target="externalLinks/externalLink2.xml"/><Relationship Id="rId42" Type="http://schemas.openxmlformats.org/officeDocument/2006/relationships/externalLink" Target="externalLinks/externalLink23.xml"/><Relationship Id="rId47" Type="http://schemas.openxmlformats.org/officeDocument/2006/relationships/externalLink" Target="externalLinks/externalLink28.xml"/><Relationship Id="rId63" Type="http://schemas.openxmlformats.org/officeDocument/2006/relationships/externalLink" Target="externalLinks/externalLink44.xml"/><Relationship Id="rId68" Type="http://schemas.openxmlformats.org/officeDocument/2006/relationships/externalLink" Target="externalLinks/externalLink49.xml"/><Relationship Id="rId84" Type="http://schemas.openxmlformats.org/officeDocument/2006/relationships/externalLink" Target="externalLinks/externalLink65.xml"/><Relationship Id="rId89" Type="http://schemas.openxmlformats.org/officeDocument/2006/relationships/externalLink" Target="externalLinks/externalLink70.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externalLink" Target="externalLinks/externalLink13.xml"/><Relationship Id="rId37" Type="http://schemas.openxmlformats.org/officeDocument/2006/relationships/externalLink" Target="externalLinks/externalLink18.xml"/><Relationship Id="rId53" Type="http://schemas.openxmlformats.org/officeDocument/2006/relationships/externalLink" Target="externalLinks/externalLink34.xml"/><Relationship Id="rId58" Type="http://schemas.openxmlformats.org/officeDocument/2006/relationships/externalLink" Target="externalLinks/externalLink39.xml"/><Relationship Id="rId74" Type="http://schemas.openxmlformats.org/officeDocument/2006/relationships/externalLink" Target="externalLinks/externalLink55.xml"/><Relationship Id="rId79" Type="http://schemas.openxmlformats.org/officeDocument/2006/relationships/externalLink" Target="externalLinks/externalLink60.xml"/><Relationship Id="rId5" Type="http://schemas.openxmlformats.org/officeDocument/2006/relationships/worksheet" Target="worksheets/sheet5.xml"/><Relationship Id="rId90" Type="http://schemas.openxmlformats.org/officeDocument/2006/relationships/theme" Target="theme/theme1.xml"/><Relationship Id="rId22" Type="http://schemas.openxmlformats.org/officeDocument/2006/relationships/externalLink" Target="externalLinks/externalLink3.xml"/><Relationship Id="rId27" Type="http://schemas.openxmlformats.org/officeDocument/2006/relationships/externalLink" Target="externalLinks/externalLink8.xml"/><Relationship Id="rId43" Type="http://schemas.openxmlformats.org/officeDocument/2006/relationships/externalLink" Target="externalLinks/externalLink24.xml"/><Relationship Id="rId48" Type="http://schemas.openxmlformats.org/officeDocument/2006/relationships/externalLink" Target="externalLinks/externalLink29.xml"/><Relationship Id="rId64" Type="http://schemas.openxmlformats.org/officeDocument/2006/relationships/externalLink" Target="externalLinks/externalLink45.xml"/><Relationship Id="rId69" Type="http://schemas.openxmlformats.org/officeDocument/2006/relationships/externalLink" Target="externalLinks/externalLink50.xml"/><Relationship Id="rId8" Type="http://schemas.openxmlformats.org/officeDocument/2006/relationships/worksheet" Target="worksheets/sheet8.xml"/><Relationship Id="rId51" Type="http://schemas.openxmlformats.org/officeDocument/2006/relationships/externalLink" Target="externalLinks/externalLink32.xml"/><Relationship Id="rId72" Type="http://schemas.openxmlformats.org/officeDocument/2006/relationships/externalLink" Target="externalLinks/externalLink53.xml"/><Relationship Id="rId80" Type="http://schemas.openxmlformats.org/officeDocument/2006/relationships/externalLink" Target="externalLinks/externalLink61.xml"/><Relationship Id="rId85" Type="http://schemas.openxmlformats.org/officeDocument/2006/relationships/externalLink" Target="externalLinks/externalLink66.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6.xml"/><Relationship Id="rId33" Type="http://schemas.openxmlformats.org/officeDocument/2006/relationships/externalLink" Target="externalLinks/externalLink14.xml"/><Relationship Id="rId38" Type="http://schemas.openxmlformats.org/officeDocument/2006/relationships/externalLink" Target="externalLinks/externalLink19.xml"/><Relationship Id="rId46" Type="http://schemas.openxmlformats.org/officeDocument/2006/relationships/externalLink" Target="externalLinks/externalLink27.xml"/><Relationship Id="rId59" Type="http://schemas.openxmlformats.org/officeDocument/2006/relationships/externalLink" Target="externalLinks/externalLink40.xml"/><Relationship Id="rId67" Type="http://schemas.openxmlformats.org/officeDocument/2006/relationships/externalLink" Target="externalLinks/externalLink48.xml"/><Relationship Id="rId20" Type="http://schemas.openxmlformats.org/officeDocument/2006/relationships/externalLink" Target="externalLinks/externalLink1.xml"/><Relationship Id="rId41" Type="http://schemas.openxmlformats.org/officeDocument/2006/relationships/externalLink" Target="externalLinks/externalLink22.xml"/><Relationship Id="rId54" Type="http://schemas.openxmlformats.org/officeDocument/2006/relationships/externalLink" Target="externalLinks/externalLink35.xml"/><Relationship Id="rId62" Type="http://schemas.openxmlformats.org/officeDocument/2006/relationships/externalLink" Target="externalLinks/externalLink43.xml"/><Relationship Id="rId70" Type="http://schemas.openxmlformats.org/officeDocument/2006/relationships/externalLink" Target="externalLinks/externalLink51.xml"/><Relationship Id="rId75" Type="http://schemas.openxmlformats.org/officeDocument/2006/relationships/externalLink" Target="externalLinks/externalLink56.xml"/><Relationship Id="rId83" Type="http://schemas.openxmlformats.org/officeDocument/2006/relationships/externalLink" Target="externalLinks/externalLink64.xml"/><Relationship Id="rId88" Type="http://schemas.openxmlformats.org/officeDocument/2006/relationships/externalLink" Target="externalLinks/externalLink69.xml"/><Relationship Id="rId91"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externalLink" Target="externalLinks/externalLink4.xml"/><Relationship Id="rId28" Type="http://schemas.openxmlformats.org/officeDocument/2006/relationships/externalLink" Target="externalLinks/externalLink9.xml"/><Relationship Id="rId36" Type="http://schemas.openxmlformats.org/officeDocument/2006/relationships/externalLink" Target="externalLinks/externalLink17.xml"/><Relationship Id="rId49" Type="http://schemas.openxmlformats.org/officeDocument/2006/relationships/externalLink" Target="externalLinks/externalLink30.xml"/><Relationship Id="rId57" Type="http://schemas.openxmlformats.org/officeDocument/2006/relationships/externalLink" Target="externalLinks/externalLink38.xml"/><Relationship Id="rId10" Type="http://schemas.openxmlformats.org/officeDocument/2006/relationships/worksheet" Target="worksheets/sheet10.xml"/><Relationship Id="rId31" Type="http://schemas.openxmlformats.org/officeDocument/2006/relationships/externalLink" Target="externalLinks/externalLink12.xml"/><Relationship Id="rId44" Type="http://schemas.openxmlformats.org/officeDocument/2006/relationships/externalLink" Target="externalLinks/externalLink25.xml"/><Relationship Id="rId52" Type="http://schemas.openxmlformats.org/officeDocument/2006/relationships/externalLink" Target="externalLinks/externalLink33.xml"/><Relationship Id="rId60" Type="http://schemas.openxmlformats.org/officeDocument/2006/relationships/externalLink" Target="externalLinks/externalLink41.xml"/><Relationship Id="rId65" Type="http://schemas.openxmlformats.org/officeDocument/2006/relationships/externalLink" Target="externalLinks/externalLink46.xml"/><Relationship Id="rId73" Type="http://schemas.openxmlformats.org/officeDocument/2006/relationships/externalLink" Target="externalLinks/externalLink54.xml"/><Relationship Id="rId78" Type="http://schemas.openxmlformats.org/officeDocument/2006/relationships/externalLink" Target="externalLinks/externalLink59.xml"/><Relationship Id="rId81" Type="http://schemas.openxmlformats.org/officeDocument/2006/relationships/externalLink" Target="externalLinks/externalLink62.xml"/><Relationship Id="rId86" Type="http://schemas.openxmlformats.org/officeDocument/2006/relationships/externalLink" Target="externalLinks/externalLink67.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externalLink" Target="externalLinks/externalLink20.xml"/><Relationship Id="rId34" Type="http://schemas.openxmlformats.org/officeDocument/2006/relationships/externalLink" Target="externalLinks/externalLink15.xml"/><Relationship Id="rId50" Type="http://schemas.openxmlformats.org/officeDocument/2006/relationships/externalLink" Target="externalLinks/externalLink31.xml"/><Relationship Id="rId55" Type="http://schemas.openxmlformats.org/officeDocument/2006/relationships/externalLink" Target="externalLinks/externalLink36.xml"/><Relationship Id="rId76" Type="http://schemas.openxmlformats.org/officeDocument/2006/relationships/externalLink" Target="externalLinks/externalLink57.xml"/><Relationship Id="rId7" Type="http://schemas.openxmlformats.org/officeDocument/2006/relationships/worksheet" Target="worksheets/sheet7.xml"/><Relationship Id="rId71" Type="http://schemas.openxmlformats.org/officeDocument/2006/relationships/externalLink" Target="externalLinks/externalLink52.xml"/><Relationship Id="rId92" Type="http://schemas.openxmlformats.org/officeDocument/2006/relationships/sharedStrings" Target="sharedStrings.xml"/><Relationship Id="rId2" Type="http://schemas.openxmlformats.org/officeDocument/2006/relationships/worksheet" Target="worksheets/sheet2.xml"/><Relationship Id="rId29" Type="http://schemas.openxmlformats.org/officeDocument/2006/relationships/externalLink" Target="externalLinks/externalLink10.xml"/><Relationship Id="rId24" Type="http://schemas.openxmlformats.org/officeDocument/2006/relationships/externalLink" Target="externalLinks/externalLink5.xml"/><Relationship Id="rId40" Type="http://schemas.openxmlformats.org/officeDocument/2006/relationships/externalLink" Target="externalLinks/externalLink21.xml"/><Relationship Id="rId45" Type="http://schemas.openxmlformats.org/officeDocument/2006/relationships/externalLink" Target="externalLinks/externalLink26.xml"/><Relationship Id="rId66" Type="http://schemas.openxmlformats.org/officeDocument/2006/relationships/externalLink" Target="externalLinks/externalLink47.xml"/><Relationship Id="rId87" Type="http://schemas.openxmlformats.org/officeDocument/2006/relationships/externalLink" Target="externalLinks/externalLink68.xml"/><Relationship Id="rId61" Type="http://schemas.openxmlformats.org/officeDocument/2006/relationships/externalLink" Target="externalLinks/externalLink42.xml"/><Relationship Id="rId82" Type="http://schemas.openxmlformats.org/officeDocument/2006/relationships/externalLink" Target="externalLinks/externalLink63.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externalLink" Target="externalLinks/externalLink11.xml"/><Relationship Id="rId35" Type="http://schemas.openxmlformats.org/officeDocument/2006/relationships/externalLink" Target="externalLinks/externalLink16.xml"/><Relationship Id="rId56" Type="http://schemas.openxmlformats.org/officeDocument/2006/relationships/externalLink" Target="externalLinks/externalLink37.xml"/><Relationship Id="rId77" Type="http://schemas.openxmlformats.org/officeDocument/2006/relationships/externalLink" Target="externalLinks/externalLink58.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drawing4.xml.rels><?xml version="1.0" encoding="UTF-8" standalone="yes"?>
<Relationships xmlns="http://schemas.openxmlformats.org/package/2006/relationships"><Relationship Id="rId1" Type="http://schemas.openxmlformats.org/officeDocument/2006/relationships/image" Target="../media/image9.emf"/></Relationships>
</file>

<file path=xl/drawings/_rels/drawing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8.xml.rels><?xml version="1.0" encoding="UTF-8" standalone="yes"?>
<Relationships xmlns="http://schemas.openxmlformats.org/package/2006/relationships"><Relationship Id="rId1" Type="http://schemas.openxmlformats.org/officeDocument/2006/relationships/image" Target="../media/image12.emf"/></Relationships>
</file>

<file path=xl/drawings/_rels/drawing9.xml.rels><?xml version="1.0" encoding="UTF-8" standalone="yes"?>
<Relationships xmlns="http://schemas.openxmlformats.org/package/2006/relationships"><Relationship Id="rId1" Type="http://schemas.openxmlformats.org/officeDocument/2006/relationships/image" Target="../media/image14.emf"/></Relationships>
</file>

<file path=xl/drawings/_rels/vmlDrawing1.vml.rels><?xml version="1.0" encoding="UTF-8" standalone="yes"?>
<Relationships xmlns="http://schemas.openxmlformats.org/package/2006/relationships"><Relationship Id="rId3" Type="http://schemas.openxmlformats.org/officeDocument/2006/relationships/image" Target="../media/image7.emf"/><Relationship Id="rId2" Type="http://schemas.openxmlformats.org/officeDocument/2006/relationships/image" Target="../media/image6.emf"/><Relationship Id="rId1" Type="http://schemas.openxmlformats.org/officeDocument/2006/relationships/image" Target="../media/image5.emf"/><Relationship Id="rId4" Type="http://schemas.openxmlformats.org/officeDocument/2006/relationships/image" Target="../media/image8.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13.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15.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44661</xdr:colOff>
          <xdr:row>18</xdr:row>
          <xdr:rowOff>96049</xdr:rowOff>
        </xdr:from>
        <xdr:to>
          <xdr:col>8</xdr:col>
          <xdr:colOff>526676</xdr:colOff>
          <xdr:row>37</xdr:row>
          <xdr:rowOff>254608</xdr:rowOff>
        </xdr:to>
        <xdr:pic>
          <xdr:nvPicPr>
            <xdr:cNvPr id="5" name="그림 4">
              <a:extLst>
                <a:ext uri="{FF2B5EF4-FFF2-40B4-BE49-F238E27FC236}">
                  <a16:creationId xmlns:a16="http://schemas.microsoft.com/office/drawing/2014/main" id="{00000000-0008-0000-0000-000005000000}"/>
                </a:ext>
              </a:extLst>
            </xdr:cNvPr>
            <xdr:cNvPicPr>
              <a:picLocks noChangeAspect="1" noChangeArrowheads="1"/>
              <a:extLst>
                <a:ext uri="{84589F7E-364E-4C9E-8A38-B11213B215E9}">
                  <a14:cameraTool cellRange="'사업수지표 '!$B$101:$E$122" spid="_x0000_s283845"/>
                </a:ext>
              </a:extLst>
            </xdr:cNvPicPr>
          </xdr:nvPicPr>
          <xdr:blipFill>
            <a:blip xmlns:r="http://schemas.openxmlformats.org/officeDocument/2006/relationships" r:embed="rId1"/>
            <a:srcRect/>
            <a:stretch>
              <a:fillRect/>
            </a:stretch>
          </xdr:blipFill>
          <xdr:spPr bwMode="auto">
            <a:xfrm>
              <a:off x="44661" y="5665373"/>
              <a:ext cx="6163397" cy="5907176"/>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33617</xdr:colOff>
          <xdr:row>11</xdr:row>
          <xdr:rowOff>99251</xdr:rowOff>
        </xdr:from>
        <xdr:to>
          <xdr:col>8</xdr:col>
          <xdr:colOff>549088</xdr:colOff>
          <xdr:row>17</xdr:row>
          <xdr:rowOff>291352</xdr:rowOff>
        </xdr:to>
        <xdr:pic>
          <xdr:nvPicPr>
            <xdr:cNvPr id="8" name="그림 7">
              <a:extLst>
                <a:ext uri="{FF2B5EF4-FFF2-40B4-BE49-F238E27FC236}">
                  <a16:creationId xmlns:a16="http://schemas.microsoft.com/office/drawing/2014/main" id="{00000000-0008-0000-0000-000008000000}"/>
                </a:ext>
              </a:extLst>
            </xdr:cNvPr>
            <xdr:cNvPicPr>
              <a:picLocks noChangeAspect="1" noChangeArrowheads="1"/>
              <a:extLst>
                <a:ext uri="{84589F7E-364E-4C9E-8A38-B11213B215E9}">
                  <a14:cameraTool cellRange="'사업수지표 '!$A$10:$H$20" spid="_x0000_s283846"/>
                </a:ext>
              </a:extLst>
            </xdr:cNvPicPr>
          </xdr:nvPicPr>
          <xdr:blipFill>
            <a:blip xmlns:r="http://schemas.openxmlformats.org/officeDocument/2006/relationships" r:embed="rId2"/>
            <a:srcRect/>
            <a:stretch>
              <a:fillRect/>
            </a:stretch>
          </xdr:blipFill>
          <xdr:spPr bwMode="auto">
            <a:xfrm>
              <a:off x="33617" y="3461016"/>
              <a:ext cx="6196853" cy="1906601"/>
            </a:xfrm>
            <a:prstGeom prst="rect">
              <a:avLst/>
            </a:prstGeom>
            <a:solidFill>
              <a:schemeClr val="bg1"/>
            </a:solidFill>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678180</xdr:colOff>
          <xdr:row>1</xdr:row>
          <xdr:rowOff>259080</xdr:rowOff>
        </xdr:from>
        <xdr:to>
          <xdr:col>14</xdr:col>
          <xdr:colOff>952500</xdr:colOff>
          <xdr:row>3</xdr:row>
          <xdr:rowOff>60960</xdr:rowOff>
        </xdr:to>
        <xdr:sp macro="" textlink="">
          <xdr:nvSpPr>
            <xdr:cNvPr id="115462" name="Button 3846" hidden="1">
              <a:extLst>
                <a:ext uri="{63B3BB69-23CF-44E3-9099-C40C66FF867C}">
                  <a14:compatExt spid="_x0000_s115462"/>
                </a:ext>
                <a:ext uri="{FF2B5EF4-FFF2-40B4-BE49-F238E27FC236}">
                  <a16:creationId xmlns:a16="http://schemas.microsoft.com/office/drawing/2014/main" id="{00000000-0008-0000-0000-000006C3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총괄장초기화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549088</xdr:colOff>
          <xdr:row>11</xdr:row>
          <xdr:rowOff>40340</xdr:rowOff>
        </xdr:from>
        <xdr:to>
          <xdr:col>18</xdr:col>
          <xdr:colOff>1489261</xdr:colOff>
          <xdr:row>16</xdr:row>
          <xdr:rowOff>18314</xdr:rowOff>
        </xdr:to>
        <xdr:pic>
          <xdr:nvPicPr>
            <xdr:cNvPr id="7" name="그림 6">
              <a:extLst>
                <a:ext uri="{FF2B5EF4-FFF2-40B4-BE49-F238E27FC236}">
                  <a16:creationId xmlns:a16="http://schemas.microsoft.com/office/drawing/2014/main" id="{00000000-0008-0000-0000-000007000000}"/>
                </a:ext>
              </a:extLst>
            </xdr:cNvPr>
            <xdr:cNvPicPr>
              <a:picLocks noChangeAspect="1" noChangeArrowheads="1"/>
              <a:extLst>
                <a:ext uri="{84589F7E-364E-4C9E-8A38-B11213B215E9}">
                  <a14:cameraTool cellRange="$AA$2:$AD$5" spid="_x0000_s283847"/>
                </a:ext>
              </a:extLst>
            </xdr:cNvPicPr>
          </xdr:nvPicPr>
          <xdr:blipFill>
            <a:blip xmlns:r="http://schemas.openxmlformats.org/officeDocument/2006/relationships" r:embed="rId3"/>
            <a:srcRect/>
            <a:stretch>
              <a:fillRect/>
            </a:stretch>
          </xdr:blipFill>
          <xdr:spPr bwMode="auto">
            <a:xfrm>
              <a:off x="11766176" y="3402105"/>
              <a:ext cx="2923614" cy="1389915"/>
            </a:xfrm>
            <a:prstGeom prst="rect">
              <a:avLst/>
            </a:prstGeom>
            <a:solidFill>
              <a:srgbClr val="FFFFFF" mc:Ignorable="a14" a14:legacySpreadsheetColorIndex="9"/>
            </a:solid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665069</xdr:colOff>
          <xdr:row>16</xdr:row>
          <xdr:rowOff>44823</xdr:rowOff>
        </xdr:from>
        <xdr:to>
          <xdr:col>22</xdr:col>
          <xdr:colOff>762001</xdr:colOff>
          <xdr:row>37</xdr:row>
          <xdr:rowOff>226843</xdr:rowOff>
        </xdr:to>
        <xdr:pic>
          <xdr:nvPicPr>
            <xdr:cNvPr id="33" name="그림 32">
              <a:extLst>
                <a:ext uri="{FF2B5EF4-FFF2-40B4-BE49-F238E27FC236}">
                  <a16:creationId xmlns:a16="http://schemas.microsoft.com/office/drawing/2014/main" id="{00000000-0008-0000-0000-000021000000}"/>
                </a:ext>
              </a:extLst>
            </xdr:cNvPr>
            <xdr:cNvPicPr>
              <a:picLocks noChangeAspect="1" noChangeArrowheads="1"/>
              <a:extLst>
                <a:ext uri="{84589F7E-364E-4C9E-8A38-B11213B215E9}">
                  <a14:cameraTool cellRange="'사업수지표 '!$Q$22:$W$48" spid="_x0000_s283848"/>
                </a:ext>
              </a:extLst>
            </xdr:cNvPicPr>
          </xdr:nvPicPr>
          <xdr:blipFill>
            <a:blip xmlns:r="http://schemas.openxmlformats.org/officeDocument/2006/relationships" r:embed="rId4"/>
            <a:srcRect/>
            <a:stretch>
              <a:fillRect/>
            </a:stretch>
          </xdr:blipFill>
          <xdr:spPr bwMode="auto">
            <a:xfrm>
              <a:off x="6346451" y="5009029"/>
              <a:ext cx="11549344" cy="653575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68580</xdr:colOff>
          <xdr:row>0</xdr:row>
          <xdr:rowOff>114300</xdr:rowOff>
        </xdr:from>
        <xdr:to>
          <xdr:col>11</xdr:col>
          <xdr:colOff>121920</xdr:colOff>
          <xdr:row>1</xdr:row>
          <xdr:rowOff>144780</xdr:rowOff>
        </xdr:to>
        <xdr:sp macro="" textlink="">
          <xdr:nvSpPr>
            <xdr:cNvPr id="121860" name="Button 4" hidden="1">
              <a:extLst>
                <a:ext uri="{63B3BB69-23CF-44E3-9099-C40C66FF867C}">
                  <a14:compatExt spid="_x0000_s121860"/>
                </a:ext>
                <a:ext uri="{FF2B5EF4-FFF2-40B4-BE49-F238E27FC236}">
                  <a16:creationId xmlns:a16="http://schemas.microsoft.com/office/drawing/2014/main" id="{00000000-0008-0000-0100-000004D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분양개요초기화</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259080</xdr:colOff>
          <xdr:row>0</xdr:row>
          <xdr:rowOff>0</xdr:rowOff>
        </xdr:from>
        <xdr:to>
          <xdr:col>9</xdr:col>
          <xdr:colOff>304800</xdr:colOff>
          <xdr:row>1</xdr:row>
          <xdr:rowOff>114300</xdr:rowOff>
        </xdr:to>
        <xdr:sp macro="" textlink="">
          <xdr:nvSpPr>
            <xdr:cNvPr id="124929" name="Button 1" hidden="1">
              <a:extLst>
                <a:ext uri="{63B3BB69-23CF-44E3-9099-C40C66FF867C}">
                  <a14:compatExt spid="_x0000_s124929"/>
                </a:ext>
                <a:ext uri="{FF2B5EF4-FFF2-40B4-BE49-F238E27FC236}">
                  <a16:creationId xmlns:a16="http://schemas.microsoft.com/office/drawing/2014/main" id="{00000000-0008-0000-0400-000001E8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비용계획 초기화</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297180</xdr:colOff>
          <xdr:row>79</xdr:row>
          <xdr:rowOff>38100</xdr:rowOff>
        </xdr:from>
        <xdr:to>
          <xdr:col>22</xdr:col>
          <xdr:colOff>640080</xdr:colOff>
          <xdr:row>81</xdr:row>
          <xdr:rowOff>182880</xdr:rowOff>
        </xdr:to>
        <xdr:sp macro="" textlink="">
          <xdr:nvSpPr>
            <xdr:cNvPr id="72705" name="Button 1" hidden="1">
              <a:extLst>
                <a:ext uri="{63B3BB69-23CF-44E3-9099-C40C66FF867C}">
                  <a14:compatExt spid="_x0000_s72705"/>
                </a:ext>
                <a:ext uri="{FF2B5EF4-FFF2-40B4-BE49-F238E27FC236}">
                  <a16:creationId xmlns:a16="http://schemas.microsoft.com/office/drawing/2014/main" id="{00000000-0008-0000-0500-0000011C0100}"/>
                </a:ext>
              </a:extLst>
            </xdr:cNvPr>
            <xdr:cNvSpPr/>
          </xdr:nvSpPr>
          <xdr:spPr bwMode="auto">
            <a:xfrm>
              <a:off x="0" y="0"/>
              <a:ext cx="0" cy="0"/>
            </a:xfrm>
            <a:prstGeom prst="rect">
              <a:avLst/>
            </a:prstGeom>
            <a:noFill/>
            <a:ln w="9525">
              <a:miter lim="800000"/>
              <a:headEnd/>
              <a:tailEnd/>
            </a:ln>
          </xdr:spPr>
          <xdr:txBody>
            <a:bodyPr vertOverflow="clip" wrap="square" lIns="45720" tIns="54864" rIns="45720" bIns="54864" anchor="ctr" upright="1"/>
            <a:lstStyle/>
            <a:p>
              <a:pPr algn="ctr" rtl="0">
                <a:defRPr sz="1000"/>
              </a:pPr>
              <a:r>
                <a:rPr lang="ko-KR" altLang="en-US" sz="1600" b="1" i="0" u="none" strike="noStrike" baseline="0">
                  <a:solidFill>
                    <a:srgbClr val="000000"/>
                  </a:solidFill>
                  <a:latin typeface="맑은 고딕"/>
                  <a:ea typeface="맑은 고딕"/>
                </a:rPr>
                <a:t>민감도 분석</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685800</xdr:colOff>
          <xdr:row>0</xdr:row>
          <xdr:rowOff>106680</xdr:rowOff>
        </xdr:from>
        <xdr:to>
          <xdr:col>14</xdr:col>
          <xdr:colOff>1333500</xdr:colOff>
          <xdr:row>1</xdr:row>
          <xdr:rowOff>152400</xdr:rowOff>
        </xdr:to>
        <xdr:sp macro="" textlink="">
          <xdr:nvSpPr>
            <xdr:cNvPr id="72710" name="Button 6" hidden="1">
              <a:extLst>
                <a:ext uri="{63B3BB69-23CF-44E3-9099-C40C66FF867C}">
                  <a14:compatExt spid="_x0000_s72710"/>
                </a:ext>
                <a:ext uri="{FF2B5EF4-FFF2-40B4-BE49-F238E27FC236}">
                  <a16:creationId xmlns:a16="http://schemas.microsoft.com/office/drawing/2014/main" id="{00000000-0008-0000-0500-0000061C01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예상수지 초기화</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312420</xdr:colOff>
          <xdr:row>83</xdr:row>
          <xdr:rowOff>68580</xdr:rowOff>
        </xdr:from>
        <xdr:to>
          <xdr:col>22</xdr:col>
          <xdr:colOff>678180</xdr:colOff>
          <xdr:row>86</xdr:row>
          <xdr:rowOff>45720</xdr:rowOff>
        </xdr:to>
        <xdr:sp macro="" textlink="">
          <xdr:nvSpPr>
            <xdr:cNvPr id="72711" name="Button 7" hidden="1">
              <a:extLst>
                <a:ext uri="{63B3BB69-23CF-44E3-9099-C40C66FF867C}">
                  <a14:compatExt spid="_x0000_s72711"/>
                </a:ext>
                <a:ext uri="{FF2B5EF4-FFF2-40B4-BE49-F238E27FC236}">
                  <a16:creationId xmlns:a16="http://schemas.microsoft.com/office/drawing/2014/main" id="{00000000-0008-0000-0500-0000071C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ko-KR" altLang="en-US" sz="1400" b="0" i="0" u="none" strike="noStrike" baseline="0">
                  <a:solidFill>
                    <a:srgbClr val="000000"/>
                  </a:solidFill>
                  <a:latin typeface="HY헤드라인M"/>
                  <a:ea typeface="HY헤드라인M"/>
                </a:rPr>
                <a:t>사업수지 출력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335280</xdr:colOff>
          <xdr:row>87</xdr:row>
          <xdr:rowOff>106680</xdr:rowOff>
        </xdr:from>
        <xdr:to>
          <xdr:col>22</xdr:col>
          <xdr:colOff>678180</xdr:colOff>
          <xdr:row>90</xdr:row>
          <xdr:rowOff>68580</xdr:rowOff>
        </xdr:to>
        <xdr:sp macro="" textlink="">
          <xdr:nvSpPr>
            <xdr:cNvPr id="72714" name="Button 10" hidden="1">
              <a:extLst>
                <a:ext uri="{63B3BB69-23CF-44E3-9099-C40C66FF867C}">
                  <a14:compatExt spid="_x0000_s72714"/>
                </a:ext>
                <a:ext uri="{FF2B5EF4-FFF2-40B4-BE49-F238E27FC236}">
                  <a16:creationId xmlns:a16="http://schemas.microsoft.com/office/drawing/2014/main" id="{00000000-0008-0000-0500-00000A1C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ko-KR" altLang="en-US" sz="1400" b="0" i="0" u="none" strike="noStrike" baseline="0">
                  <a:solidFill>
                    <a:srgbClr val="000000"/>
                  </a:solidFill>
                  <a:latin typeface="HY헤드라인M"/>
                  <a:ea typeface="HY헤드라인M"/>
                </a:rPr>
                <a:t>금융조달 출력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300317</xdr:colOff>
          <xdr:row>0</xdr:row>
          <xdr:rowOff>22412</xdr:rowOff>
        </xdr:from>
        <xdr:to>
          <xdr:col>29</xdr:col>
          <xdr:colOff>721098</xdr:colOff>
          <xdr:row>19</xdr:row>
          <xdr:rowOff>33618</xdr:rowOff>
        </xdr:to>
        <xdr:pic>
          <xdr:nvPicPr>
            <xdr:cNvPr id="12" name="그림 11">
              <a:extLst>
                <a:ext uri="{FF2B5EF4-FFF2-40B4-BE49-F238E27FC236}">
                  <a16:creationId xmlns:a16="http://schemas.microsoft.com/office/drawing/2014/main" id="{00000000-0008-0000-0500-00000C000000}"/>
                </a:ext>
              </a:extLst>
            </xdr:cNvPr>
            <xdr:cNvPicPr>
              <a:picLocks noChangeAspect="1" noChangeArrowheads="1"/>
              <a:extLst>
                <a:ext uri="{84589F7E-364E-4C9E-8A38-B11213B215E9}">
                  <a14:cameraTool cellRange="$A$1:$O$20" spid="_x0000_s225142"/>
                </a:ext>
              </a:extLst>
            </xdr:cNvPicPr>
          </xdr:nvPicPr>
          <xdr:blipFill>
            <a:blip xmlns:r="http://schemas.openxmlformats.org/officeDocument/2006/relationships" r:embed="rId1"/>
            <a:srcRect/>
            <a:stretch>
              <a:fillRect/>
            </a:stretch>
          </xdr:blipFill>
          <xdr:spPr bwMode="auto">
            <a:xfrm>
              <a:off x="15215346" y="22412"/>
              <a:ext cx="14585017" cy="3944471"/>
            </a:xfrm>
            <a:prstGeom prst="rect">
              <a:avLst/>
            </a:prstGeom>
            <a:noFill/>
            <a:ln w="9525">
              <a:noFill/>
              <a:miter lim="800000"/>
              <a:headEnd/>
              <a:tailEnd/>
            </a:ln>
          </xdr:spPr>
        </xdr:pic>
        <xdr:clientData/>
      </xdr:twoCellAnchor>
    </mc:Choice>
    <mc:Fallback/>
  </mc:AlternateContent>
  <mc:AlternateContent xmlns:mc="http://schemas.openxmlformats.org/markup-compatibility/2006">
    <mc:Choice xmlns:a14="http://schemas.microsoft.com/office/drawing/2010/main" Requires="a14">
      <xdr:twoCellAnchor>
        <xdr:from>
          <xdr:col>20</xdr:col>
          <xdr:colOff>365760</xdr:colOff>
          <xdr:row>92</xdr:row>
          <xdr:rowOff>7620</xdr:rowOff>
        </xdr:from>
        <xdr:to>
          <xdr:col>22</xdr:col>
          <xdr:colOff>746760</xdr:colOff>
          <xdr:row>94</xdr:row>
          <xdr:rowOff>121920</xdr:rowOff>
        </xdr:to>
        <xdr:sp macro="" textlink="">
          <xdr:nvSpPr>
            <xdr:cNvPr id="72718" name="Button 14" hidden="1">
              <a:extLst>
                <a:ext uri="{63B3BB69-23CF-44E3-9099-C40C66FF867C}">
                  <a14:compatExt spid="_x0000_s72718"/>
                </a:ext>
                <a:ext uri="{FF2B5EF4-FFF2-40B4-BE49-F238E27FC236}">
                  <a16:creationId xmlns:a16="http://schemas.microsoft.com/office/drawing/2014/main" id="{00000000-0008-0000-0500-00000E1C01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ko-KR" altLang="en-US" sz="1400" b="0" i="0" u="none" strike="noStrike" baseline="0">
                  <a:solidFill>
                    <a:srgbClr val="000000"/>
                  </a:solidFill>
                  <a:latin typeface="HY헤드라인M"/>
                  <a:ea typeface="HY헤드라인M"/>
                </a:rPr>
                <a:t>총괄장 / 분양 / 수지 출력 (PDF)</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525780</xdr:colOff>
          <xdr:row>116</xdr:row>
          <xdr:rowOff>30480</xdr:rowOff>
        </xdr:from>
        <xdr:to>
          <xdr:col>6</xdr:col>
          <xdr:colOff>769620</xdr:colOff>
          <xdr:row>118</xdr:row>
          <xdr:rowOff>0</xdr:rowOff>
        </xdr:to>
        <xdr:sp macro="" textlink="">
          <xdr:nvSpPr>
            <xdr:cNvPr id="52229" name="Button 5" hidden="1">
              <a:extLst>
                <a:ext uri="{63B3BB69-23CF-44E3-9099-C40C66FF867C}">
                  <a14:compatExt spid="_x0000_s52229"/>
                </a:ext>
                <a:ext uri="{FF2B5EF4-FFF2-40B4-BE49-F238E27FC236}">
                  <a16:creationId xmlns:a16="http://schemas.microsoft.com/office/drawing/2014/main" id="{00000000-0008-0000-0600-000005C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ko-KR" altLang="en-US" sz="1100" b="0" i="0" u="none" strike="noStrike" baseline="0">
                  <a:solidFill>
                    <a:srgbClr val="000000"/>
                  </a:solidFill>
                  <a:latin typeface="맑은 고딕"/>
                  <a:ea typeface="맑은 고딕"/>
                </a:rPr>
                <a:t>인출초기화</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10</xdr:col>
      <xdr:colOff>53993</xdr:colOff>
      <xdr:row>19</xdr:row>
      <xdr:rowOff>34638</xdr:rowOff>
    </xdr:from>
    <xdr:to>
      <xdr:col>16</xdr:col>
      <xdr:colOff>111144</xdr:colOff>
      <xdr:row>37</xdr:row>
      <xdr:rowOff>7422</xdr:rowOff>
    </xdr:to>
    <xdr:pic>
      <xdr:nvPicPr>
        <xdr:cNvPr id="2" name="그림 1">
          <a:extLst>
            <a:ext uri="{FF2B5EF4-FFF2-40B4-BE49-F238E27FC236}">
              <a16:creationId xmlns:a16="http://schemas.microsoft.com/office/drawing/2014/main" id="{00000000-0008-0000-0900-000002000000}"/>
            </a:ext>
          </a:extLst>
        </xdr:cNvPr>
        <xdr:cNvPicPr>
          <a:picLocks noChangeAspect="1"/>
        </xdr:cNvPicPr>
      </xdr:nvPicPr>
      <xdr:blipFill rotWithShape="1">
        <a:blip xmlns:r="http://schemas.openxmlformats.org/officeDocument/2006/relationships" r:embed="rId1"/>
        <a:srcRect l="5104" t="24044" r="53441" b="33842"/>
        <a:stretch/>
      </xdr:blipFill>
      <xdr:spPr>
        <a:xfrm>
          <a:off x="183533" y="4705698"/>
          <a:ext cx="6991351" cy="4072344"/>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8</xdr:col>
      <xdr:colOff>371475</xdr:colOff>
      <xdr:row>2</xdr:row>
      <xdr:rowOff>9525</xdr:rowOff>
    </xdr:from>
    <xdr:to>
      <xdr:col>8</xdr:col>
      <xdr:colOff>371475</xdr:colOff>
      <xdr:row>3</xdr:row>
      <xdr:rowOff>133350</xdr:rowOff>
    </xdr:to>
    <xdr:sp macro="" textlink="">
      <xdr:nvSpPr>
        <xdr:cNvPr id="2" name="Line 1">
          <a:extLst>
            <a:ext uri="{FF2B5EF4-FFF2-40B4-BE49-F238E27FC236}">
              <a16:creationId xmlns:a16="http://schemas.microsoft.com/office/drawing/2014/main" id="{00000000-0008-0000-0A00-000002000000}"/>
            </a:ext>
          </a:extLst>
        </xdr:cNvPr>
        <xdr:cNvSpPr>
          <a:spLocks noChangeShapeType="1"/>
        </xdr:cNvSpPr>
      </xdr:nvSpPr>
      <xdr:spPr bwMode="auto">
        <a:xfrm>
          <a:off x="5857875" y="447675"/>
          <a:ext cx="0" cy="314325"/>
        </a:xfrm>
        <a:prstGeom prst="line">
          <a:avLst/>
        </a:prstGeom>
        <a:noFill/>
        <a:ln w="9525">
          <a:solidFill>
            <a:srgbClr val="000000"/>
          </a:solidFill>
          <a:round/>
          <a:headEnd/>
          <a:tailEnd type="triangle" w="lg" len="lg"/>
        </a:ln>
      </xdr:spPr>
    </xdr:sp>
    <xdr:clientData/>
  </xdr:twoCellAnchor>
  <xdr:twoCellAnchor>
    <xdr:from>
      <xdr:col>1</xdr:col>
      <xdr:colOff>647700</xdr:colOff>
      <xdr:row>2</xdr:row>
      <xdr:rowOff>9525</xdr:rowOff>
    </xdr:from>
    <xdr:to>
      <xdr:col>8</xdr:col>
      <xdr:colOff>371475</xdr:colOff>
      <xdr:row>2</xdr:row>
      <xdr:rowOff>9525</xdr:rowOff>
    </xdr:to>
    <xdr:cxnSp macro="">
      <xdr:nvCxnSpPr>
        <xdr:cNvPr id="3" name="AutoShape 2">
          <a:extLst>
            <a:ext uri="{FF2B5EF4-FFF2-40B4-BE49-F238E27FC236}">
              <a16:creationId xmlns:a16="http://schemas.microsoft.com/office/drawing/2014/main" id="{00000000-0008-0000-0A00-000003000000}"/>
            </a:ext>
          </a:extLst>
        </xdr:cNvPr>
        <xdr:cNvCxnSpPr>
          <a:cxnSpLocks noChangeShapeType="1"/>
          <a:stCxn id="2" idx="0"/>
        </xdr:cNvCxnSpPr>
      </xdr:nvCxnSpPr>
      <xdr:spPr bwMode="auto">
        <a:xfrm flipH="1">
          <a:off x="1333500" y="447675"/>
          <a:ext cx="4524375" cy="0"/>
        </a:xfrm>
        <a:prstGeom prst="straightConnector1">
          <a:avLst/>
        </a:prstGeom>
        <a:noFill/>
        <a:ln w="9525">
          <a:solidFill>
            <a:srgbClr val="000000"/>
          </a:solidFill>
          <a:round/>
          <a:headEnd/>
          <a:tailEnd/>
        </a:ln>
      </xdr:spPr>
    </xdr:cxnSp>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123825</xdr:colOff>
          <xdr:row>48</xdr:row>
          <xdr:rowOff>47625</xdr:rowOff>
        </xdr:from>
        <xdr:to>
          <xdr:col>1</xdr:col>
          <xdr:colOff>3228975</xdr:colOff>
          <xdr:row>53</xdr:row>
          <xdr:rowOff>57150</xdr:rowOff>
        </xdr:to>
        <xdr:pic>
          <xdr:nvPicPr>
            <xdr:cNvPr id="2" name="Picture 1">
              <a:extLst>
                <a:ext uri="{FF2B5EF4-FFF2-40B4-BE49-F238E27FC236}">
                  <a16:creationId xmlns:a16="http://schemas.microsoft.com/office/drawing/2014/main" id="{00000000-0008-0000-0B00-000002000000}"/>
                </a:ext>
              </a:extLst>
            </xdr:cNvPr>
            <xdr:cNvPicPr>
              <a:picLocks noChangeAspect="1" noChangeArrowheads="1"/>
              <a:extLst>
                <a:ext uri="{84589F7E-364E-4C9E-8A38-B11213B215E9}">
                  <a14:cameraTool cellRange="$H$49:$J$53" spid="_x0000_s265500"/>
                </a:ext>
              </a:extLst>
            </xdr:cNvPicPr>
          </xdr:nvPicPr>
          <xdr:blipFill>
            <a:blip xmlns:r="http://schemas.openxmlformats.org/officeDocument/2006/relationships" r:embed="rId1"/>
            <a:srcRect/>
            <a:stretch>
              <a:fillRect/>
            </a:stretch>
          </xdr:blipFill>
          <xdr:spPr bwMode="auto">
            <a:xfrm>
              <a:off x="1295400" y="9191625"/>
              <a:ext cx="3105150" cy="9620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190500</xdr:colOff>
          <xdr:row>16</xdr:row>
          <xdr:rowOff>47625</xdr:rowOff>
        </xdr:from>
        <xdr:to>
          <xdr:col>1</xdr:col>
          <xdr:colOff>4105275</xdr:colOff>
          <xdr:row>24</xdr:row>
          <xdr:rowOff>57150</xdr:rowOff>
        </xdr:to>
        <xdr:pic>
          <xdr:nvPicPr>
            <xdr:cNvPr id="2" name="Picture 4">
              <a:extLst>
                <a:ext uri="{FF2B5EF4-FFF2-40B4-BE49-F238E27FC236}">
                  <a16:creationId xmlns:a16="http://schemas.microsoft.com/office/drawing/2014/main" id="{00000000-0008-0000-0D00-000002000000}"/>
                </a:ext>
              </a:extLst>
            </xdr:cNvPr>
            <xdr:cNvPicPr>
              <a:picLocks noChangeAspect="1" noChangeArrowheads="1"/>
              <a:extLst>
                <a:ext uri="{84589F7E-364E-4C9E-8A38-B11213B215E9}">
                  <a14:cameraTool cellRange="$F$17:$H$24" spid="_x0000_s266524"/>
                </a:ext>
              </a:extLst>
            </xdr:cNvPicPr>
          </xdr:nvPicPr>
          <xdr:blipFill>
            <a:blip xmlns:r="http://schemas.openxmlformats.org/officeDocument/2006/relationships" r:embed="rId1"/>
            <a:srcRect/>
            <a:stretch>
              <a:fillRect/>
            </a:stretch>
          </xdr:blipFill>
          <xdr:spPr bwMode="auto">
            <a:xfrm>
              <a:off x="1276350" y="3095625"/>
              <a:ext cx="3914775" cy="1533525"/>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HDFILE\HAUS\&#44204;&#51201;&#49892;\&#44592;&#51456;\&#45800;&#44032;&#51088;&#47308;\&#50808;&#51452;&#44204;&#51201;\&#51473;&#44592;.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Yikyongsoo\DATA\&#51088;&#47308;&#44160;&#53664;\1&#49324;&#50629;&#49457;&#44160;&#53664;&#51088;&#47308;\&#44053;&#45224;&#44396;&#52397;&#44060;&#48156;\&#51312;&#45804;&#52397;&#48512;&#51648;&#44060;&#48156;\&#49340;&#49457;&#47932;&#49328;\&#49352;&#54028;&#51068;\A&#49373;&#47749;98.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44285;&#49849;&#54984;\&#44032;&#47532;&#48393;&#51116;&#51221;&#48708;&#52489;&#51652;&#51648;&#44396;\&#51088;&#47308;&#44160;&#53664;\1&#49324;&#50629;&#49457;&#44160;&#53664;&#51088;&#47308;\&#44053;&#45224;&#44396;&#52397;&#44060;&#48156;\&#51312;&#45804;&#52397;&#48512;&#51648;&#44060;&#48156;\&#49340;&#49457;&#47932;&#49328;\&#49352;&#54028;&#51068;\A&#49373;&#47749;98.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E:\My%20Documents\&#44204;&#51201;&#48372;&#44256;\&#54788;&#54889;&#47932;&#47049;.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http://mail.freechal.com/97PLAN/&#44592;&#54925;&#51228;&#52636;/&#49552;&#51061;&#44592;&#52488;.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file:///\\HDEDMS\Mepss\mydoc\&#51089;&#50629;\&#50724;&#54588;&#49828;\&#48516;&#45817;&#54620;&#49368;\&#44264;&#51312;&#44228;&#49688;.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Srva020\atyrau$\Documents%20and%20Settings\A0731\Desktop\Jacob\Haradh\PlanData\Planning&amp;reporting.xls" TargetMode="External"/></Relationships>
</file>

<file path=xl/externalLinks/_rels/externalLink8.xml.rels><?xml version="1.0" encoding="UTF-8" standalone="yes"?>
<Relationships xmlns="http://schemas.openxmlformats.org/package/2006/relationships"><Relationship Id="rId1" Type="http://schemas.openxmlformats.org/officeDocument/2006/relationships/externalLinkPath" Target="file:///\\HDEDMS\Mepss\&#44204;&#51201;&#49892;\&#44592;&#51456;\&#44060;&#47029;&#44204;&#51201;\APT\FORM\970715&#50577;&#49885;.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E:\SSY%20PX-T.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E:\FinSup\Plan01%20DJ\Supply%20Plan%20Review.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HDEDMS\Mepss\&#44204;&#51201;&#49892;\&#44592;&#53440;\&#44060;&#51064;\4.&#45824;&#47532;\&#51060;&#49457;&#54616;\FILE\&#44277;&#53685;&#48708;F\&#45432;&#50516;&#44277;&#53685;.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Hvs-nas\sharefiles%20ii\HVS\Consulting\Jobs\2005050095%20-%20Proposed%203-4%20Star%20Hamburg\Data\Rna%20-%20Hamburg.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A:\&#44204;&#51201;&#49892;\&#44592;&#53440;\&#44060;&#51064;\4.&#45824;&#47532;\&#51060;&#49457;&#54616;\FILE\&#50696;&#49328;F\&#50500;&#54028;&#53944;F\&#44368;&#46041;&#54788;&#51109;.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E:\TEMP\2001%20KPI%20Report.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E:\&#44204;&#51201;&#49892;\&#44592;&#53440;\&#44060;&#51064;\4.&#45824;&#47532;\&#51060;&#49457;&#54616;\FILE\&#44277;&#53685;&#48708;F\&#45432;&#50516;&#44277;&#53685;.xls" TargetMode="External"/></Relationships>
</file>

<file path=xl/externalLinks/_rels/externalLink16.xml.rels><?xml version="1.0" encoding="UTF-8" standalone="yes"?>
<Relationships xmlns="http://schemas.openxmlformats.org/package/2006/relationships"><Relationship Id="rId1" Type="http://schemas.microsoft.com/office/2006/relationships/xlExternalLinkPath/xlPathMissing" Target="&#50976;&#47548;&#44264;&#51312;"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H1775\c\ESTI96\&#44053;&#51652;&#51109;&#55141;\&#54980;&#45796;&#45236;&#50669;.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E:\PSH\&#44592;&#53440;\&#50504;&#49328;5&#52264;&#49892;&#54665;1129.xls" TargetMode="External"/></Relationships>
</file>

<file path=xl/externalLinks/_rels/externalLink19.xml.rels><?xml version="1.0" encoding="UTF-8" standalone="yes"?>
<Relationships xmlns="http://schemas.openxmlformats.org/package/2006/relationships"><Relationship Id="rId1" Type="http://schemas.openxmlformats.org/officeDocument/2006/relationships/externalLinkPath" Target="file:///\\Dscljh\c\EXCEL\&#49688;&#51452;\&#49324;&#50629;&#49457;~1\96\&#49552;&#51061;&#44592;01.XLS" TargetMode="External"/></Relationships>
</file>

<file path=xl/externalLinks/_rels/externalLink20.xml.rels><?xml version="1.0" encoding="UTF-8" standalone="yes"?>
<Relationships xmlns="http://schemas.openxmlformats.org/package/2006/relationships"><Relationship Id="rId1" Type="http://schemas.openxmlformats.org/officeDocument/2006/relationships/externalLinkPath" Target="file:///\\Dsmadmin\c\DATA\&#44221;&#50689;&#44228;&#54925;\99&#45380;&#46020;\&#51228;&#52636;&#51088;&#47308;\&#51473;&#44592;&#44228;&#54925;5.xls" TargetMode="External"/></Relationships>
</file>

<file path=xl/externalLinks/_rels/externalLink21.xml.rels><?xml version="1.0" encoding="UTF-8" standalone="yes"?>
<Relationships xmlns="http://schemas.openxmlformats.org/package/2006/relationships"><Relationship Id="rId1" Type="http://schemas.openxmlformats.org/officeDocument/2006/relationships/externalLinkPath" Target="file:///\\&#44285;&#49849;&#54872;\C\MSOFFICE\EXCEL\YOON\&#51473;&#51216;&#49324;&#50629;\&#50629;&#52404;FIX.XLS" TargetMode="External"/></Relationships>
</file>

<file path=xl/externalLinks/_rels/externalLink22.xml.rels><?xml version="1.0" encoding="UTF-8" standalone="yes"?>
<Relationships xmlns="http://schemas.openxmlformats.org/package/2006/relationships"><Relationship Id="rId1" Type="http://schemas.openxmlformats.org/officeDocument/2006/relationships/externalLinkPath" Target="file:///\\Fs10\estate\Users\Administrator\Desktop\esErrNameDelete.xls" TargetMode="External"/></Relationships>
</file>

<file path=xl/externalLinks/_rels/externalLink23.xml.rels><?xml version="1.0" encoding="UTF-8" standalone="yes"?>
<Relationships xmlns="http://schemas.openxmlformats.org/package/2006/relationships"><Relationship Id="rId1" Type="http://schemas.openxmlformats.org/officeDocument/2006/relationships/externalLinkPath" Target="file:///E:\&#51452;&#53469;&#44592;&#49696;&#54016;\&#49688;&#51452;&#49324;&#50629;\&#52380;&#50504;&#49884;\&#44221;&#48708;&#54532;&#47196;&#44536;&#47016;(2003).xls" TargetMode="External"/></Relationships>
</file>

<file path=xl/externalLinks/_rels/externalLink24.xml.rels><?xml version="1.0" encoding="UTF-8" standalone="yes"?>
<Relationships xmlns="http://schemas.openxmlformats.org/package/2006/relationships"><Relationship Id="rId1" Type="http://schemas.openxmlformats.org/officeDocument/2006/relationships/externalLinkPath" Target="file:///E:\&#49464;&#47924;&#51312;&#51221;\2016&#45380;\12&#50900;\0.&#54408;&#51032;&#49436;\0.170328_16&#45380;%20&#48277;&#51064;&#49464;%20&#49888;&#44256;&#45236;&#50669;_v2.xlsx" TargetMode="External"/></Relationships>
</file>

<file path=xl/externalLinks/_rels/externalLink25.xml.rels><?xml version="1.0" encoding="UTF-8" standalone="yes"?>
<Relationships xmlns="http://schemas.openxmlformats.org/package/2006/relationships"><Relationship Id="rId1" Type="http://schemas.openxmlformats.org/officeDocument/2006/relationships/externalLinkPath" Target="file:///E:\&#49464;&#47924;&#51312;&#51221;\2016&#45380;\12&#50900;\0.&#54408;&#51032;&#49436;\&#54620;&#49556;&#44060;&#48156;_&#48277;&#51064;&#49464;_2016_ms_v3.xlsx" TargetMode="External"/></Relationships>
</file>

<file path=xl/externalLinks/_rels/externalLink26.xml.rels><?xml version="1.0" encoding="UTF-8" standalone="yes"?>
<Relationships xmlns="http://schemas.openxmlformats.org/package/2006/relationships"><Relationship Id="rId1" Type="http://schemas.openxmlformats.org/officeDocument/2006/relationships/externalLinkPath" Target="file:///\\Hdedms\Mepss\&#51648;&#54840;Docu\1.&#44592;&#53440;\2.&#50577;&#49885;\9.&#44592;&#53440;\001%20&#50672;&#44208;&#45130;&#44592;&#50857;(&#45236;&#50857;&#50630;&#51020;).xls" TargetMode="External"/></Relationships>
</file>

<file path=xl/externalLinks/_rels/externalLink27.xml.rels><?xml version="1.0" encoding="UTF-8" standalone="yes"?>
<Relationships xmlns="http://schemas.openxmlformats.org/package/2006/relationships"><Relationship Id="rId1" Type="http://schemas.openxmlformats.org/officeDocument/2006/relationships/externalLinkPath" Target="file:///\\&#51221;&#44592;&#46024;\&#44060;&#49328;&#44204;&#51201;\ESTI\K-EMART\&#44204;&#51201;.XLS" TargetMode="External"/></Relationships>
</file>

<file path=xl/externalLinks/_rels/externalLink28.xml.rels><?xml version="1.0" encoding="UTF-8" standalone="yes"?>
<Relationships xmlns="http://schemas.openxmlformats.org/package/2006/relationships"><Relationship Id="rId1" Type="http://schemas.openxmlformats.org/officeDocument/2006/relationships/externalLinkPath" Target="file:///\\Dksonwinxp\f%20(f)\aa\123\&#51088;&#44552;&#44228;&#54925;\&#49324;&#50629;&#44228;&#54925;&#45824;&#48708;.xls" TargetMode="External"/></Relationships>
</file>

<file path=xl/externalLinks/_rels/externalLink29.xml.rels><?xml version="1.0" encoding="UTF-8" standalone="yes"?>
<Relationships xmlns="http://schemas.openxmlformats.org/package/2006/relationships"><Relationship Id="rId1" Type="http://schemas.openxmlformats.org/officeDocument/2006/relationships/externalLinkPath" Target="file:///E:\My%20Documents\Excel\LIK\OTH\Inv\00&#48152;&#44592;\&#51116;&#44256;&#51312;&#49324;99.xls" TargetMode="External"/></Relationships>
</file>

<file path=xl/externalLinks/_rels/externalLink30.xml.rels><?xml version="1.0" encoding="UTF-8" standalone="yes"?>
<Relationships xmlns="http://schemas.openxmlformats.org/package/2006/relationships"><Relationship Id="rId1" Type="http://schemas.openxmlformats.org/officeDocument/2006/relationships/externalLinkPath" Target="file:///\\&#51060;&#51456;&#54840;\D\PROJECT\BUDGET\WOONAM\CDDBP.XLS" TargetMode="External"/></Relationships>
</file>

<file path=xl/externalLinks/_rels/externalLink31.xml.rels><?xml version="1.0" encoding="UTF-8" standalone="yes"?>
<Relationships xmlns="http://schemas.openxmlformats.org/package/2006/relationships"><Relationship Id="rId1" Type="http://schemas.openxmlformats.org/officeDocument/2006/relationships/externalLinkPath" Target="file:///E:\&#51452;&#53469;&#44592;&#49696;&#54016;\&#50500;&#54028;&#53944;\&#49888;&#50577;&#49885;\&#49688;&#51452;&#49324;&#50629;\&#50872;&#49328;&#49884;\&#47588;&#44257;&#46041;\&#48373;&#49324;&#48376;%20&#44221;&#48708;&#54532;&#47196;&#44536;&#47016;(2003)-1.xls" TargetMode="External"/></Relationships>
</file>

<file path=xl/externalLinks/_rels/externalLink32.xml.rels><?xml version="1.0" encoding="UTF-8" standalone="yes"?>
<Relationships xmlns="http://schemas.openxmlformats.org/package/2006/relationships"><Relationship Id="rId1" Type="http://schemas.openxmlformats.org/officeDocument/2006/relationships/externalLinkPath" Target="file:///E:\PROJECT\CN9642B\BACK-UP\01GENERL\EXL-SHET\EXL-WORK\KJ-KIM\PROJECTS\CYPRUS\PROJ-CST.XLS" TargetMode="External"/></Relationships>
</file>

<file path=xl/externalLinks/_rels/externalLink33.xml.rels><?xml version="1.0" encoding="UTF-8" standalone="yes"?>
<Relationships xmlns="http://schemas.openxmlformats.org/package/2006/relationships"><Relationship Id="rId1" Type="http://schemas.openxmlformats.org/officeDocument/2006/relationships/externalLinkPath" Target="file:///\\nccrpfs1\NCCR\Everyone\Asset%20Management\Report(&#65315;&#65331;&#65323;%20etc)\Feb-04\NCR1\8%20Todoroki\Todoroki%20Feb-04.xls" TargetMode="External"/></Relationships>
</file>

<file path=xl/externalLinks/_rels/externalLink34.xml.rels><?xml version="1.0" encoding="UTF-8" standalone="yes"?>
<Relationships xmlns="http://schemas.openxmlformats.org/package/2006/relationships"><Relationship Id="rId1" Type="http://schemas.openxmlformats.org/officeDocument/2006/relationships/externalLinkPath" Target="file:///E:\WORK\&#45824;&#50689;&#54252;&#51109;\My%20Documents\work-&#49436;&#51068;\&#51068;&#49340;\&#51068;&#49340;&#54788;&#44552;&#55120;&#47492;&#54364;.xls" TargetMode="External"/></Relationships>
</file>

<file path=xl/externalLinks/_rels/externalLink35.xml.rels><?xml version="1.0" encoding="UTF-8" standalone="yes"?>
<Relationships xmlns="http://schemas.openxmlformats.org/package/2006/relationships"><Relationship Id="rId1" Type="http://schemas.microsoft.com/office/2006/relationships/xlExternalLinkPath/xlPathMissing" Target="2q%20&#48277;&#51064;&#49464;%20&#48143;%20&#51060;&#50672;&#48277;&#51064;&#49464;&#51032;%20&#50892;&#53356;&#49884;&#53944;" TargetMode="External"/></Relationships>
</file>

<file path=xl/externalLinks/_rels/externalLink36.xml.rels><?xml version="1.0" encoding="UTF-8" standalone="yes"?>
<Relationships xmlns="http://schemas.openxmlformats.org/package/2006/relationships"><Relationship Id="rId1" Type="http://schemas.openxmlformats.org/officeDocument/2006/relationships/externalLinkPath" Target="file:///\\Krsehkang\&#54620;&#49888;&#51221;_ifrs\Users\kilchang\Desktop\&#54620;&#49888;&#51221;IFRS\&#54620;&#49888;&#51221;_IFRS(&#44277;&#50976;&#54260;&#45908;)_off-line\Phase2\(2)&#49328;&#52636;&#47932;\7.%20&#45208;&#51060;&#49828;&#51221;&#48372;&#53685;&#49888;\&#50976;&#54805;&#51088;&#49328;%20&#45236;&#50857;&#50672;&#49688;&#48320;&#44221;&#54952;&#44284;(&#54620;&#49888;&#51221;&#54217;&#44032;)-&#50724;&#45824;&#50857;.xls" TargetMode="External"/></Relationships>
</file>

<file path=xl/externalLinks/_rels/externalLink37.xml.rels><?xml version="1.0" encoding="UTF-8" standalone="yes"?>
<Relationships xmlns="http://schemas.openxmlformats.org/package/2006/relationships"><Relationship Id="rId1" Type="http://schemas.microsoft.com/office/2006/relationships/xlExternalLinkPath/xlPathMissing" Target="8113%20&#44032;&#47609;&#51216;&#47588;&#52636;%20TEST&#51032;%20&#50892;&#53356;&#49884;&#53944;" TargetMode="External"/></Relationships>
</file>

<file path=xl/externalLinks/_rels/externalLink38.xml.rels><?xml version="1.0" encoding="UTF-8" standalone="yes"?>
<Relationships xmlns="http://schemas.openxmlformats.org/package/2006/relationships"><Relationship Id="rId1" Type="http://schemas.openxmlformats.org/officeDocument/2006/relationships/externalLinkPath" Target="file:///E:\Users\pilyongson\Desktop\&#45224;&#50577;&#50976;&#50629;\2008&#45380;%20&#48277;&#51064;&#49464;&#48708;&#50857;&#44228;&#49328;_0205.xls" TargetMode="External"/></Relationships>
</file>

<file path=xl/externalLinks/_rels/externalLink39.xml.rels><?xml version="1.0" encoding="UTF-8" standalone="yes"?>
<Relationships xmlns="http://schemas.openxmlformats.org/package/2006/relationships"><Relationship Id="rId1" Type="http://schemas.microsoft.com/office/2006/relationships/xlExternalLinkPath/xlPathMissing" Target="7110%20&#51088;&#48376;&#51032;%20&#50892;&#53356;&#49884;&#53944;" TargetMode="External"/></Relationships>
</file>

<file path=xl/externalLinks/_rels/externalLink40.xml.rels><?xml version="1.0" encoding="UTF-8" standalone="yes"?>
<Relationships xmlns="http://schemas.openxmlformats.org/package/2006/relationships"><Relationship Id="rId1" Type="http://schemas.microsoft.com/office/2006/relationships/xlExternalLinkPath/xlPathMissing" Target="2261%20F1~4&#51032;%20&#50892;&#53356;&#49884;&#53944;" TargetMode="External"/></Relationships>
</file>

<file path=xl/externalLinks/_rels/externalLink41.xml.rels><?xml version="1.0" encoding="UTF-8" standalone="yes"?>
<Relationships xmlns="http://schemas.openxmlformats.org/package/2006/relationships"><Relationship Id="rId1" Type="http://schemas.microsoft.com/office/2006/relationships/xlExternalLinkPath/xlPathMissing" Target="2261%20WTB&#51032;%20&#50892;&#53356;&#49884;&#53944;%202" TargetMode="External"/></Relationships>
</file>

<file path=xl/externalLinks/_rels/externalLink42.xml.rels><?xml version="1.0" encoding="UTF-8" standalone="yes"?>
<Relationships xmlns="http://schemas.openxmlformats.org/package/2006/relationships"><Relationship Id="rId1" Type="http://schemas.openxmlformats.org/officeDocument/2006/relationships/externalLinkPath" Target="file:///\\&#44608;&#55141;&#49692;\&#44277;&#50976;\2&#49436;&#49457;&#44396;\&#54788;&#51109;\&#51068;&#49328;&#51648;&#54617;&#49324;\&#44592;&#49689;&#49324;\LOTUS\&#44144;&#51228;&#46020;\&#44144;&#51228;&#46020;.XLS" TargetMode="External"/></Relationships>
</file>

<file path=xl/externalLinks/_rels/externalLink43.xml.rels><?xml version="1.0" encoding="UTF-8" standalone="yes"?>
<Relationships xmlns="http://schemas.openxmlformats.org/package/2006/relationships"><Relationship Id="rId1" Type="http://schemas.openxmlformats.org/officeDocument/2006/relationships/externalLinkPath" Target="file:///E:\&#51452;&#53469;&#44592;&#49696;&#54016;\&#50500;&#54028;&#53944;\&#49888;&#50577;&#49885;\&#44060;&#48156;&#49324;&#50629;\&#49436;&#50872;&#49884;\&#51008;&#54217;&#44396;(&#51025;&#50516;)\&#51025;&#50516;1&#44396;&#50669;\&#48373;&#49324;&#48376;%20&#44221;&#48708;&#54532;&#47196;&#44536;&#47016;(2003)-1.xls" TargetMode="External"/></Relationships>
</file>

<file path=xl/externalLinks/_rels/externalLink44.xml.rels><?xml version="1.0" encoding="UTF-8" standalone="yes"?>
<Relationships xmlns="http://schemas.openxmlformats.org/package/2006/relationships"><Relationship Id="rId1" Type="http://schemas.openxmlformats.org/officeDocument/2006/relationships/externalLinkPath" Target="file:///E:\My%20Com\D\&#51452;&#53469;&#44592;&#49696;&#54016;\2004&#45380;\f.m.business\&#48373;&#49324;&#48376;%20&#44221;&#48708;&#54532;&#47196;&#44536;&#47016;(2003)-1.xls" TargetMode="External"/></Relationships>
</file>

<file path=xl/externalLinks/_rels/externalLink45.xml.rels><?xml version="1.0" encoding="UTF-8" standalone="yes"?>
<Relationships xmlns="http://schemas.openxmlformats.org/package/2006/relationships"><Relationship Id="rId1" Type="http://schemas.openxmlformats.org/officeDocument/2006/relationships/externalLinkPath" Target="file:///O:\My%20Documents\SKKIM\Work1999\SKC%20CDP\My%20Documents\CIVIL\&#53664;&#47785;&#44204;&#51201;\%232CDU&#49892;&#54665;.xls" TargetMode="External"/></Relationships>
</file>

<file path=xl/externalLinks/_rels/externalLink46.xml.rels><?xml version="1.0" encoding="UTF-8" standalone="yes"?>
<Relationships xmlns="http://schemas.openxmlformats.org/package/2006/relationships"><Relationship Id="rId1" Type="http://schemas.openxmlformats.org/officeDocument/2006/relationships/externalLinkPath" Target="file:///\\&#51060;&#49849;&#44508;\APT\MSOffice\Excel\APT\&#53556;&#53412;&#51088;&#47308;.xls" TargetMode="External"/></Relationships>
</file>

<file path=xl/externalLinks/_rels/externalLink47.xml.rels><?xml version="1.0" encoding="UTF-8" standalone="yes"?>
<Relationships xmlns="http://schemas.openxmlformats.org/package/2006/relationships"><Relationship Id="rId1" Type="http://schemas.openxmlformats.org/officeDocument/2006/relationships/externalLinkPath" Target="file:///E:\DATA\FC\CONDI\ADMIN\SHSUN\&#44277;&#53685;&#47588;&#51077;.xls" TargetMode="External"/></Relationships>
</file>

<file path=xl/externalLinks/_rels/externalLink48.xml.rels><?xml version="1.0" encoding="UTF-8" standalone="yes"?>
<Relationships xmlns="http://schemas.openxmlformats.org/package/2006/relationships"><Relationship Id="rId1" Type="http://schemas.openxmlformats.org/officeDocument/2006/relationships/externalLinkPath" Target="file:///H:\A\APT&#51088;&#47308;\&#50976;&#47548;&#53080;&#46020;.XLS" TargetMode="External"/></Relationships>
</file>

<file path=xl/externalLinks/_rels/externalLink49.xml.rels><?xml version="1.0" encoding="UTF-8" standalone="yes"?>
<Relationships xmlns="http://schemas.openxmlformats.org/package/2006/relationships"><Relationship Id="rId1" Type="http://schemas.openxmlformats.org/officeDocument/2006/relationships/externalLinkPath" Target="file:///E:\&#51452;&#53469;&#44592;&#49696;&#54016;\&#50500;&#54028;&#53944;\&#49888;&#50577;&#49885;\&#44060;&#48156;&#49324;&#50629;\&#50668;&#49688;&#49884;\&#48373;&#49324;&#48376;%20&#44221;&#48708;&#54532;&#47196;&#44536;&#47016;(2003)-1.xls" TargetMode="External"/></Relationships>
</file>

<file path=xl/externalLinks/_rels/externalLink50.xml.rels><?xml version="1.0" encoding="UTF-8" standalone="yes"?>
<Relationships xmlns="http://schemas.openxmlformats.org/package/2006/relationships"><Relationship Id="rId1" Type="http://schemas.openxmlformats.org/officeDocument/2006/relationships/externalLinkPath" Target="file:///\\&#44608;&#54617;&#48124;\&#48320;&#44221;&#49892;&#54665;\EXCEL\&#45824;&#54617;.XLS" TargetMode="External"/></Relationships>
</file>

<file path=xl/externalLinks/_rels/externalLink51.xml.rels><?xml version="1.0" encoding="UTF-8" standalone="yes"?>
<Relationships xmlns="http://schemas.openxmlformats.org/package/2006/relationships"><Relationship Id="rId1" Type="http://schemas.openxmlformats.org/officeDocument/2006/relationships/externalLinkPath" Target="file:///E:\&#51452;&#53469;&#44592;&#49696;&#54016;\&#49688;&#51452;&#49324;&#50629;\&#44396;&#48120;&#49884;\&#44221;&#48708;&#54532;&#47196;&#44536;&#47016;(2003).xls" TargetMode="External"/></Relationships>
</file>

<file path=xl/externalLinks/_rels/externalLink52.xml.rels><?xml version="1.0" encoding="UTF-8" standalone="yes"?>
<Relationships xmlns="http://schemas.openxmlformats.org/package/2006/relationships"><Relationship Id="rId1" Type="http://schemas.openxmlformats.org/officeDocument/2006/relationships/externalLinkPath" Target="file:///E:\&#51452;&#53469;&#44592;&#49696;&#54016;\&#49688;&#51452;&#49324;&#50629;\&#50872;&#49328;&#51648;&#50669;\&#50872;&#49328;&#44404;&#54868;&#53664;&#51648;&#44396;&#54925;&#51221;&#47532;&#51648;&#44396;\&#44221;&#48708;&#54532;&#47196;&#44536;&#47016;(2003).xls" TargetMode="External"/></Relationships>
</file>

<file path=xl/externalLinks/_rels/externalLink53.xml.rels><?xml version="1.0" encoding="UTF-8" standalone="yes"?>
<Relationships xmlns="http://schemas.openxmlformats.org/package/2006/relationships"><Relationship Id="rId1" Type="http://schemas.openxmlformats.org/officeDocument/2006/relationships/externalLinkPath" Target="file:///\\Hdedms\Mepss\&#50629;&#47924;\&#52265;&#49688;&#44208;&#51032;&#49436;\&#48520;&#44305;1&#44396;&#50669;\&#44204;&#51201;&#49892;\&#44592;&#53440;\&#44060;&#51064;\4.&#45824;&#47532;\&#51060;&#49457;&#54616;\FILE\&#50696;&#49328;F\&#50500;&#54028;&#53944;F\&#44368;&#46041;&#54788;&#51109;.xls" TargetMode="External"/></Relationships>
</file>

<file path=xl/externalLinks/_rels/externalLink54.xml.rels><?xml version="1.0" encoding="UTF-8" standalone="yes"?>
<Relationships xmlns="http://schemas.openxmlformats.org/package/2006/relationships"><Relationship Id="rId1" Type="http://schemas.openxmlformats.org/officeDocument/2006/relationships/externalLinkPath" Target="file:///H:\KBLEE\&#44592;&#53440;\&#54364;&#51456;\1.xls" TargetMode="External"/></Relationships>
</file>

<file path=xl/externalLinks/_rels/externalLink55.xml.rels><?xml version="1.0" encoding="UTF-8" standalone="yes"?>
<Relationships xmlns="http://schemas.openxmlformats.org/package/2006/relationships"><Relationship Id="rId1" Type="http://schemas.openxmlformats.org/officeDocument/2006/relationships/externalLinkPath" Target="file:///E:\&#51452;&#53469;&#44592;&#49696;&#54016;\&#50500;&#54028;&#53944;\&#44396;&#50577;&#49885;\&#44060;&#48156;&#49324;&#50629;\&#44396;&#48120;\&#44396;&#48120;&#49569;&#51221;&#51452;&#44277;\&#44221;&#48708;&#54532;&#47196;&#44536;&#47016;(2003).xls" TargetMode="External"/></Relationships>
</file>

<file path=xl/externalLinks/_rels/externalLink56.xml.rels><?xml version="1.0" encoding="UTF-8" standalone="yes"?>
<Relationships xmlns="http://schemas.openxmlformats.org/package/2006/relationships"><Relationship Id="rId1" Type="http://schemas.openxmlformats.org/officeDocument/2006/relationships/externalLinkPath" Target="file:///E:\&#51060;&#51452;&#54805;\&#50629;&#47924;\2008%20PJ\&#49324;&#50629;&#44160;&#53664;\&#49324;&#50629;&#49457;&#44160;&#53664;\&#50504;&#46041;\&#48373;&#49324;&#48376;%20&#44221;&#48708;&#54532;&#47196;&#44536;&#47016;(2003)-1.xls" TargetMode="External"/></Relationships>
</file>

<file path=xl/externalLinks/_rels/externalLink57.xml.rels><?xml version="1.0" encoding="UTF-8" standalone="yes"?>
<Relationships xmlns="http://schemas.openxmlformats.org/package/2006/relationships"><Relationship Id="rId1" Type="http://schemas.openxmlformats.org/officeDocument/2006/relationships/externalLinkPath" Target="file:///\\&#51076;&#45804;&#49688;\2002&#45380;%20&#50672;&#47568;\2002&#45380;%20&#49345;&#48152;&#44592;%20&#54924;&#44228;&#44048;&#49324;\My%20Documents\'99&#45380;%20&#50900;&#52264;&#49552;&#51061;\12&#50900;%20&#50900;&#52264;&#44208;&#49328;\&#53748;&#52649;&#44552;(12&#50900;).xls" TargetMode="External"/></Relationships>
</file>

<file path=xl/externalLinks/_rels/externalLink58.xml.rels><?xml version="1.0" encoding="UTF-8" standalone="yes"?>
<Relationships xmlns="http://schemas.openxmlformats.org/package/2006/relationships"><Relationship Id="rId1" Type="http://schemas.openxmlformats.org/officeDocument/2006/relationships/externalLinkPath" Target="file:///\\DP6129\&#44256;&#50689;&#48372;&#51068;&#48152;\98&#50672;&#47568;&#44208;&#49328;\My%20Documents\IPIC\A&#44256;&#50689;&#48372;\IPIC\9806&#44208;&#49328;\WORK\RAW\RAW9701\RAW9701.XLS" TargetMode="External"/></Relationships>
</file>

<file path=xl/externalLinks/_rels/externalLink59.xml.rels><?xml version="1.0" encoding="UTF-8" standalone="yes"?>
<Relationships xmlns="http://schemas.openxmlformats.org/package/2006/relationships"><Relationship Id="rId1" Type="http://schemas.openxmlformats.org/officeDocument/2006/relationships/externalLinkPath" Target="file:///E:\&#51452;&#53469;&#44592;&#49696;&#54016;\&#49688;&#51452;&#49324;&#50629;\&#50872;&#49328;&#51648;&#50669;\&#50872;&#51452;&#44400;(&#50616;&#50577;&#51021;)\&#44221;&#48708;&#54532;&#47196;&#44536;&#47016;(2003).xls" TargetMode="External"/></Relationships>
</file>

<file path=xl/externalLinks/_rels/externalLink60.xml.rels><?xml version="1.0" encoding="UTF-8" standalone="yes"?>
<Relationships xmlns="http://schemas.openxmlformats.org/package/2006/relationships"><Relationship Id="rId1" Type="http://schemas.openxmlformats.org/officeDocument/2006/relationships/externalLinkPath" Target="file:///E:\work\&#54620;&#49436;&#51228;&#50557;\A&#51312;&#49436;-&#54620;&#49436;.XLS" TargetMode="External"/></Relationships>
</file>

<file path=xl/externalLinks/_rels/externalLink61.xml.rels><?xml version="1.0" encoding="UTF-8" standalone="yes"?>
<Relationships xmlns="http://schemas.openxmlformats.org/package/2006/relationships"><Relationship Id="rId1" Type="http://schemas.openxmlformats.org/officeDocument/2006/relationships/externalLinkPath" Target="file:///\\&#51060;&#50689;&#54984;\&#51076;&#54217;&#45209;\2001-12&#50900;%20&#52292;&#44428;&#54788;&#54889;&#54364;\&#50976;&#46041;&#54868;&#52292;&#44428;&#50577;&#49688;&#46020;&#54788;&#54889;.xls" TargetMode="External"/></Relationships>
</file>

<file path=xl/externalLinks/_rels/externalLink62.xml.rels><?xml version="1.0" encoding="UTF-8" standalone="yes"?>
<Relationships xmlns="http://schemas.openxmlformats.org/package/2006/relationships"><Relationship Id="rId1" Type="http://schemas.openxmlformats.org/officeDocument/2006/relationships/externalLinkPath" Target="file:///D:\Documents%20and%20Settings\&#51109;&#51456;&#54840;\Local%20Settings\Temporary%20Internet%20Files\Content.IE5\G75FYY71\MSOFFICE\EXCEL\&#51088;&#44552;&#49688;&#51648;\&#51088;&#44552;&#49688;5.XLS" TargetMode="External"/></Relationships>
</file>

<file path=xl/externalLinks/_rels/externalLink63.xml.rels><?xml version="1.0" encoding="UTF-8" standalone="yes"?>
<Relationships xmlns="http://schemas.openxmlformats.org/package/2006/relationships"><Relationship Id="rId1" Type="http://schemas.openxmlformats.org/officeDocument/2006/relationships/externalLinkPath" Target="file:///\\&#51076;&#45804;&#49688;\2002&#45380;%20&#50672;&#47568;\My%20Documents\'99&#45380;%20&#50900;&#52264;&#49552;&#51061;\12&#50900;%20&#50900;&#52264;&#44208;&#49328;\&#53748;&#52649;&#44552;(12&#50900;).xls" TargetMode="External"/></Relationships>
</file>

<file path=xl/externalLinks/_rels/externalLink64.xml.rels><?xml version="1.0" encoding="UTF-8" standalone="yes"?>
<Relationships xmlns="http://schemas.openxmlformats.org/package/2006/relationships"><Relationship Id="rId1" Type="http://schemas.openxmlformats.org/officeDocument/2006/relationships/externalLinkPath" Target="file:///\\&#51109;&#53468;&#51452;\&#49324;&#50629;&#51652;&#52377;&#51216;&#44160;\WINDOWS\TEMP\&#45236;&#50669;&#49436;(&#51649;&#50689;&#48708;).xls" TargetMode="External"/></Relationships>
</file>

<file path=xl/externalLinks/_rels/externalLink65.xml.rels><?xml version="1.0" encoding="UTF-8" standalone="yes"?>
<Relationships xmlns="http://schemas.openxmlformats.org/package/2006/relationships"><Relationship Id="rId1" Type="http://schemas.openxmlformats.org/officeDocument/2006/relationships/externalLinkPath" Target="file:///B:\&#51077;&#52272;&#50504;.xls" TargetMode="External"/></Relationships>
</file>

<file path=xl/externalLinks/_rels/externalLink66.xml.rels><?xml version="1.0" encoding="UTF-8" standalone="yes"?>
<Relationships xmlns="http://schemas.openxmlformats.org/package/2006/relationships"><Relationship Id="rId1" Type="http://schemas.openxmlformats.org/officeDocument/2006/relationships/externalLinkPath" Target="file:///\\&#51204;&#51116;&#50857;2\&#44277;&#50976;&#54260;&#45908;\&#51204;&#51116;&#50857;(01.10&#51060;&#54980;&#49888;&#44508;)\&#51116;&#44060;&#48156;\&#49340;&#49440;&#51228;1&#44396;&#50669;\&#44288;&#47532;&#52376;&#48516;&#51456;&#48708;\&#44228;&#54925;&#49436;&#51089;&#49457;\&#44277;&#46988;&#48376;\&#48124;&#44221;&#49688;\&#49340;&#49440;&#51228;1&#44396;&#50669;\&#49324;&#50629;&#49884;&#54665;&#51064;&#44032;&#44288;&#47144;(&#44221;&#49688;)\&#44396;&#50669;&#51648;&#51221;&#48320;&#44221;&#44288;&#47144;(2002.5.13)\&#53664;&#51648;&#45236;&#50669;&#49436;(&#54925;&#51648;&#48324;).xls" TargetMode="External"/></Relationships>
</file>

<file path=xl/externalLinks/_rels/externalLink67.xml.rels><?xml version="1.0" encoding="UTF-8" standalone="yes"?>
<Relationships xmlns="http://schemas.openxmlformats.org/package/2006/relationships"><Relationship Id="rId1" Type="http://schemas.openxmlformats.org/officeDocument/2006/relationships/externalLinkPath" Target="file:///\\JJJ90\&#51116;&#51221;&#48512;\Windows\&#48148;&#53461;%20&#54868;&#47732;\&#51116;&#51221;&#48512;\&#51060;&#51088;&#48516;&#49437;\&#51648;&#44553;&#51060;&#51088;\98&#45380;&#44036;&#48516;&#44592;.xls" TargetMode="External"/></Relationships>
</file>

<file path=xl/externalLinks/_rels/externalLink68.xml.rels><?xml version="1.0" encoding="UTF-8" standalone="yes"?>
<Relationships xmlns="http://schemas.openxmlformats.org/package/2006/relationships"><Relationship Id="rId1" Type="http://schemas.openxmlformats.org/officeDocument/2006/relationships/externalLinkPath" Target="file:///\\Pc1\c\Documents%20and%20Settings\master\My%20Documents\My%20Documents\My%20Data\&#44592;&#51456;&#51088;&#47308;\&#47532;&#48708;&#50500;&#44204;&#51201;&#51089;&#50629;.xls" TargetMode="External"/></Relationships>
</file>

<file path=xl/externalLinks/_rels/externalLink69.xml.rels><?xml version="1.0" encoding="UTF-8" standalone="yes"?>
<Relationships xmlns="http://schemas.openxmlformats.org/package/2006/relationships"><Relationship Id="rId1" Type="http://schemas.openxmlformats.org/officeDocument/2006/relationships/externalLinkPath" Target="file:///A:\Windows\Temporary%20Internet%20Files\Content.IE5\81YR8HEN\WINDOWS\&#48148;&#53461;%20&#54868;&#47732;\HANJIN\&#49324;&#50629;&#48372;&#44256;\PJT&#48372;&#44256;\&#49345;&#44032;&#51648;&#52636;\&#49345;&#44032;&#51060;~1.XLS" TargetMode="External"/></Relationships>
</file>

<file path=xl/externalLinks/_rels/externalLink70.xml.rels><?xml version="1.0" encoding="UTF-8" standalone="yes"?>
<Relationships xmlns="http://schemas.openxmlformats.org/package/2006/relationships"><Relationship Id="rId1" Type="http://schemas.openxmlformats.org/officeDocument/2006/relationships/externalLinkPath" Target="file:///E:\WORK\&#49457;&#51652;C&amp;C\&#51473;&#44036;&#44048;&#49324;-&#46300;&#47548;&#46972;&#51064;.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OWER 10TON"/>
      <sheetName val="TOWER 12TON"/>
      <sheetName val="JIB CRANE,HOIST"/>
      <sheetName val="유림골조"/>
      <sheetName val="공통부대비"/>
      <sheetName val="#REF"/>
      <sheetName val="견적의뢰서"/>
      <sheetName val="공사비대비표"/>
      <sheetName val="품의서"/>
      <sheetName val="건축"/>
      <sheetName val="34평형"/>
      <sheetName val="옵션대비"/>
      <sheetName val="파일공사(아파트)"/>
      <sheetName val="HOIST"/>
      <sheetName val="부대건축"/>
      <sheetName val="주차장(지하1층)"/>
      <sheetName val="파일공사(부대동)"/>
      <sheetName val="토목"/>
      <sheetName val="옥외"/>
      <sheetName val="Sheet6"/>
      <sheetName val="죽전2차공통비ALT-3"/>
      <sheetName val="JIB-CRANE,HOIST"/>
      <sheetName val="Sheet4"/>
      <sheetName val="Sheet5"/>
      <sheetName val="Sheet2"/>
      <sheetName val="Sheet3"/>
      <sheetName val="시장성초안camera"/>
      <sheetName val="assign"/>
      <sheetName val="투입"/>
      <sheetName val="수입"/>
      <sheetName val="내역서"/>
      <sheetName val="JIB CRANE_HOIST"/>
      <sheetName val="정부노임단가"/>
      <sheetName val="입찰"/>
      <sheetName val="현경"/>
      <sheetName val="산출근거"/>
      <sheetName val="단가"/>
      <sheetName val="현장별 손익자료"/>
      <sheetName val="양식4-1)현장손익(월별)"/>
      <sheetName val="간선계산"/>
      <sheetName val="가로등"/>
      <sheetName val="산출내역서집계표"/>
      <sheetName val="DATA"/>
      <sheetName val="현장관리비 산출내역"/>
      <sheetName val="실행철강하도"/>
      <sheetName val="중기"/>
      <sheetName val="주요공사"/>
      <sheetName val="급여상승분석"/>
      <sheetName val="예산 대 실투입(안전제외)"/>
      <sheetName val="급여 상승현황"/>
      <sheetName val="TOWER_10TON1"/>
      <sheetName val="TOWER_12TON1"/>
      <sheetName val="JIB_CRANE,HOIST1"/>
      <sheetName val="JIB_CRANE_HOIST1"/>
      <sheetName val="현장별_손익자료"/>
      <sheetName val="TOWER_10TON"/>
      <sheetName val="TOWER_12TON"/>
      <sheetName val="JIB_CRANE,HOIST"/>
      <sheetName val="JIB_CRANE_HOIST"/>
      <sheetName val="VXXXXXXX"/>
      <sheetName val="1월"/>
      <sheetName val="5월"/>
      <sheetName val="AP1"/>
      <sheetName val="Sheet1"/>
      <sheetName val="TOWER_10TON2"/>
      <sheetName val="TOWER_12TON2"/>
      <sheetName val="JIB_CRANE,HOIST2"/>
      <sheetName val="JIB_CRANE_HOIST2"/>
      <sheetName val="현장별_손익자료1"/>
      <sheetName val="TOWER_10TON3"/>
      <sheetName val="TOWER_12TON3"/>
      <sheetName val="JIB_CRANE,HOIST3"/>
      <sheetName val="JIB_CRANE_HOIST3"/>
      <sheetName val="유림콘도"/>
      <sheetName val="현장관리비_산출내역"/>
      <sheetName val="부산제일극장"/>
      <sheetName val="예가표"/>
      <sheetName val="프랜트면허"/>
      <sheetName val="공문"/>
      <sheetName val="단위가격"/>
      <sheetName val="목표세부명세"/>
      <sheetName val="Variables"/>
      <sheetName val="금융비용"/>
      <sheetName val="건축내역"/>
      <sheetName val="견적의뢰"/>
      <sheetName val="SG"/>
      <sheetName val="와동25-3(변경)"/>
      <sheetName val="공통비(전체)"/>
      <sheetName val="토목공사"/>
      <sheetName val="새공통(96임금인상기준)"/>
      <sheetName val="구의33고"/>
      <sheetName val="비교1"/>
      <sheetName val="유림총괄"/>
      <sheetName val="단가표"/>
      <sheetName val="jobhist"/>
      <sheetName val="변경집계표"/>
      <sheetName val="손익차9월2"/>
      <sheetName val="공통비총괄표"/>
      <sheetName val="COST"/>
      <sheetName val="UnitList"/>
      <sheetName val="M-EQPT-Z"/>
      <sheetName val="총괄"/>
      <sheetName val="내역표지"/>
      <sheetName val="집계표"/>
      <sheetName val="노임이"/>
      <sheetName val="3.공종별투자분석(천원)"/>
      <sheetName val="토목검측서"/>
      <sheetName val="4.2유효폭의 계산"/>
      <sheetName val="토사(PE)"/>
      <sheetName val="대로근거"/>
      <sheetName val="0226"/>
      <sheetName val="★도급내역"/>
      <sheetName val="우수공"/>
      <sheetName val="회사99"/>
      <sheetName val="입찰내역 발주처 양식"/>
      <sheetName val="보할"/>
      <sheetName val="cp-e1"/>
      <sheetName val="차수"/>
      <sheetName val="복지비카메라"/>
      <sheetName val="설계조건"/>
      <sheetName val="총괄원가계산서"/>
      <sheetName val="6PILE  (돌출)"/>
      <sheetName val="입찰안"/>
      <sheetName val="TOWER_10TON4"/>
      <sheetName val="TOWER_12TON4"/>
      <sheetName val="JIB_CRANE,HOIST4"/>
      <sheetName val="JIB_CRANE_HOIST4"/>
      <sheetName val="현장별_손익자료2"/>
      <sheetName val="현장관리비_산출내역1"/>
      <sheetName val="예산_대_실투입(안전제외)"/>
      <sheetName val="급여_상승현황"/>
      <sheetName val="3_공종별투자분석(천원)"/>
      <sheetName val="4_2유효폭의_계산"/>
      <sheetName val="201동 산출근거"/>
      <sheetName val="철거산출근거"/>
      <sheetName val="경비2내역"/>
      <sheetName val="품셈TABLE"/>
      <sheetName val="교각계산"/>
      <sheetName val="손익분석"/>
      <sheetName val="부서 Code"/>
      <sheetName val="구간별관경"/>
      <sheetName val="9902"/>
      <sheetName val="데이타"/>
      <sheetName val="대전-교대(A1-A2)"/>
      <sheetName val="공사기초자료"/>
      <sheetName val="회사기초자료"/>
      <sheetName val="Currency"/>
      <sheetName val="을지-내역서"/>
      <sheetName val="집계"/>
      <sheetName val="RE9604"/>
      <sheetName val="카"/>
      <sheetName val="7.PILE  (돌출)"/>
      <sheetName val="현장배치"/>
      <sheetName val="밸브설치"/>
      <sheetName val="금액내역서"/>
      <sheetName val="CTEMCOST"/>
      <sheetName val="일위대가"/>
      <sheetName val="P.M 별"/>
      <sheetName val="인력(현장,직원)"/>
      <sheetName val="1TL종점(1)"/>
      <sheetName val="일위대가표"/>
      <sheetName val="냉천부속동"/>
      <sheetName val="2000년 공정표"/>
      <sheetName val="DB"/>
      <sheetName val="BQMPALOC"/>
      <sheetName val="물량표S"/>
      <sheetName val="Recap"/>
      <sheetName val="INPUT"/>
      <sheetName val="입고현황(전체)"/>
      <sheetName val="화전내"/>
      <sheetName val="건축내역서"/>
      <sheetName val="업무처리전"/>
      <sheetName val="실행(표지,갑,을)"/>
      <sheetName val="연돌일위집계"/>
      <sheetName val="도급실행(본관-주차장)"/>
      <sheetName val="울산자동제어"/>
      <sheetName val="견적서"/>
      <sheetName val="수리결과"/>
      <sheetName val="Assumption"/>
      <sheetName val="기준"/>
      <sheetName val="Eq. Mobilization"/>
      <sheetName val="수목표준대가"/>
      <sheetName val="Macro7"/>
      <sheetName val="소비자가"/>
      <sheetName val="DHEQSUPT"/>
      <sheetName val="울산시산표"/>
      <sheetName val="loading"/>
      <sheetName val="일반부표"/>
      <sheetName val="UNIT-QT"/>
      <sheetName val="코드"/>
      <sheetName val="검토내역(갑)"/>
      <sheetName val="형틀공사"/>
      <sheetName val="노임단가"/>
      <sheetName val="코드표"/>
      <sheetName val="노무비"/>
      <sheetName val="정공공사"/>
      <sheetName val="3-1.건축공사(내역서)"/>
      <sheetName val="사업수지"/>
      <sheetName val="Sheet17"/>
      <sheetName val="B"/>
      <sheetName val="을"/>
      <sheetName val="6호기"/>
      <sheetName val="24"/>
      <sheetName val="25"/>
      <sheetName val="26"/>
      <sheetName val="27"/>
      <sheetName val="28"/>
      <sheetName val="가시설흙막이"/>
      <sheetName val="구분자"/>
      <sheetName val="부대tu"/>
      <sheetName val="간접경상비"/>
      <sheetName val="전기변내역"/>
      <sheetName val="청산공사"/>
      <sheetName val="CAL1"/>
      <sheetName val="토목주소"/>
      <sheetName val="시산표"/>
      <sheetName val=""/>
      <sheetName val="지적항목분류"/>
      <sheetName val="골조"/>
      <sheetName val="설계내역서"/>
      <sheetName val="실행"/>
      <sheetName val="PAINT"/>
      <sheetName val="(C)원내역"/>
      <sheetName val="대운산출"/>
      <sheetName val="갑지(추정)"/>
      <sheetName val="병-2(PS)"/>
      <sheetName val="병-3(현장경비)"/>
      <sheetName val="Noname 1"/>
      <sheetName val="Noname 2"/>
      <sheetName val="Noname 3"/>
      <sheetName val="Noname 4"/>
      <sheetName val="Noname 5"/>
      <sheetName val="Noname 6"/>
      <sheetName val="Noname 7"/>
      <sheetName val="Noname 8"/>
      <sheetName val="Noname 9"/>
      <sheetName val="Noname 10"/>
      <sheetName val="Noname 11"/>
      <sheetName val="Noname 12"/>
      <sheetName val="Noname 13"/>
      <sheetName val="Noname 14"/>
      <sheetName val="Noname 15"/>
      <sheetName val="Noname 16"/>
      <sheetName val="Noname 17"/>
      <sheetName val="Noname 18"/>
      <sheetName val="Noname 19"/>
      <sheetName val="Noname 20"/>
      <sheetName val="Noname 21"/>
      <sheetName val="Noname 22"/>
      <sheetName val="Noname 23"/>
      <sheetName val="직접인건비"/>
      <sheetName val="공비대비"/>
      <sheetName val="직접경비"/>
      <sheetName val="D분개장데이타"/>
      <sheetName val="Tenants"/>
      <sheetName val="1062-X방향 "/>
      <sheetName val="특수선일위대가"/>
      <sheetName val="drum"/>
      <sheetName val="자재단가"/>
      <sheetName val="철근단면적"/>
      <sheetName val="플랜트 설치"/>
      <sheetName val="주관사업"/>
      <sheetName val="98지급계획"/>
      <sheetName val="은행"/>
      <sheetName val="명부"/>
      <sheetName val="9.품셈"/>
      <sheetName val="배수내역"/>
      <sheetName val="COVER"/>
      <sheetName val="갑지"/>
      <sheetName val="설산1.나"/>
      <sheetName val="본사S"/>
      <sheetName val="적심사표"/>
      <sheetName val="RD제품개발투자비(매가)"/>
      <sheetName val="Macro(차단기)"/>
      <sheetName val="FAB별"/>
      <sheetName val="공사비증감"/>
      <sheetName val="01"/>
      <sheetName val="대비표"/>
      <sheetName val="산근"/>
      <sheetName val="간접비"/>
      <sheetName val="기성내역"/>
      <sheetName val="00건설추정대차대조표"/>
      <sheetName val="TOWER_10TON5"/>
      <sheetName val="TOWER_12TON5"/>
      <sheetName val="JIB_CRANE,HOIST5"/>
      <sheetName val="JIB_CRANE_HOIST5"/>
      <sheetName val="현장별_손익자료3"/>
      <sheetName val="현장관리비_산출내역2"/>
      <sheetName val="예산_대_실투입(안전제외)1"/>
      <sheetName val="급여_상승현황1"/>
      <sheetName val="3_공종별투자분석(천원)1"/>
      <sheetName val="4_2유효폭의_계산1"/>
      <sheetName val="입찰내역_발주처_양식"/>
      <sheetName val="201동_산출근거"/>
      <sheetName val="6PILE__(돌출)"/>
      <sheetName val="부서_Code"/>
      <sheetName val="7_PILE__(돌출)"/>
      <sheetName val="P_M_별"/>
      <sheetName val="Eq__Mobilization"/>
      <sheetName val="2000년_공정표"/>
      <sheetName val="3-1_건축공사(내역서)"/>
      <sheetName val="Noname_1"/>
      <sheetName val="Noname_2"/>
      <sheetName val="Noname_3"/>
      <sheetName val="Noname_4"/>
      <sheetName val="Noname_5"/>
      <sheetName val="Noname_6"/>
      <sheetName val="Noname_7"/>
      <sheetName val="Noname_8"/>
      <sheetName val="Noname_9"/>
      <sheetName val="Noname_10"/>
      <sheetName val="Noname_11"/>
      <sheetName val="Noname_12"/>
      <sheetName val="Noname_13"/>
      <sheetName val="Noname_14"/>
      <sheetName val="Noname_15"/>
      <sheetName val="Noname_16"/>
      <sheetName val="Noname_17"/>
      <sheetName val="Noname_18"/>
      <sheetName val="Noname_19"/>
      <sheetName val="Noname_20"/>
      <sheetName val="Noname_21"/>
      <sheetName val="Noname_22"/>
      <sheetName val="Noname_23"/>
      <sheetName val="1062-X방향_"/>
      <sheetName val="플랜트_설치"/>
      <sheetName val="9_품셈"/>
      <sheetName val="TOWER_10TON6"/>
      <sheetName val="TOWER_12TON6"/>
      <sheetName val="JIB_CRANE,HOIST6"/>
      <sheetName val="JIB_CRANE_HOIST6"/>
      <sheetName val="현장별_손익자료4"/>
      <sheetName val="현장관리비_산출내역3"/>
      <sheetName val="예산_대_실투입(안전제외)2"/>
      <sheetName val="급여_상승현황2"/>
      <sheetName val="3_공종별투자분석(천원)2"/>
      <sheetName val="4_2유효폭의_계산2"/>
      <sheetName val="입찰내역_발주처_양식1"/>
      <sheetName val="201동_산출근거1"/>
      <sheetName val="6PILE__(돌출)1"/>
      <sheetName val="부서_Code1"/>
      <sheetName val="7_PILE__(돌출)1"/>
      <sheetName val="P_M_별1"/>
      <sheetName val="Eq__Mobilization1"/>
      <sheetName val="2000년_공정표1"/>
      <sheetName val="3-1_건축공사(내역서)1"/>
      <sheetName val="Noname_110"/>
      <sheetName val="Noname_24"/>
      <sheetName val="Noname_31"/>
      <sheetName val="Noname_41"/>
      <sheetName val="Noname_51"/>
      <sheetName val="Noname_61"/>
      <sheetName val="Noname_71"/>
      <sheetName val="Noname_81"/>
      <sheetName val="Noname_91"/>
      <sheetName val="Noname_101"/>
      <sheetName val="Noname_111"/>
      <sheetName val="Noname_121"/>
      <sheetName val="Noname_131"/>
      <sheetName val="Noname_141"/>
      <sheetName val="Noname_151"/>
      <sheetName val="Noname_161"/>
      <sheetName val="Noname_171"/>
      <sheetName val="Noname_181"/>
      <sheetName val="Noname_191"/>
      <sheetName val="Noname_201"/>
      <sheetName val="Noname_211"/>
      <sheetName val="Noname_221"/>
      <sheetName val="Noname_231"/>
      <sheetName val="1062-X방향_1"/>
      <sheetName val="플랜트_설치1"/>
      <sheetName val="9_품셈1"/>
      <sheetName val="설산1_나"/>
      <sheetName val="TOWER_10TON7"/>
      <sheetName val="TOWER_12TON7"/>
      <sheetName val="JIB_CRANE,HOIST7"/>
      <sheetName val="JIB_CRANE_HOIST7"/>
      <sheetName val="현장별_손익자료5"/>
      <sheetName val="현장관리비_산출내역4"/>
      <sheetName val="예산_대_실투입(안전제외)3"/>
      <sheetName val="급여_상승현황3"/>
      <sheetName val="3_공종별투자분석(천원)3"/>
      <sheetName val="4_2유효폭의_계산3"/>
      <sheetName val="입찰내역_발주처_양식2"/>
      <sheetName val="201동_산출근거2"/>
      <sheetName val="6PILE__(돌출)2"/>
      <sheetName val="부서_Code2"/>
      <sheetName val="7_PILE__(돌출)2"/>
      <sheetName val="P_M_별2"/>
      <sheetName val="Eq__Mobilization2"/>
      <sheetName val="2000년_공정표2"/>
      <sheetName val="3-1_건축공사(내역서)2"/>
      <sheetName val="Noname_112"/>
      <sheetName val="Noname_25"/>
      <sheetName val="Noname_32"/>
      <sheetName val="Noname_42"/>
      <sheetName val="Noname_52"/>
      <sheetName val="Noname_62"/>
      <sheetName val="Noname_72"/>
      <sheetName val="Noname_82"/>
      <sheetName val="Noname_92"/>
      <sheetName val="Noname_102"/>
      <sheetName val="Noname_113"/>
      <sheetName val="Noname_122"/>
      <sheetName val="Noname_132"/>
      <sheetName val="Noname_142"/>
      <sheetName val="Noname_152"/>
      <sheetName val="Noname_162"/>
      <sheetName val="Noname_172"/>
      <sheetName val="Noname_182"/>
      <sheetName val="Noname_192"/>
      <sheetName val="Noname_202"/>
      <sheetName val="Noname_212"/>
      <sheetName val="Noname_222"/>
      <sheetName val="Noname_232"/>
      <sheetName val="1062-X방향_2"/>
      <sheetName val="플랜트_설치2"/>
      <sheetName val="9_품셈2"/>
      <sheetName val="설산1_나1"/>
      <sheetName val="감가상각비등 명세"/>
      <sheetName val="토지"/>
      <sheetName val="총괄표"/>
      <sheetName val="14 장비소요계획"/>
      <sheetName val="chitimc"/>
      <sheetName val="dongia (2)"/>
      <sheetName val="LKVL-CK-HT-GD1"/>
      <sheetName val="giathanh1"/>
      <sheetName val="THPDMoi  (2)"/>
      <sheetName val="gtrinh"/>
      <sheetName val="phuluc1"/>
      <sheetName val="TONG HOP VL-NC"/>
      <sheetName val="lam-moi"/>
      <sheetName val="chitiet"/>
      <sheetName val="TONGKE3p "/>
      <sheetName val="Du_lieu"/>
      <sheetName val="TH VL, NC, DDHT Thanhphuoc"/>
      <sheetName val="DONGIA"/>
      <sheetName val="thao-go"/>
      <sheetName val="DON GIA"/>
      <sheetName val="TONGKE-HT"/>
      <sheetName val="DG"/>
      <sheetName val="dtxl"/>
      <sheetName val="t-h HA THE"/>
      <sheetName val="CHITIET VL-NC-TT -1p"/>
      <sheetName val="TONG HOP VL-NC TT"/>
      <sheetName val="TNHCHINH"/>
      <sheetName val="TH XL"/>
      <sheetName val="CHITIET VL-NC"/>
      <sheetName val="VC"/>
      <sheetName val="Tiepdia"/>
      <sheetName val="CHITIET VL-NC-TT-3p"/>
      <sheetName val="TDTKP"/>
      <sheetName val="TDTKP1"/>
      <sheetName val="KPVC-BD "/>
      <sheetName val="VCV-BE-TONG"/>
      <sheetName val="전선 및 전선관"/>
      <sheetName val="Quantity"/>
      <sheetName val="분전함신설"/>
      <sheetName val="접지1종"/>
      <sheetName val="송부용"/>
      <sheetName val="공사비예산서(토목분)"/>
      <sheetName val="총물량"/>
      <sheetName val="관리,공감"/>
      <sheetName val="4-10"/>
      <sheetName val="공정"/>
      <sheetName val="지급어음(일별)"/>
      <sheetName val="횡배수관집현황(2공구)"/>
      <sheetName val="간접비총괄"/>
      <sheetName val="결과조달"/>
      <sheetName val="설계명세"/>
      <sheetName val="개산공사비"/>
      <sheetName val="부안일위"/>
      <sheetName val="기타"/>
      <sheetName val="기준자"/>
      <sheetName val="관리항목"/>
      <sheetName val="조견표"/>
      <sheetName val="Items"/>
      <sheetName val="Results from Nov 98"/>
      <sheetName val="관리"/>
      <sheetName val="manage"/>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sheetData sheetId="329"/>
      <sheetData sheetId="330"/>
      <sheetData sheetId="331"/>
      <sheetData sheetId="332"/>
      <sheetData sheetId="333"/>
      <sheetData sheetId="334"/>
      <sheetData sheetId="335"/>
      <sheetData sheetId="336"/>
      <sheetData sheetId="337"/>
      <sheetData sheetId="338"/>
      <sheetData sheetId="339"/>
      <sheetData sheetId="340"/>
      <sheetData sheetId="341"/>
      <sheetData sheetId="342"/>
      <sheetData sheetId="343"/>
      <sheetData sheetId="344"/>
      <sheetData sheetId="345"/>
      <sheetData sheetId="346"/>
      <sheetData sheetId="347"/>
      <sheetData sheetId="348"/>
      <sheetData sheetId="349"/>
      <sheetData sheetId="350"/>
      <sheetData sheetId="351"/>
      <sheetData sheetId="352"/>
      <sheetData sheetId="353"/>
      <sheetData sheetId="354"/>
      <sheetData sheetId="355"/>
      <sheetData sheetId="356"/>
      <sheetData sheetId="357"/>
      <sheetData sheetId="358"/>
      <sheetData sheetId="359"/>
      <sheetData sheetId="360"/>
      <sheetData sheetId="361"/>
      <sheetData sheetId="362"/>
      <sheetData sheetId="363"/>
      <sheetData sheetId="364"/>
      <sheetData sheetId="365"/>
      <sheetData sheetId="366"/>
      <sheetData sheetId="367"/>
      <sheetData sheetId="368"/>
      <sheetData sheetId="369"/>
      <sheetData sheetId="370"/>
      <sheetData sheetId="371"/>
      <sheetData sheetId="372"/>
      <sheetData sheetId="373"/>
      <sheetData sheetId="374"/>
      <sheetData sheetId="375"/>
      <sheetData sheetId="376"/>
      <sheetData sheetId="377"/>
      <sheetData sheetId="378"/>
      <sheetData sheetId="379"/>
      <sheetData sheetId="380"/>
      <sheetData sheetId="381"/>
      <sheetData sheetId="382"/>
      <sheetData sheetId="383"/>
      <sheetData sheetId="384"/>
      <sheetData sheetId="385"/>
      <sheetData sheetId="386"/>
      <sheetData sheetId="387"/>
      <sheetData sheetId="388"/>
      <sheetData sheetId="389"/>
      <sheetData sheetId="390"/>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sheetData sheetId="418"/>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XXXXX"/>
      <sheetName val="기초"/>
      <sheetName val="건축"/>
      <sheetName val="지표"/>
      <sheetName val="임대"/>
      <sheetName val="공정"/>
      <sheetName val="건설기간분석"/>
      <sheetName val="운영기간분석"/>
      <sheetName val="A생명98"/>
      <sheetName val="Dash Board"/>
      <sheetName val="TOWER 12TON"/>
      <sheetName val="TOWER 10TON"/>
      <sheetName val="JIB CRANE,HOIST"/>
      <sheetName val="목표세부명세"/>
      <sheetName val="Assumption"/>
      <sheetName val="5층 건축물대장 등기 예정"/>
      <sheetName val="층별면적표-060411-5층 통합"/>
      <sheetName val="서피070607"/>
      <sheetName val="2F 회의실견적(5_14 일대)"/>
      <sheetName val="재원조달"/>
      <sheetName val="손익"/>
      <sheetName val="현금흐름"/>
      <sheetName val="Utility Usage YTN TOWER"/>
      <sheetName val="노무비"/>
      <sheetName val="시산표"/>
      <sheetName val="미납중도금후납시"/>
      <sheetName val="정부노임단가"/>
      <sheetName val="Base"/>
      <sheetName val="대구"/>
      <sheetName val="용연"/>
      <sheetName val="울산"/>
      <sheetName val="#REF"/>
      <sheetName val="구미"/>
      <sheetName val="광주"/>
      <sheetName val="언양"/>
      <sheetName val="진천"/>
      <sheetName val="중연"/>
      <sheetName val="Dash_Board"/>
      <sheetName val="TOWER_12TON"/>
      <sheetName val="TOWER_10TON"/>
      <sheetName val="JIB_CRANE,HOIST"/>
      <sheetName val="5층_건축물대장_등기_예정"/>
      <sheetName val="층별면적표-060411-5층_통합"/>
      <sheetName val="대출금_분양율별민감도_토지비수익권"/>
      <sheetName val="손익분석"/>
      <sheetName val="사업보고"/>
      <sheetName val="CF"/>
      <sheetName val="간이연락"/>
      <sheetName val="1ST"/>
      <sheetName val="Budget"/>
      <sheetName val="Dropdown list"/>
      <sheetName val="유림골조"/>
      <sheetName val="공통비(전체)"/>
      <sheetName val="유림총괄"/>
      <sheetName val="master"/>
      <sheetName val="Prices"/>
      <sheetName val="仲介業者"/>
      <sheetName val="A"/>
      <sheetName val="DataWP"/>
      <sheetName val="Dash_Board1"/>
      <sheetName val="TOWER_12TON1"/>
      <sheetName val="TOWER_10TON1"/>
      <sheetName val="JIB_CRANE,HOIST1"/>
      <sheetName val="5층_건축물대장_등기_예정1"/>
      <sheetName val="층별면적표-060411-5층_통합1"/>
      <sheetName val="2F_회의실견적(5_14_일대)"/>
      <sheetName val="Utility_Usage_YTN_TOWER"/>
      <sheetName val="일위대가(계측기설치)"/>
      <sheetName val="BCPAB"/>
      <sheetName val="fy09 ~12 erp"/>
      <sheetName val="fy09 erp"/>
      <sheetName val="Sheet1"/>
      <sheetName val="list"/>
      <sheetName val="재료비"/>
    </sheetNames>
    <sheetDataSet>
      <sheetData sheetId="0" refreshError="1"/>
      <sheetData sheetId="1" refreshError="1"/>
      <sheetData sheetId="2" refreshError="1"/>
      <sheetData sheetId="3" refreshError="1"/>
      <sheetData sheetId="4" refreshError="1"/>
      <sheetData sheetId="5" refreshError="1">
        <row r="25">
          <cell r="AH25" t="str">
            <v xml:space="preserve"> 진 척 도</v>
          </cell>
        </row>
        <row r="26">
          <cell r="AH26" t="str">
            <v xml:space="preserve"> 공통가설</v>
          </cell>
        </row>
        <row r="27">
          <cell r="AH27" t="str">
            <v xml:space="preserve"> 건축공사</v>
          </cell>
        </row>
        <row r="28">
          <cell r="AH28" t="str">
            <v xml:space="preserve"> 설비공사</v>
          </cell>
        </row>
        <row r="29">
          <cell r="AH29" t="str">
            <v xml:space="preserve"> 전기공사</v>
          </cell>
        </row>
        <row r="30">
          <cell r="AH30" t="str">
            <v xml:space="preserve"> 현관비등</v>
          </cell>
        </row>
        <row r="31">
          <cell r="AH31" t="str">
            <v>누계공정</v>
          </cell>
        </row>
        <row r="33">
          <cell r="AH33" t="str">
            <v xml:space="preserve">  구  분</v>
          </cell>
        </row>
        <row r="34">
          <cell r="AH34" t="str">
            <v xml:space="preserve"> 진 척 도</v>
          </cell>
        </row>
        <row r="35">
          <cell r="AH35" t="str">
            <v xml:space="preserve"> 공통가설</v>
          </cell>
        </row>
        <row r="36">
          <cell r="AH36" t="str">
            <v xml:space="preserve"> 건축공사</v>
          </cell>
        </row>
        <row r="37">
          <cell r="AH37" t="str">
            <v xml:space="preserve"> 설비공사</v>
          </cell>
        </row>
      </sheetData>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sheetData sheetId="60"/>
      <sheetData sheetId="61"/>
      <sheetData sheetId="62"/>
      <sheetData sheetId="63"/>
      <sheetData sheetId="64"/>
      <sheetData sheetId="65"/>
      <sheetData sheetId="66"/>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VXXXXX"/>
      <sheetName val="기초"/>
      <sheetName val="건축"/>
      <sheetName val="지표"/>
      <sheetName val="임대"/>
      <sheetName val="공정"/>
      <sheetName val="건설기간분석"/>
      <sheetName val="운영기간분석"/>
      <sheetName val="유림골조"/>
      <sheetName val="공통비(전체)"/>
      <sheetName val="유림총괄"/>
      <sheetName val="재무가정"/>
      <sheetName val="은행"/>
    </sheetNames>
    <sheetDataSet>
      <sheetData sheetId="0" refreshError="1"/>
      <sheetData sheetId="1"/>
      <sheetData sheetId="2"/>
      <sheetData sheetId="3"/>
      <sheetData sheetId="4"/>
      <sheetData sheetId="5">
        <row r="25">
          <cell r="AH25" t="str">
            <v xml:space="preserve"> 진 척 도</v>
          </cell>
        </row>
        <row r="26">
          <cell r="AH26" t="str">
            <v xml:space="preserve"> 공통가설</v>
          </cell>
        </row>
        <row r="27">
          <cell r="AH27" t="str">
            <v xml:space="preserve"> 건축공사</v>
          </cell>
        </row>
        <row r="28">
          <cell r="AH28" t="str">
            <v xml:space="preserve"> 설비공사</v>
          </cell>
        </row>
        <row r="29">
          <cell r="AH29" t="str">
            <v xml:space="preserve"> 전기공사</v>
          </cell>
        </row>
        <row r="30">
          <cell r="AH30" t="str">
            <v xml:space="preserve"> 현관비등</v>
          </cell>
        </row>
        <row r="31">
          <cell r="AH31" t="str">
            <v>누계공정</v>
          </cell>
        </row>
        <row r="33">
          <cell r="AH33" t="str">
            <v xml:space="preserve">  구  분</v>
          </cell>
        </row>
        <row r="34">
          <cell r="AH34" t="str">
            <v xml:space="preserve"> 진 척 도</v>
          </cell>
        </row>
        <row r="35">
          <cell r="AH35" t="str">
            <v xml:space="preserve"> 공통가설</v>
          </cell>
        </row>
        <row r="36">
          <cell r="AH36" t="str">
            <v xml:space="preserve"> 건축공사</v>
          </cell>
        </row>
        <row r="37">
          <cell r="AH37" t="str">
            <v xml:space="preserve"> 설비공사</v>
          </cell>
        </row>
      </sheetData>
      <sheetData sheetId="6"/>
      <sheetData sheetId="7"/>
      <sheetData sheetId="8" refreshError="1"/>
      <sheetData sheetId="9" refreshError="1"/>
      <sheetData sheetId="10" refreshError="1"/>
      <sheetData sheetId="11" refreshError="1"/>
      <sheetData sheetId="12"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방배2E"/>
      <sheetName val="A"/>
      <sheetName val="X"/>
      <sheetName val="일반"/>
      <sheetName val="현금"/>
      <sheetName val="연체료계산"/>
      <sheetName val="1.설계조건"/>
    </sheetNames>
    <sheetDataSet>
      <sheetData sheetId="0"/>
      <sheetData sheetId="1"/>
      <sheetData sheetId="2"/>
      <sheetData sheetId="3" refreshError="1"/>
      <sheetData sheetId="4" refreshError="1"/>
      <sheetData sheetId="5" refreshError="1"/>
      <sheetData sheetId="6"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양식"/>
      <sheetName val="총괄"/>
      <sheetName val="가리봉pro"/>
      <sheetName val="복합pro"/>
      <sheetName val="연립pro"/>
      <sheetName val="부산1pro"/>
      <sheetName val="경상집계"/>
      <sheetName val="경상총괄"/>
      <sheetName val="수지총괄"/>
      <sheetName val="수지집계"/>
      <sheetName val="양도손익"/>
      <sheetName val="양도손익총괄"/>
      <sheetName val="양도수지집계"/>
      <sheetName val="양도수지총괄"/>
      <sheetName val="부산2pro"/>
      <sheetName val="석관pro"/>
      <sheetName val="수원pro"/>
      <sheetName val="은행pro"/>
      <sheetName val="잠원PRO"/>
      <sheetName val="홍은pro"/>
      <sheetName val="원주pro"/>
      <sheetName val="이천pro"/>
      <sheetName val="창현pro"/>
      <sheetName val="춘천pro"/>
      <sheetName val="오남2차pro"/>
      <sheetName val="창신PRO"/>
      <sheetName val="잠원"/>
      <sheetName val="서곡PRO"/>
      <sheetName val="연성pro"/>
      <sheetName val="팔달pro"/>
      <sheetName val="병점PRO"/>
      <sheetName val="가리봉동"/>
      <sheetName val="석관"/>
      <sheetName val="홍은"/>
      <sheetName val="이천"/>
      <sheetName val="부산"/>
      <sheetName val="부산2"/>
      <sheetName val="창현"/>
      <sheetName val="수원"/>
      <sheetName val="은행"/>
      <sheetName val="공통가설"/>
      <sheetName val="현장관리비"/>
      <sheetName val="01"/>
      <sheetName val="갑지1"/>
      <sheetName val="백데이터"/>
      <sheetName val="대차대조표"/>
      <sheetName val="기계"/>
      <sheetName val="손익"/>
      <sheetName val="사전업무일지"/>
      <sheetName val="관심고객 지역별 분석"/>
      <sheetName val="이름표"/>
      <sheetName val="자금흐름표_SAC_작업"/>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역삼원룸골계"/>
      <sheetName val="유치원"/>
      <sheetName val="방이골계"/>
      <sheetName val="범우연립"/>
      <sheetName val="현대중공업"/>
      <sheetName val="현대중공업 (2)"/>
      <sheetName val="평촌터미널"/>
      <sheetName val="창천동오피스텔"/>
      <sheetName val="덕소주상복합"/>
      <sheetName val="울산반구동"/>
      <sheetName val="부산제일극장"/>
      <sheetName val="목동주상복합"/>
      <sheetName val="FAX양식"/>
      <sheetName val="ELECTRIC"/>
      <sheetName val="SCHEDULE"/>
      <sheetName val="#REF"/>
      <sheetName val="차액보증"/>
      <sheetName val="유림골조"/>
      <sheetName val="비교1"/>
      <sheetName val="전계가"/>
      <sheetName val="전기"/>
      <sheetName val="갑지"/>
      <sheetName val="Sheet5"/>
      <sheetName val="노임단가"/>
      <sheetName val="기본일위"/>
      <sheetName val="TTL"/>
      <sheetName val="골조계수"/>
      <sheetName val="목표세부명세"/>
      <sheetName val="중기사용료"/>
      <sheetName val="경비"/>
      <sheetName val="PROJECT BRIEF(EX.NEW)"/>
      <sheetName val="Eq. Mobilization"/>
      <sheetName val="Sheet1"/>
      <sheetName val="설직재-1"/>
      <sheetName val="N賃率-職"/>
      <sheetName val="일위"/>
      <sheetName val="내역서2안"/>
      <sheetName val="패널"/>
      <sheetName val="홍보비디오"/>
      <sheetName val="직노"/>
      <sheetName val="I一般比"/>
      <sheetName val="실행내역"/>
      <sheetName val="제직재"/>
      <sheetName val="방배2E"/>
      <sheetName val="S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Set>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DEX"/>
      <sheetName val="PLANT"/>
      <sheetName val="SUM FSBLT"/>
      <sheetName val="VOLSUM"/>
      <sheetName val="WPSUM"/>
      <sheetName val="PCWBS_MAP"/>
      <sheetName val="WKFRM1"/>
      <sheetName val="WKFRM2"/>
      <sheetName val="SQNC-1"/>
      <sheetName val="SQNC-2"/>
      <sheetName val="SQNC-3"/>
      <sheetName val="MILSTN"/>
      <sheetName val="MASTSCH"/>
      <sheetName val="MOBALL"/>
      <sheetName val="BQMPALOC"/>
      <sheetName val="CRDIDX"/>
      <sheetName val="PROGALL"/>
      <sheetName val="2538M"/>
      <sheetName val="ORGZN"/>
      <sheetName val="STAFSCH"/>
      <sheetName val="SUB_Map"/>
      <sheetName val="PERFEVA"/>
      <sheetName val="PIPE50%A"/>
      <sheetName val="PIPE50%B"/>
      <sheetName val="STFMHANZ"/>
      <sheetName val="CMHANZ"/>
      <sheetName val="MPDATA1000"/>
      <sheetName val="MPDATA2000"/>
      <sheetName val="MPDATA3000"/>
      <sheetName val="MPDATA4000"/>
      <sheetName val="MPDATA5000"/>
      <sheetName val="MPDATA6000"/>
      <sheetName val="MPDATA7000"/>
      <sheetName val="MPDATA8000"/>
      <sheetName val="MPDATA9_A_B"/>
      <sheetName val="BQCONV"/>
      <sheetName val="SCINF1"/>
      <sheetName val="SCINF2"/>
      <sheetName val="KNOWHOW_MEMO"/>
      <sheetName val="EQUIPMOB"/>
      <sheetName val="TEMP_FAC"/>
      <sheetName val="7000(rev)"/>
      <sheetName val="SUMMARY"/>
      <sheetName val="3000-A"/>
      <sheetName val="5000-A"/>
      <sheetName val="6000-A"/>
      <sheetName val="9000-A"/>
      <sheetName val="管道资料"/>
      <sheetName val="9DATA"/>
      <sheetName val="A000-A"/>
      <sheetName val="0DATA"/>
      <sheetName val="9管道资料"/>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sheetData sheetId="36" refreshError="1"/>
      <sheetData sheetId="37" refreshError="1"/>
      <sheetData sheetId="38" refreshError="1"/>
      <sheetData sheetId="39" refreshError="1"/>
      <sheetData sheetId="40" refreshError="1"/>
      <sheetData sheetId="41"/>
      <sheetData sheetId="42"/>
      <sheetData sheetId="43"/>
      <sheetData sheetId="44"/>
      <sheetData sheetId="45"/>
      <sheetData sheetId="46"/>
      <sheetData sheetId="47"/>
      <sheetData sheetId="48"/>
      <sheetData sheetId="49"/>
      <sheetData sheetId="50"/>
      <sheetData sheetId="51"/>
    </sheetDataSet>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970715양식"/>
      <sheetName val="유림골조"/>
      <sheetName val="공통부대비"/>
      <sheetName val="태화42 "/>
      <sheetName val="현장경상비"/>
      <sheetName val="마감사양"/>
      <sheetName val="부산제일극장"/>
      <sheetName val="금액내역서"/>
      <sheetName val="동해title"/>
      <sheetName val="와동25-3(변경)"/>
      <sheetName val="A3.공사비 검토"/>
      <sheetName val="C3.토목_옹벽"/>
      <sheetName val="공통비(전체)"/>
      <sheetName val="새공통(96임금인상기준)"/>
      <sheetName val="유림총괄"/>
      <sheetName val="비교1"/>
      <sheetName val="A6.샤시등"/>
      <sheetName val="부대내역"/>
      <sheetName val="Sheet2"/>
      <sheetName val="#REF"/>
      <sheetName val="Sheet5"/>
      <sheetName val="지우지마세요"/>
      <sheetName val="공문"/>
      <sheetName val="손익분석"/>
      <sheetName val="매매"/>
      <sheetName val="설건집계"/>
      <sheetName val="중기사용료"/>
      <sheetName val="일위대가-01"/>
      <sheetName val="목표세부명세"/>
      <sheetName val="BSD (2)"/>
      <sheetName val="공사입력"/>
      <sheetName val="구분현황"/>
      <sheetName val="공정표"/>
      <sheetName val="지수산정"/>
      <sheetName val="금융"/>
      <sheetName val="CTEMCOST"/>
      <sheetName val="ELECTRIC"/>
      <sheetName val="SCHEDULE"/>
      <sheetName val="금융비용"/>
      <sheetName val="결과조달"/>
      <sheetName val="TRE TABLE"/>
      <sheetName val="DATA"/>
      <sheetName val="신대방33(적용)"/>
      <sheetName val="일위대가목차"/>
      <sheetName val="전기"/>
      <sheetName val="프랜트면허"/>
      <sheetName val="hvac(제어동)"/>
      <sheetName val="정부노임단가"/>
      <sheetName val="업무처리전"/>
      <sheetName val="1062-X방향 "/>
      <sheetName val="예가표"/>
      <sheetName val="갑지(추정)"/>
      <sheetName val="태화42_"/>
      <sheetName val="TRE_TABLE"/>
      <sheetName val="A3_공사비_검토"/>
      <sheetName val="C3_토목_옹벽"/>
      <sheetName val="A6_샤시등"/>
      <sheetName val="BSD_(2)"/>
      <sheetName val="1062-X방향_"/>
      <sheetName val="고창방향"/>
      <sheetName val="개요입력"/>
      <sheetName val="수량기준"/>
      <sheetName val="단가기준"/>
      <sheetName val="6PILE  (돌출)"/>
      <sheetName val="별표총괄"/>
      <sheetName val="터파기및재료"/>
      <sheetName val="내2"/>
      <sheetName val="할증"/>
      <sheetName val="총물량"/>
      <sheetName val="여흥"/>
      <sheetName val="DRUM"/>
      <sheetName val="표준할증"/>
      <sheetName val="임원,관리,별도"/>
      <sheetName val="0314재고확인"/>
      <sheetName val="Sheet1"/>
      <sheetName val="CDTK"/>
      <sheetName val="예산실적전체당월"/>
      <sheetName val="설계조건"/>
      <sheetName val="대비표(토공1안)"/>
      <sheetName val="수리결과"/>
      <sheetName val="하수급견적대비"/>
      <sheetName val="인사자료총집계"/>
      <sheetName val="자재단가"/>
      <sheetName val="설계내역"/>
      <sheetName val="F4-F7"/>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sheetData sheetId="50" refreshError="1"/>
      <sheetData sheetId="51"/>
      <sheetData sheetId="52"/>
      <sheetData sheetId="53"/>
      <sheetData sheetId="54"/>
      <sheetData sheetId="55"/>
      <sheetData sheetId="56"/>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Set>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
      <sheetName val="B"/>
      <sheetName val="봉투 표지"/>
      <sheetName val="표지"/>
      <sheetName val="간지"/>
      <sheetName val="공문 (영문)"/>
      <sheetName val="SUMMARY"/>
      <sheetName val="TOT"/>
      <sheetName val="TOT (2)"/>
      <sheetName val="BREAKDOWN"/>
      <sheetName val="D"/>
      <sheetName val="G"/>
      <sheetName val="J"/>
      <sheetName val="M"/>
      <sheetName val="P"/>
      <sheetName val="Sheet1"/>
      <sheetName val="자재"/>
      <sheetName val="상세내역"/>
      <sheetName val="상세내역 (2)"/>
      <sheetName val="상세내역 (3)"/>
      <sheetName val="INDIRECT "/>
      <sheetName val="SCHEDULE"/>
      <sheetName val="EQP'T SCH"/>
      <sheetName val="MAN POWER"/>
      <sheetName val="ORGANIZATION"/>
      <sheetName val="FACILITY"/>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Instructions"/>
      <sheetName val="Capex"/>
      <sheetName val="Factory Op Statement"/>
      <sheetName val="Reconciliation"/>
      <sheetName val="OtherKPI"/>
    </sheetNames>
    <sheetDataSet>
      <sheetData sheetId="0" refreshError="1"/>
      <sheetData sheetId="1" refreshError="1"/>
      <sheetData sheetId="2" refreshError="1"/>
      <sheetData sheetId="3" refreshError="1"/>
      <sheetData sheetId="4"/>
    </sheetDataSet>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공통비비교"/>
      <sheetName val="공통비총괄표"/>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J01"/>
      <sheetName val="P.M 별"/>
      <sheetName val="15 문제점"/>
      <sheetName val="TOWER 12TON"/>
      <sheetName val="TOWER 10TON"/>
      <sheetName val="내역서01"/>
      <sheetName val="Sheet2 (2)"/>
      <sheetName val="유림총괄"/>
      <sheetName val="95년12월말"/>
      <sheetName val="분개장"/>
      <sheetName val="발주현황"/>
      <sheetName val="조명시설"/>
      <sheetName val="실행철강하도"/>
      <sheetName val="세금자료"/>
      <sheetName val="시행예산"/>
      <sheetName val="유림골조"/>
      <sheetName val="공통부대비"/>
      <sheetName val="현장지지물물량"/>
      <sheetName val="2.1.2예정공정율(칼라)"/>
      <sheetName val="경상"/>
      <sheetName val="일산실행내역"/>
      <sheetName val="#REF"/>
      <sheetName val="표5"/>
      <sheetName val="Code"/>
      <sheetName val="수입"/>
      <sheetName val="MEED"/>
      <sheetName val="CONCRETE"/>
      <sheetName val="노임단가"/>
      <sheetName val="변경요청내역"/>
      <sheetName val="Sheet1"/>
      <sheetName val="P_M_별"/>
      <sheetName val="15_문제점"/>
      <sheetName val="TOWER_12TON"/>
      <sheetName val="TOWER_10TON"/>
      <sheetName val="Sheet2_(2)"/>
      <sheetName val="Eq. Mobilization"/>
      <sheetName val="청산공사"/>
      <sheetName val="attchament-Type of Facilities"/>
      <sheetName val="attchament-Work Trade"/>
      <sheetName val="2.대외공문"/>
      <sheetName val="2_1_2예정공정율(칼라)"/>
      <sheetName val="1.분양면적표"/>
      <sheetName val="3.DATA 입력 쉬트"/>
      <sheetName val="단가_단열재"/>
      <sheetName val="단가할증"/>
      <sheetName val="단가_유리"/>
      <sheetName val="01"/>
      <sheetName val="공정"/>
      <sheetName val="SG"/>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sheetData sheetId="48"/>
      <sheetData sheetId="49"/>
      <sheetData sheetId="50"/>
      <sheetData sheetId="51"/>
      <sheetData sheetId="52" refreshError="1"/>
      <sheetData sheetId="53" refreshError="1"/>
      <sheetData sheetId="54" refreshError="1"/>
      <sheetData sheetId="55" refreshError="1"/>
      <sheetData sheetId="56" refreshError="1"/>
      <sheetData sheetId="57"/>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Set>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
      <sheetName val="Supply"/>
      <sheetName val="Demand"/>
      <sheetName val="Occ"/>
      <sheetName val="ADR"/>
      <sheetName val="Analysis"/>
      <sheetName val="Sheet1"/>
      <sheetName val="calcul"/>
      <sheetName val="Ref"/>
    </sheetNames>
    <sheetDataSet>
      <sheetData sheetId="0" refreshError="1"/>
      <sheetData sheetId="1" refreshError="1"/>
      <sheetData sheetId="2" refreshError="1">
        <row r="33">
          <cell r="G33">
            <v>2005</v>
          </cell>
          <cell r="H33">
            <v>2006</v>
          </cell>
          <cell r="I33">
            <v>2007</v>
          </cell>
          <cell r="J33">
            <v>2008</v>
          </cell>
          <cell r="K33">
            <v>2009</v>
          </cell>
          <cell r="L33">
            <v>2010</v>
          </cell>
        </row>
        <row r="34">
          <cell r="G34">
            <v>1.4999999999999999E-2</v>
          </cell>
          <cell r="H34">
            <v>0.1</v>
          </cell>
          <cell r="I34">
            <v>7.4999999999999997E-2</v>
          </cell>
          <cell r="J34">
            <v>2.5000000000000001E-2</v>
          </cell>
          <cell r="K34">
            <v>2.5000000000000001E-2</v>
          </cell>
          <cell r="L34">
            <v>2.5000000000000001E-2</v>
          </cell>
        </row>
        <row r="35">
          <cell r="G35">
            <v>1.4999999999999999E-2</v>
          </cell>
          <cell r="H35">
            <v>0.1</v>
          </cell>
          <cell r="I35">
            <v>7.4999999999999997E-2</v>
          </cell>
          <cell r="J35">
            <v>2.5000000000000001E-2</v>
          </cell>
          <cell r="K35">
            <v>2.5000000000000001E-2</v>
          </cell>
          <cell r="L35">
            <v>2.5000000000000001E-2</v>
          </cell>
        </row>
        <row r="36">
          <cell r="G36">
            <v>1.4999999999999999E-2</v>
          </cell>
          <cell r="H36">
            <v>0.1</v>
          </cell>
          <cell r="I36">
            <v>7.4999999999999997E-2</v>
          </cell>
          <cell r="J36">
            <v>2.5000000000000001E-2</v>
          </cell>
          <cell r="K36">
            <v>2.5000000000000001E-2</v>
          </cell>
          <cell r="L36">
            <v>2.5000000000000001E-2</v>
          </cell>
        </row>
        <row r="37">
          <cell r="G37">
            <v>0</v>
          </cell>
          <cell r="H37">
            <v>0</v>
          </cell>
          <cell r="I37">
            <v>0</v>
          </cell>
          <cell r="J37">
            <v>0</v>
          </cell>
          <cell r="K37">
            <v>0</v>
          </cell>
          <cell r="L37">
            <v>0</v>
          </cell>
        </row>
      </sheetData>
      <sheetData sheetId="3" refreshError="1">
        <row r="30">
          <cell r="F30">
            <v>2004</v>
          </cell>
          <cell r="G30">
            <v>2005</v>
          </cell>
          <cell r="H30">
            <v>2006</v>
          </cell>
          <cell r="I30">
            <v>2007</v>
          </cell>
          <cell r="J30">
            <v>2008</v>
          </cell>
          <cell r="K30">
            <v>2009</v>
          </cell>
          <cell r="L30">
            <v>2010</v>
          </cell>
          <cell r="M30">
            <v>2011</v>
          </cell>
          <cell r="N30">
            <v>2012</v>
          </cell>
          <cell r="O30">
            <v>2013</v>
          </cell>
          <cell r="P30">
            <v>2014</v>
          </cell>
        </row>
        <row r="38">
          <cell r="G38">
            <v>0.60546266262134185</v>
          </cell>
          <cell r="H38">
            <v>0.62473705222551446</v>
          </cell>
          <cell r="I38">
            <v>0.58551287950362807</v>
          </cell>
          <cell r="J38">
            <v>0.56302099400202599</v>
          </cell>
          <cell r="K38">
            <v>0.57913651984081971</v>
          </cell>
          <cell r="L38">
            <v>0.59342094109234633</v>
          </cell>
          <cell r="M38">
            <v>0.60689874336969907</v>
          </cell>
          <cell r="N38">
            <v>0.61970082363394829</v>
          </cell>
          <cell r="O38">
            <v>0.62871827526166568</v>
          </cell>
          <cell r="P38">
            <v>0.6379618763585424</v>
          </cell>
        </row>
        <row r="94">
          <cell r="F94">
            <v>2004</v>
          </cell>
          <cell r="G94">
            <v>2005</v>
          </cell>
          <cell r="H94">
            <v>2006</v>
          </cell>
          <cell r="I94">
            <v>2007</v>
          </cell>
          <cell r="J94">
            <v>2008</v>
          </cell>
          <cell r="K94">
            <v>2009</v>
          </cell>
          <cell r="L94">
            <v>2010</v>
          </cell>
          <cell r="M94">
            <v>2011</v>
          </cell>
          <cell r="N94">
            <v>2012</v>
          </cell>
          <cell r="O94">
            <v>2013</v>
          </cell>
          <cell r="P94">
            <v>2014</v>
          </cell>
        </row>
        <row r="95">
          <cell r="F95">
            <v>0.80235727283031122</v>
          </cell>
          <cell r="G95">
            <v>0.80235727283031122</v>
          </cell>
          <cell r="H95">
            <v>0.80235727283031122</v>
          </cell>
          <cell r="I95">
            <v>0.80235727283031122</v>
          </cell>
          <cell r="J95">
            <v>0.80235727283031122</v>
          </cell>
          <cell r="K95">
            <v>0.80235727283031122</v>
          </cell>
          <cell r="L95">
            <v>0.80235727283031122</v>
          </cell>
          <cell r="M95">
            <v>0.80235727283031122</v>
          </cell>
          <cell r="N95">
            <v>0.80235727283031122</v>
          </cell>
          <cell r="O95">
            <v>0.80235727283031122</v>
          </cell>
          <cell r="P95">
            <v>0.80235727283031122</v>
          </cell>
        </row>
        <row r="96">
          <cell r="F96">
            <v>0.82371038038332522</v>
          </cell>
          <cell r="G96">
            <v>0.82371038038332522</v>
          </cell>
          <cell r="H96">
            <v>0.82371038038332522</v>
          </cell>
          <cell r="I96">
            <v>0.82371038038332522</v>
          </cell>
          <cell r="J96">
            <v>0.82371038038332522</v>
          </cell>
          <cell r="K96">
            <v>0.82371038038332522</v>
          </cell>
          <cell r="L96">
            <v>0.82371038038332522</v>
          </cell>
          <cell r="M96">
            <v>0.82371038038332522</v>
          </cell>
          <cell r="N96">
            <v>0.82371038038332522</v>
          </cell>
          <cell r="O96">
            <v>0.82371038038332522</v>
          </cell>
          <cell r="P96">
            <v>0.82371038038332522</v>
          </cell>
        </row>
        <row r="97">
          <cell r="F97" t="str">
            <v xml:space="preserve">— </v>
          </cell>
          <cell r="G97" t="str">
            <v xml:space="preserve">— </v>
          </cell>
          <cell r="H97" t="str">
            <v xml:space="preserve">— </v>
          </cell>
          <cell r="I97" t="str">
            <v xml:space="preserve">— </v>
          </cell>
          <cell r="J97" t="str">
            <v xml:space="preserve">— </v>
          </cell>
          <cell r="K97" t="str">
            <v xml:space="preserve">— </v>
          </cell>
          <cell r="L97" t="str">
            <v xml:space="preserve">— </v>
          </cell>
          <cell r="M97" t="str">
            <v xml:space="preserve">— </v>
          </cell>
          <cell r="N97" t="str">
            <v xml:space="preserve">— </v>
          </cell>
          <cell r="O97" t="str">
            <v xml:space="preserve">— </v>
          </cell>
          <cell r="P97" t="str">
            <v xml:space="preserve">— </v>
          </cell>
        </row>
        <row r="98">
          <cell r="F98" t="str">
            <v xml:space="preserve">— </v>
          </cell>
          <cell r="G98" t="str">
            <v xml:space="preserve">— </v>
          </cell>
          <cell r="H98" t="str">
            <v xml:space="preserve">— </v>
          </cell>
          <cell r="I98" t="str">
            <v xml:space="preserve">— </v>
          </cell>
          <cell r="J98" t="str">
            <v xml:space="preserve">— </v>
          </cell>
          <cell r="K98" t="str">
            <v xml:space="preserve">— </v>
          </cell>
          <cell r="L98" t="str">
            <v xml:space="preserve">— </v>
          </cell>
          <cell r="M98" t="str">
            <v xml:space="preserve">— </v>
          </cell>
          <cell r="N98" t="str">
            <v xml:space="preserve">— </v>
          </cell>
          <cell r="O98" t="str">
            <v xml:space="preserve">— </v>
          </cell>
          <cell r="P98" t="str">
            <v xml:space="preserve">— </v>
          </cell>
        </row>
        <row r="99">
          <cell r="F99" t="str">
            <v xml:space="preserve">— </v>
          </cell>
          <cell r="G99" t="str">
            <v xml:space="preserve">— </v>
          </cell>
          <cell r="H99" t="str">
            <v xml:space="preserve">— </v>
          </cell>
          <cell r="I99" t="str">
            <v xml:space="preserve">— </v>
          </cell>
          <cell r="J99" t="str">
            <v xml:space="preserve">— </v>
          </cell>
          <cell r="K99" t="str">
            <v xml:space="preserve">— </v>
          </cell>
          <cell r="L99" t="str">
            <v xml:space="preserve">— </v>
          </cell>
          <cell r="M99" t="str">
            <v xml:space="preserve">— </v>
          </cell>
          <cell r="N99" t="str">
            <v xml:space="preserve">— </v>
          </cell>
          <cell r="O99" t="str">
            <v xml:space="preserve">— </v>
          </cell>
          <cell r="P99" t="str">
            <v xml:space="preserve">— </v>
          </cell>
        </row>
        <row r="100">
          <cell r="F100" t="str">
            <v xml:space="preserve">— </v>
          </cell>
          <cell r="G100" t="str">
            <v xml:space="preserve">— </v>
          </cell>
          <cell r="H100" t="str">
            <v xml:space="preserve">— </v>
          </cell>
          <cell r="I100" t="str">
            <v xml:space="preserve">— </v>
          </cell>
          <cell r="J100" t="str">
            <v xml:space="preserve">— </v>
          </cell>
          <cell r="K100" t="str">
            <v xml:space="preserve">— </v>
          </cell>
          <cell r="L100" t="str">
            <v xml:space="preserve">— </v>
          </cell>
          <cell r="M100" t="str">
            <v xml:space="preserve">— </v>
          </cell>
          <cell r="N100" t="str">
            <v xml:space="preserve">— </v>
          </cell>
          <cell r="O100" t="str">
            <v xml:space="preserve">— </v>
          </cell>
          <cell r="P100" t="str">
            <v xml:space="preserve">— </v>
          </cell>
        </row>
      </sheetData>
      <sheetData sheetId="4" refreshError="1"/>
      <sheetData sheetId="5" refreshError="1"/>
      <sheetData sheetId="6" refreshError="1"/>
      <sheetData sheetId="7" refreshError="1"/>
      <sheetData sheetId="8" refreshError="1"/>
    </sheetDataSet>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골조"/>
      <sheetName val="PILE"/>
      <sheetName val="공통비"/>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교동현장"/>
      <sheetName val="공사개요"/>
      <sheetName val="fax"/>
      <sheetName val="협조문"/>
      <sheetName val="협조전"/>
      <sheetName val="속초교동"/>
      <sheetName val="건축대비"/>
      <sheetName val="토목공사"/>
      <sheetName val="개략건축"/>
      <sheetName val="옵션물량분개"/>
      <sheetName val="목,창호공사"/>
      <sheetName val="목문틀단가"/>
      <sheetName val="미장대비"/>
      <sheetName val="시행대비"/>
      <sheetName val="시행대비 (2)"/>
      <sheetName val="도배공사(현장통보)"/>
      <sheetName val="유리분개"/>
      <sheetName val="#REF"/>
      <sheetName val="VXXXXXXX"/>
      <sheetName val="P.M 별"/>
      <sheetName val="주요공사"/>
      <sheetName val="단가표"/>
      <sheetName val="Sheet2"/>
      <sheetName val="주관사업"/>
      <sheetName val="유림골조"/>
      <sheetName val="내역서(기존내역-수정금지)"/>
      <sheetName val="상반기손익차2총괄"/>
      <sheetName val="7. 현장관리비 "/>
      <sheetName val="6. 안전관리비"/>
      <sheetName val="집계표"/>
      <sheetName val="변경내역"/>
      <sheetName val="내   역"/>
      <sheetName val="소일위대가코드표"/>
      <sheetName val="대전(세창동)"/>
      <sheetName val="총요약서"/>
      <sheetName val="영업소실적"/>
      <sheetName val="마감사양"/>
      <sheetName val="설직재-1"/>
      <sheetName val="공통비(전체)"/>
      <sheetName val="노무비"/>
      <sheetName val="N賃率-職"/>
      <sheetName val="내역서"/>
      <sheetName val="공통비총괄표"/>
      <sheetName val="마찰손실"/>
      <sheetName val="일반부표"/>
      <sheetName val="수주실적0709"/>
      <sheetName val="전체내역서"/>
      <sheetName val="Sheet1 (2)"/>
      <sheetName val="기계공사"/>
      <sheetName val="단면 (2)"/>
      <sheetName val="cp1"/>
      <sheetName val="마산월령동골조물량변경"/>
      <sheetName val="코드"/>
      <sheetName val="부대공Ⅱ"/>
      <sheetName val="단가기준"/>
      <sheetName val="국내총괄"/>
      <sheetName val="15100"/>
      <sheetName val="시중노임단가"/>
      <sheetName val="Sheet1"/>
      <sheetName val="반포2차"/>
      <sheetName val="10월실적마감"/>
      <sheetName val="7월실적마감"/>
      <sheetName val="8월실적마감"/>
      <sheetName val="9월실적마감"/>
      <sheetName val="2.대외공문"/>
      <sheetName val="분당임차변경"/>
      <sheetName val="금액결정"/>
      <sheetName val="원가계산 (2)"/>
      <sheetName val="공급&amp;미분양"/>
      <sheetName val="일위대가"/>
      <sheetName val="금액내역서"/>
      <sheetName val="TOWER 12TON"/>
      <sheetName val="TOWER 10TON"/>
      <sheetName val="청산공사"/>
      <sheetName val="내역"/>
      <sheetName val="부속동"/>
      <sheetName val="개요"/>
      <sheetName val="날개벽수량표"/>
      <sheetName val="소요자재"/>
      <sheetName val="정보"/>
      <sheetName val="갑지(추정)"/>
      <sheetName val="ITEM"/>
      <sheetName val="기계"/>
      <sheetName val="부산제일극장"/>
      <sheetName val="Sheet3"/>
      <sheetName val="정부노임단가"/>
      <sheetName val="매각(6)"/>
      <sheetName val="수목표준대가"/>
      <sheetName val="공통부대비"/>
      <sheetName val="공사비"/>
      <sheetName val="예산명세서"/>
      <sheetName val="설계명세서"/>
      <sheetName val="자료입력"/>
      <sheetName val="사업부배부A"/>
      <sheetName val="매입가격"/>
      <sheetName val="경산"/>
      <sheetName val="설비2차"/>
      <sheetName val="간접비총괄"/>
      <sheetName val="Sheet2 (2)"/>
      <sheetName val="일위대가표"/>
      <sheetName val="노임이"/>
      <sheetName val="냉천부속동"/>
      <sheetName val="시설물기초"/>
      <sheetName val="JUCKEYK"/>
      <sheetName val="견적서"/>
      <sheetName val="2공구산출내역"/>
      <sheetName val="CTEMCOST"/>
      <sheetName val="배수내역"/>
      <sheetName val="2000년1차"/>
      <sheetName val="6호기"/>
      <sheetName val="일위대가목차"/>
      <sheetName val="노임단가"/>
      <sheetName val="수목단가"/>
      <sheetName val="시설수량표"/>
      <sheetName val="식재수량표"/>
      <sheetName val="일위목록"/>
      <sheetName val="자재단가"/>
      <sheetName val="Total"/>
      <sheetName val="2.냉난방설비공사"/>
      <sheetName val="FRP PIPING 일위대가"/>
      <sheetName val="내역서2안"/>
      <sheetName val="2.1  노무비 평균단가산출"/>
      <sheetName val="데이타"/>
      <sheetName val="참조자료"/>
      <sheetName val="패널"/>
      <sheetName val="3단계"/>
      <sheetName val="2단계"/>
      <sheetName val="교통대책내역"/>
      <sheetName val="원가계산서(남측)"/>
      <sheetName val="공사손익"/>
      <sheetName val="고자현황"/>
      <sheetName val="COST"/>
      <sheetName val="단가조사"/>
      <sheetName val="대비"/>
      <sheetName val="9509"/>
      <sheetName val="입찰안"/>
      <sheetName val="미수금현황"/>
      <sheetName val="실행내역"/>
      <sheetName val="직노"/>
      <sheetName val="예가표"/>
      <sheetName val="유림총괄"/>
      <sheetName val="도급견적가"/>
      <sheetName val="COVER"/>
      <sheetName val="건물"/>
      <sheetName val="0_갑지"/>
      <sheetName val="8_현장관리비"/>
      <sheetName val="7_안전관리비"/>
      <sheetName val="건축내역"/>
      <sheetName val="돈암사업"/>
      <sheetName val="공사비예산서_토목분_"/>
      <sheetName val="01"/>
      <sheetName val="수정시산표"/>
      <sheetName val="산출내역서집계표"/>
      <sheetName val="국내조달(통합-1)"/>
      <sheetName val="계수시트"/>
      <sheetName val="15 문제점"/>
      <sheetName val="수입"/>
      <sheetName val="실행철강하도"/>
      <sheetName val="설계내역서"/>
      <sheetName val="POL6차-PIPING"/>
      <sheetName val="물량"/>
      <sheetName val="WEIGHT LIST"/>
      <sheetName val="산#2-1 (2)"/>
      <sheetName val="산#3-1"/>
      <sheetName val="견적대비표"/>
      <sheetName val="관리,공감"/>
      <sheetName val="대여현황"/>
      <sheetName val="기초목"/>
      <sheetName val="계수원본(99.2.28)"/>
      <sheetName val="내역서-수정본"/>
      <sheetName val="삼보지질"/>
      <sheetName val="공사비산출내역"/>
      <sheetName val="구의33고"/>
      <sheetName val="수지표"/>
      <sheetName val="020114"/>
      <sheetName val="0111월"/>
      <sheetName val="공동"/>
      <sheetName val="MAIN"/>
      <sheetName val="npv"/>
      <sheetName val="보고"/>
      <sheetName val="7.자동제어공사"/>
      <sheetName val="7수지"/>
      <sheetName val="04.01"/>
      <sheetName val="노임"/>
      <sheetName val="관급자재"/>
      <sheetName val="형틀공사"/>
      <sheetName val="1,2,3,4,5단위수량"/>
      <sheetName val="봉천제출"/>
      <sheetName val="B1(반포1차)"/>
      <sheetName val="견적"/>
      <sheetName val="6맨홀H"/>
      <sheetName val="금융비용"/>
      <sheetName val="시행대비_(2)"/>
      <sheetName val="7__현장관리비_"/>
      <sheetName val="6__안전관리비"/>
      <sheetName val="내___역"/>
      <sheetName val="P_M_별"/>
      <sheetName val="Sheet1_(2)"/>
      <sheetName val="단면_(2)"/>
      <sheetName val="WEIGHT_LIST"/>
      <sheetName val="산#2-1_(2)"/>
      <sheetName val="2_대외공문"/>
      <sheetName val="TOWER_12TON"/>
      <sheetName val="TOWER_10TON"/>
      <sheetName val="원가계산_(2)"/>
      <sheetName val="Sheet2_(2)"/>
      <sheetName val="2_냉난방설비공사"/>
      <sheetName val="FRP_PIPING_일위대가"/>
      <sheetName val="2_1__노무비_평균단가산출"/>
      <sheetName val="계수원본(99_2_28)"/>
      <sheetName val="7_자동제어공사"/>
      <sheetName val="04_01"/>
      <sheetName val="15_문제점"/>
      <sheetName val="비교1"/>
      <sheetName val="업무분장"/>
      <sheetName val="파일의이용"/>
      <sheetName val="본공사"/>
      <sheetName val="수리결과"/>
      <sheetName val="단독"/>
      <sheetName val="투찰"/>
      <sheetName val="결과조달"/>
      <sheetName val="설계명세"/>
      <sheetName val="설계"/>
      <sheetName val="변경서식"/>
      <sheetName val="은행"/>
      <sheetName val="적상기초자료"/>
      <sheetName val="시중노임"/>
      <sheetName val="평형공사비"/>
      <sheetName val="단가"/>
      <sheetName val="수수료율표"/>
      <sheetName val="호실data"/>
      <sheetName val="6PILE  (돌출)"/>
      <sheetName val="수량집계"/>
      <sheetName val="96까지"/>
      <sheetName val="97년"/>
      <sheetName val="98이후"/>
      <sheetName val="대비표(토공1안)"/>
      <sheetName val="예산서"/>
      <sheetName val="물량내역서"/>
      <sheetName val="Sens&amp;Anal"/>
      <sheetName val="부표총괄"/>
      <sheetName val="국산화"/>
      <sheetName val="경비"/>
      <sheetName val="00노임기준"/>
      <sheetName val="교각별철근수량집계표"/>
      <sheetName val="구조물공"/>
      <sheetName val="부대공"/>
      <sheetName val="배수공"/>
      <sheetName val="토공"/>
      <sheetName val="포장공"/>
      <sheetName val="연결임시"/>
      <sheetName val="토공(우물통,기타) "/>
      <sheetName val="교량하부공"/>
      <sheetName val="내역서01"/>
      <sheetName val="단가 (2)"/>
      <sheetName val="골조시행"/>
      <sheetName val="급여관련자료"/>
      <sheetName val="평가데이터"/>
      <sheetName val="하수급견적대비"/>
      <sheetName val="청천내"/>
      <sheetName val="협력업체"/>
      <sheetName val="진주방향"/>
      <sheetName val="98지급계획"/>
      <sheetName val="변압기 및 발전기 용량"/>
      <sheetName val="작업년월"/>
      <sheetName val="세부내역"/>
      <sheetName val="시중노임(공사)"/>
      <sheetName val="납부내역"/>
      <sheetName val="빈"/>
      <sheetName val="현장현황"/>
      <sheetName val="터파기및재료"/>
      <sheetName val="DATA1"/>
      <sheetName val="pier(각형)"/>
      <sheetName val="을-ATYPE"/>
      <sheetName val="입찰"/>
      <sheetName val="현경"/>
      <sheetName val="금액,품셈"/>
      <sheetName val="DATA"/>
      <sheetName val="단가산출"/>
      <sheetName val="산출근거"/>
      <sheetName val="소화실적"/>
      <sheetName val="내역서(당초변경)"/>
      <sheetName val="공량산출서"/>
      <sheetName val="운영비산정가정"/>
      <sheetName val="7.수지"/>
      <sheetName val="갑지"/>
      <sheetName val="공사비집계"/>
      <sheetName val="명세서"/>
      <sheetName val="익산"/>
      <sheetName val="추가예산"/>
      <sheetName val="목록"/>
      <sheetName val="토목"/>
      <sheetName val="을지"/>
      <sheetName val="가설개략"/>
      <sheetName val="인사자료총집계"/>
      <sheetName val="중기 부표"/>
      <sheetName val="대비표"/>
      <sheetName val="misc"/>
      <sheetName val="견적내역"/>
      <sheetName val="건축2"/>
      <sheetName val="국내"/>
      <sheetName val="금융"/>
      <sheetName val="기초일위"/>
      <sheetName val="조명시설"/>
      <sheetName val="물량내역"/>
      <sheetName val="ABUT수량-A1"/>
      <sheetName val="소방기계"/>
      <sheetName val="차액보증"/>
      <sheetName val="개산공사비"/>
      <sheetName val="스케즐"/>
      <sheetName val="총물량"/>
      <sheetName val="1월"/>
      <sheetName val="간접비"/>
      <sheetName val="9GNG운반"/>
      <sheetName val="UG COM-8"/>
      <sheetName val="UG COM-11"/>
      <sheetName val="UG COM-7"/>
      <sheetName val="UG COM-6"/>
      <sheetName val="UG COM-5"/>
      <sheetName val="UG COM-4"/>
      <sheetName val="UG COM-3"/>
      <sheetName val="UG COM-2"/>
      <sheetName val="UG COM-1"/>
      <sheetName val="UG COM-12"/>
      <sheetName val="판가반영"/>
      <sheetName val="횡배수관집현황(2공구)"/>
      <sheetName val="세금자료"/>
      <sheetName val="요율"/>
      <sheetName val="식재가격"/>
      <sheetName val="식재총괄"/>
      <sheetName val="AJ005"/>
      <sheetName val="손익차9월2"/>
      <sheetName val="DATE"/>
      <sheetName val="목차"/>
      <sheetName val="형틀물량집계"/>
      <sheetName val="포설물량(8회분)"/>
      <sheetName val="집수정(600-700)"/>
      <sheetName val="TRE TABLE"/>
      <sheetName val="결재판(삭제하지말아주세요)"/>
      <sheetName val="O＆P"/>
      <sheetName val="자  재"/>
      <sheetName val="건축외주"/>
      <sheetName val="인상효1"/>
      <sheetName val="설계명세서(전송장비분)"/>
      <sheetName val="EQT-ESTN"/>
      <sheetName val="AL공사(원)"/>
      <sheetName val="단"/>
      <sheetName val="1차 내역서"/>
      <sheetName val="3.건축(현장안)"/>
      <sheetName val="일위_파일"/>
      <sheetName val="현장관리비"/>
      <sheetName val="현장경비"/>
      <sheetName val="공문"/>
      <sheetName val="10ADIT05"/>
      <sheetName val="하치장수불부"/>
      <sheetName val="외주"/>
      <sheetName val="코드표"/>
      <sheetName val="STAND98"/>
      <sheetName val="STAND20"/>
      <sheetName val="BEND LOSS"/>
      <sheetName val="cal"/>
      <sheetName val="인천제철"/>
      <sheetName val="자료"/>
      <sheetName val="6공구(당초)"/>
      <sheetName val="증감대비"/>
      <sheetName val="토목주소"/>
      <sheetName val="프랜트면허"/>
      <sheetName val="품셈"/>
      <sheetName val="토사(PE)"/>
      <sheetName val="연돌일위집계"/>
      <sheetName val="공통가설공사"/>
      <sheetName val="가시설"/>
      <sheetName val="부대"/>
      <sheetName val="부안일위"/>
      <sheetName val="도기류"/>
      <sheetName val="품셈TABLE"/>
      <sheetName val="상제품매출(원가)1~10월"/>
      <sheetName val="예약현황"/>
      <sheetName val="소개"/>
      <sheetName val="0000"/>
      <sheetName val="투자비"/>
      <sheetName val="각사별공사비분개 "/>
      <sheetName val="항목(1)"/>
      <sheetName val="BOOK4"/>
      <sheetName val="전문품의"/>
      <sheetName val="을"/>
      <sheetName val="wall"/>
      <sheetName val="ⴭⴭⴭⴭⴭ"/>
      <sheetName val="이토변실(A3-LINE)"/>
      <sheetName val="식재인부"/>
      <sheetName val="집계"/>
      <sheetName val="안전장치"/>
      <sheetName val="BLOCK(1)"/>
      <sheetName val="수량산출서"/>
      <sheetName val="자재(원원+원대)"/>
      <sheetName val="일위대가(가설)"/>
      <sheetName val="1차설계변경내역"/>
      <sheetName val="회사정보"/>
      <sheetName val="건축공사실행"/>
      <sheetName val="건축원가"/>
      <sheetName val="입력부분"/>
      <sheetName val="색인구역"/>
      <sheetName val="실행간접비"/>
      <sheetName val="단위수량"/>
      <sheetName val="갑지1"/>
      <sheetName val="수공기"/>
      <sheetName val="중기"/>
      <sheetName val="가격조사서"/>
      <sheetName val="실행"/>
      <sheetName val="구조부재산출서"/>
      <sheetName val="금광1터널"/>
      <sheetName val="장기미처리(업체)"/>
      <sheetName val="장기미처리(센터)"/>
      <sheetName val="사업비총괄표"/>
      <sheetName val="총내역"/>
      <sheetName val="분류표"/>
      <sheetName val="MEED"/>
      <sheetName val="마스터원본"/>
      <sheetName val="기본사항"/>
      <sheetName val="공사진행"/>
      <sheetName val="부하계산"/>
      <sheetName val="MACRO(전선관)"/>
      <sheetName val="피벗테이블데이터분석"/>
      <sheetName val="평균높이산출근거"/>
      <sheetName val="횡배수관위치조서"/>
      <sheetName val="EUPDAT2"/>
      <sheetName val="공사내역"/>
      <sheetName val="시설물일위"/>
      <sheetName val="70%"/>
      <sheetName val="인건비"/>
      <sheetName val="물가시세표"/>
      <sheetName val="A조"/>
      <sheetName val="A갑지"/>
      <sheetName val="개인DATA"/>
      <sheetName val="기준단가"/>
      <sheetName val="공사비 내역 (가)"/>
      <sheetName val="계약동호배치도"/>
      <sheetName val="납부서"/>
      <sheetName val="공비대비"/>
      <sheetName val="1.기성청구공문양식"/>
      <sheetName val="2.기성청구갑지"/>
      <sheetName val="경비원 "/>
      <sheetName val="건설노임"/>
      <sheetName val="데리네이타현황"/>
      <sheetName val="안양1공구_건축"/>
      <sheetName val="토공(우물통,기타)_"/>
      <sheetName val="단가_(2)"/>
      <sheetName val="6PILE__(돌출)"/>
      <sheetName val="변압기_및_발전기_용량"/>
      <sheetName val="현장관리비데이타"/>
      <sheetName val="입찰내역서"/>
      <sheetName val="잡비산출"/>
      <sheetName val="원가계산서"/>
      <sheetName val="A-1"/>
      <sheetName val="환산"/>
      <sheetName val="단위단가"/>
      <sheetName val="인원자료"/>
      <sheetName val="시장성초안camera"/>
      <sheetName val="XXXXXXXX"/>
      <sheetName val="정산내역"/>
      <sheetName val="사통"/>
      <sheetName val="시행대비_(2)1"/>
      <sheetName val="7__현장관리비_1"/>
      <sheetName val="6__안전관리비1"/>
      <sheetName val="내___역1"/>
      <sheetName val="P_M_별1"/>
      <sheetName val="Sheet1_(2)1"/>
      <sheetName val="단면_(2)1"/>
      <sheetName val="WEIGHT_LIST1"/>
      <sheetName val="산#2-1_(2)1"/>
      <sheetName val="계수원본(99_2_28)1"/>
      <sheetName val="2_냉난방설비공사1"/>
      <sheetName val="7_자동제어공사1"/>
      <sheetName val="04_011"/>
      <sheetName val="2_대외공문1"/>
      <sheetName val="TOWER_12TON1"/>
      <sheetName val="TOWER_10TON1"/>
      <sheetName val="원가계산_(2)1"/>
      <sheetName val="Sheet2_(2)1"/>
      <sheetName val="FRP_PIPING_일위대가1"/>
      <sheetName val="2_1__노무비_평균단가산출1"/>
      <sheetName val="15_문제점1"/>
      <sheetName val="7_수지"/>
      <sheetName val="중기_부표"/>
      <sheetName val="UG_COM-8"/>
      <sheetName val="UG_COM-11"/>
      <sheetName val="UG_COM-7"/>
      <sheetName val="UG_COM-6"/>
      <sheetName val="UG_COM-5"/>
      <sheetName val="UG_COM-4"/>
      <sheetName val="UG_COM-3"/>
      <sheetName val="UG_COM-2"/>
      <sheetName val="UG_COM-1"/>
      <sheetName val="UG_COM-12"/>
      <sheetName val="TRE_TABLE"/>
      <sheetName val="자__재"/>
      <sheetName val="1차_내역서"/>
      <sheetName val="3_건축(현장안)"/>
      <sheetName val="BEND_LOSS"/>
      <sheetName val="각사별공사비분개_"/>
      <sheetName val="공사비_내역_(가)"/>
      <sheetName val="입적표"/>
      <sheetName val="수량산출서 갑지"/>
      <sheetName val="4-1. 매출원가 손익계획 집계표"/>
      <sheetName val="4.2유효폭의 계산"/>
      <sheetName val="부관수량집계"/>
      <sheetName val="총괄갑 "/>
      <sheetName val="첨부#2.Cash Flow(현장작성)"/>
      <sheetName val="SG"/>
      <sheetName val="총괄"/>
      <sheetName val="유림콘도"/>
      <sheetName val="첨"/>
      <sheetName val="PAD TR보호대기초"/>
      <sheetName val="가로등기초"/>
      <sheetName val="HANDHOLE(2)"/>
      <sheetName val="C.배수관공"/>
      <sheetName val="EE-PROP"/>
      <sheetName val="시설일위"/>
      <sheetName val="조명일위"/>
      <sheetName val="1.설계조건"/>
      <sheetName val="MOTOR"/>
      <sheetName val="대운산출"/>
      <sheetName val="부대내역"/>
      <sheetName val="백호우계수"/>
      <sheetName val="적심사표"/>
      <sheetName val="실행원가내역"/>
      <sheetName val="전기"/>
      <sheetName val="#2_일위대가목록"/>
      <sheetName val="배수내역 (2)"/>
      <sheetName val="TIE-IN"/>
      <sheetName val="유효폭의 계산"/>
      <sheetName val="간접비계산"/>
      <sheetName val="전체"/>
      <sheetName val="수량산출"/>
      <sheetName val="1062-X방향 "/>
      <sheetName val="96정변2"/>
      <sheetName val="XL4Poppy"/>
      <sheetName val="화전내"/>
      <sheetName val="시멘트"/>
      <sheetName val="건축-물가변동"/>
      <sheetName val="표지 (2)"/>
      <sheetName val="오산갈곳"/>
      <sheetName val="#검토내역(상세)"/>
      <sheetName val="5사남"/>
      <sheetName val="계정과목 등"/>
      <sheetName val="교대시점"/>
      <sheetName val="I一般比"/>
      <sheetName val="환경관리"/>
      <sheetName val="공통가설"/>
      <sheetName val="NOTE"/>
      <sheetName val="수정계획3"/>
      <sheetName val="도근좌표"/>
      <sheetName val="수로단위수량"/>
      <sheetName val="새공통(96임금인상기준)"/>
      <sheetName val="설비단가표"/>
      <sheetName val="기본일위"/>
      <sheetName val="NP-총정리"/>
      <sheetName val="GAEYO"/>
      <sheetName val="IW-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sheetData sheetId="456"/>
      <sheetData sheetId="457"/>
      <sheetData sheetId="458" refreshError="1"/>
      <sheetData sheetId="459" refreshError="1"/>
      <sheetData sheetId="460" refreshError="1"/>
      <sheetData sheetId="461"/>
      <sheetData sheetId="462"/>
      <sheetData sheetId="463"/>
      <sheetData sheetId="464"/>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sheetData sheetId="494"/>
      <sheetData sheetId="495"/>
      <sheetData sheetId="496"/>
      <sheetData sheetId="497"/>
      <sheetData sheetId="498"/>
      <sheetData sheetId="499"/>
      <sheetData sheetId="500"/>
      <sheetData sheetId="501"/>
      <sheetData sheetId="502"/>
      <sheetData sheetId="503"/>
      <sheetData sheetId="504"/>
      <sheetData sheetId="505"/>
      <sheetData sheetId="506"/>
      <sheetData sheetId="507"/>
      <sheetData sheetId="508"/>
      <sheetData sheetId="509"/>
      <sheetData sheetId="510"/>
      <sheetData sheetId="511"/>
      <sheetData sheetId="512"/>
      <sheetData sheetId="513"/>
      <sheetData sheetId="514"/>
      <sheetData sheetId="515" refreshError="1"/>
      <sheetData sheetId="516" refreshError="1"/>
      <sheetData sheetId="517"/>
      <sheetData sheetId="518"/>
      <sheetData sheetId="519"/>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sheetData sheetId="555"/>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Set>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Template"/>
      <sheetName val="Definitions"/>
      <sheetName val="Commentary"/>
    </sheetNames>
    <sheetDataSet>
      <sheetData sheetId="0">
        <row r="7">
          <cell r="D7">
            <v>2000</v>
          </cell>
          <cell r="E7" t="str">
            <v>Period 1</v>
          </cell>
          <cell r="F7" t="str">
            <v>Period 2</v>
          </cell>
          <cell r="G7" t="str">
            <v>Period 3</v>
          </cell>
          <cell r="H7" t="str">
            <v>Period 4</v>
          </cell>
          <cell r="I7" t="str">
            <v>Period 5</v>
          </cell>
          <cell r="J7" t="str">
            <v>Period 6</v>
          </cell>
          <cell r="K7" t="str">
            <v>Period 7</v>
          </cell>
          <cell r="L7" t="str">
            <v>Period 8</v>
          </cell>
          <cell r="M7" t="str">
            <v>Period 9</v>
          </cell>
          <cell r="N7" t="str">
            <v>Period 10</v>
          </cell>
          <cell r="O7" t="str">
            <v>Period 11</v>
          </cell>
          <cell r="P7" t="str">
            <v>Period 12</v>
          </cell>
          <cell r="Q7" t="str">
            <v>2001</v>
          </cell>
          <cell r="R7" t="str">
            <v>Plan</v>
          </cell>
        </row>
      </sheetData>
      <sheetData sheetId="1"/>
      <sheetData sheetId="2"/>
    </sheetDataSet>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공통비비교"/>
      <sheetName val="공통비총괄표"/>
      <sheetName val="Sheet2"/>
      <sheetName val="Sheet3"/>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유림골조"/>
      <sheetName val="유림총괄"/>
      <sheetName val="15 문제점"/>
      <sheetName val="YOEMAGUM"/>
      <sheetName val="정부노임단가"/>
      <sheetName val="내역서(기존내역-수정금지)"/>
      <sheetName val="매각(6)"/>
      <sheetName val="와동25-3(변경)"/>
      <sheetName val="공통부대비"/>
      <sheetName val="Eq. Mobilization"/>
      <sheetName val="pier(각형)"/>
      <sheetName val="세금자료"/>
      <sheetName val="회사99"/>
      <sheetName val="2.대외공문"/>
      <sheetName val="P.M 별"/>
      <sheetName val="공사손익"/>
      <sheetName val="고자현황"/>
      <sheetName val="예산서"/>
      <sheetName val="1월"/>
      <sheetName val="Sheet2 (2)"/>
      <sheetName val="삭제금지단가"/>
      <sheetName val="초기화면"/>
      <sheetName val="관급자재"/>
      <sheetName val="시행예산"/>
      <sheetName val="노암공통"/>
      <sheetName val="수입"/>
      <sheetName val="Sheet1"/>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Set>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유림골조"/>
      <sheetName val="변경연면적"/>
      <sheetName val="품의서"/>
      <sheetName val="건축대비"/>
      <sheetName val="부대골조"/>
      <sheetName val="아파트파일공사"/>
      <sheetName val="부대파일공사"/>
      <sheetName val="공제분"/>
      <sheetName val="상승요인분석"/>
      <sheetName val="토목공사"/>
      <sheetName val="옥외"/>
      <sheetName val="물가상승변경(960827)"/>
      <sheetName val="건축부대공사대비"/>
      <sheetName val="Sheet4"/>
      <sheetName val="공기"/>
      <sheetName val="새공통(97년3월)"/>
      <sheetName val="공사개요"/>
      <sheetName val="파일공사"/>
      <sheetName val="물량산출"/>
      <sheetName val="면적대비"/>
      <sheetName val="apt골조"/>
      <sheetName val="Sheet2"/>
      <sheetName val="Sheet3"/>
      <sheetName val="도곡동빌라트보관"/>
      <sheetName val="공사비대비"/>
      <sheetName val="Sheet5"/>
      <sheetName val="Sheet6"/>
      <sheetName val="전기"/>
      <sheetName val="12.27"/>
      <sheetName val="12.23"/>
      <sheetName val="12.16"/>
      <sheetName val="12.9"/>
      <sheetName val="12.1"/>
      <sheetName val="11.25"/>
      <sheetName val="예비2"/>
      <sheetName val="11.18"/>
      <sheetName val="10월 4"/>
      <sheetName val="10월 3"/>
      <sheetName val="사진"/>
      <sheetName val="Sheet1"/>
      <sheetName val="공사현황"/>
      <sheetName val="직원투입계획"/>
      <sheetName val="현채투입계획"/>
      <sheetName val="산출내역서"/>
      <sheetName val="마산월령동골조물량변경"/>
      <sheetName val="일위대가표"/>
      <sheetName val="현장현황"/>
      <sheetName val="공통부대비"/>
      <sheetName val="일용노임단가"/>
      <sheetName val="갑지"/>
      <sheetName val="#REF"/>
      <sheetName val="TOWER 10TON"/>
      <sheetName val="TOWER 12TON"/>
      <sheetName val="공통비총괄표"/>
      <sheetName val="경산"/>
      <sheetName val="상반기손익차2총괄"/>
      <sheetName val="내역"/>
      <sheetName val="노임단가"/>
      <sheetName val="P.M 별"/>
      <sheetName val="구의33고"/>
      <sheetName val="총괄표"/>
      <sheetName val="배수내역"/>
      <sheetName val="금융비용"/>
      <sheetName val="기초코드"/>
      <sheetName val="주요공사"/>
      <sheetName val="DHEQSUPT"/>
      <sheetName val="수입"/>
      <sheetName val="결과조달"/>
      <sheetName val="공무공A"/>
      <sheetName val="금액내역서"/>
      <sheetName val="3단계"/>
      <sheetName val="2단계"/>
      <sheetName val="2.대외공문"/>
      <sheetName val="공문"/>
      <sheetName val="임대계획"/>
      <sheetName val="70%"/>
      <sheetName val="대비"/>
      <sheetName val="Eq. Mobilization"/>
      <sheetName val="9811"/>
      <sheetName val="코드"/>
      <sheetName val="기계"/>
      <sheetName val="정화조"/>
      <sheetName val="조경"/>
      <sheetName val="토목"/>
      <sheetName val="적상기초자료"/>
      <sheetName val="D-623D"/>
      <sheetName val="9509"/>
      <sheetName val="현장"/>
      <sheetName val="내역(중앙)"/>
      <sheetName val="기초일위"/>
      <sheetName val="시설일위"/>
      <sheetName val="조명일위"/>
      <sheetName val="M-EQPT-Z"/>
      <sheetName val="MixBed"/>
      <sheetName val="CondPol"/>
      <sheetName val="노임이"/>
      <sheetName val="관람석제출"/>
      <sheetName val="집계표"/>
      <sheetName val="CB"/>
      <sheetName val="자재(원원+원대)"/>
      <sheetName val="청산공사"/>
      <sheetName val="입찰보고"/>
      <sheetName val="공통비총퐛"/>
      <sheetName val="납부서"/>
      <sheetName val="단가비교표"/>
      <sheetName val="매립"/>
      <sheetName val="W-현원가"/>
      <sheetName val="SCHEDULE"/>
      <sheetName val="ELECTRIC"/>
      <sheetName val="CTEMCOST"/>
      <sheetName val="날개벽"/>
      <sheetName val="공사비집계"/>
      <sheetName val="TRE TABLE"/>
      <sheetName val="내역_FILE"/>
      <sheetName val="Total"/>
      <sheetName val="Sheet2 (2)"/>
      <sheetName val="대여현황"/>
      <sheetName val="냉천부속동"/>
      <sheetName val="회사99"/>
      <sheetName val="하수급견적대비"/>
      <sheetName val="현장관리비"/>
      <sheetName val="골조시행"/>
      <sheetName val="일위대가(가설)"/>
      <sheetName val="와동25-3(변경)"/>
      <sheetName val="공사비예산서(토목분)"/>
      <sheetName val="01"/>
      <sheetName val="가격조사서"/>
      <sheetName val="터파기및재료"/>
      <sheetName val="Sheet15"/>
      <sheetName val="식재인부"/>
      <sheetName val="입찰"/>
      <sheetName val="현경"/>
      <sheetName val="본사공가현황"/>
      <sheetName val="실행"/>
      <sheetName val="연돌일위집계"/>
      <sheetName val="유림총괄"/>
      <sheetName val="연결임시"/>
      <sheetName val="입력"/>
      <sheetName val="직재"/>
      <sheetName val="물량내역"/>
      <sheetName val="도근좌표"/>
      <sheetName val="원가계산서"/>
      <sheetName val="방수"/>
      <sheetName val="소방기계"/>
      <sheetName val="데이타"/>
      <sheetName val="예가표"/>
      <sheetName val="연습"/>
      <sheetName val="단면 (2)"/>
      <sheetName val="10월실적마감"/>
      <sheetName val="7월실적마감"/>
      <sheetName val="8월실적마감"/>
      <sheetName val="9월실적마감"/>
      <sheetName val="14 장비소요계획"/>
      <sheetName val="내역서"/>
      <sheetName val="설계내역서"/>
      <sheetName val="문10"/>
      <sheetName val="노무비"/>
      <sheetName val="투입비분석표"/>
      <sheetName val="면접시간확인"/>
      <sheetName val="총괄내역서"/>
      <sheetName val="월별수입"/>
      <sheetName val="신대방33(적용)"/>
      <sheetName val="차액보증"/>
      <sheetName val="재집"/>
      <sheetName val="6PILE  (돌출)"/>
      <sheetName val="에너지동"/>
      <sheetName val="3.설계예산내역서(예산서)"/>
      <sheetName val="2.예정공정표"/>
      <sheetName val="BOJUNGGM"/>
      <sheetName val="원가계산서(남측)"/>
      <sheetName val="예총"/>
      <sheetName val="경영상태"/>
      <sheetName val="토목주소"/>
      <sheetName val="프랜트면허"/>
      <sheetName val="형틀공사"/>
      <sheetName val="매각(6)"/>
      <sheetName val="백분율"/>
      <sheetName val="잡비"/>
      <sheetName val="정보"/>
      <sheetName val="갑지(추정)"/>
      <sheetName val="2.형틀공사집계"/>
      <sheetName val="구조물공"/>
      <sheetName val="부대공"/>
      <sheetName val="배수공"/>
      <sheetName val="토공"/>
      <sheetName val="포장공"/>
      <sheetName val="설직재-1"/>
      <sheetName val="JIB CRANE,HOIST"/>
      <sheetName val="관급"/>
      <sheetName val="3.공통공사대비"/>
      <sheetName val="실행대비"/>
      <sheetName val="간접비"/>
      <sheetName val="집계표(육상)"/>
      <sheetName val="지급자재"/>
      <sheetName val="J直材4"/>
      <sheetName val="몰탈콘크리트"/>
      <sheetName val="철근집계"/>
      <sheetName val="손익차9월2"/>
      <sheetName val="교통대책내역"/>
      <sheetName val="현금흐름"/>
      <sheetName val="입찰안"/>
      <sheetName val="일위대가(계측기설치)"/>
      <sheetName val="산거각호표"/>
      <sheetName val="수주현황2월"/>
      <sheetName val="BID"/>
      <sheetName val="업무분장"/>
      <sheetName val="도급,하도급 예정금액"/>
      <sheetName val="실행간접비용"/>
      <sheetName val="cp1"/>
      <sheetName val="Sheet17"/>
      <sheetName val="2000년1차"/>
      <sheetName val="수량산출"/>
      <sheetName val="1.취수장"/>
      <sheetName val="4차원가계산서"/>
      <sheetName val="3.바닥판  "/>
      <sheetName val="마감사양"/>
      <sheetName val="다곡2교"/>
      <sheetName val="집계"/>
      <sheetName val="일위대가"/>
      <sheetName val="DATE"/>
      <sheetName val="방배동내역(리라)"/>
      <sheetName val="부대공사총괄"/>
      <sheetName val="현장경비"/>
      <sheetName val="건축공사집계표"/>
      <sheetName val="1차 내역서"/>
      <sheetName val="현금흐름(SPC)"/>
      <sheetName val="단가"/>
      <sheetName val="N賃率-職"/>
      <sheetName val="교각1"/>
      <sheetName val="2.ㄱ)교량"/>
      <sheetName val="SG"/>
      <sheetName val="단가산출2"/>
      <sheetName val="대치판정"/>
      <sheetName val="전장품(관리용)"/>
      <sheetName val="건축내역"/>
      <sheetName val="BASIC (2)"/>
      <sheetName val="부서현황"/>
      <sheetName val="9GNG운반"/>
      <sheetName val="적점"/>
      <sheetName val="돈암사업"/>
      <sheetName val="목표세부명세"/>
      <sheetName val="배수내역 (2)"/>
      <sheetName val="실행(ALT1)"/>
      <sheetName val="공량산출서"/>
      <sheetName val="변경내역"/>
      <sheetName val="관로토공"/>
      <sheetName val="수목데이타 "/>
      <sheetName val="부대tu"/>
      <sheetName val="직노"/>
      <sheetName val="친환경주택"/>
      <sheetName val="설비(제출)"/>
      <sheetName val="소비자가"/>
      <sheetName val="마포토정"/>
      <sheetName val="공통비(전체)"/>
      <sheetName val="1ST"/>
      <sheetName val="자동제어"/>
      <sheetName val="청구"/>
      <sheetName val="1.우편집중내역서"/>
      <sheetName val="2차공사"/>
      <sheetName val="대비표"/>
      <sheetName val="대림경상68억"/>
      <sheetName val="해외(원화)"/>
      <sheetName val="실행내역"/>
      <sheetName val="기초목"/>
      <sheetName val="금액순"/>
      <sheetName val="공정"/>
      <sheetName val="우,오수"/>
      <sheetName val="부산제일극장"/>
      <sheetName val="기초1"/>
      <sheetName val="일위목록"/>
      <sheetName val="배수관공"/>
      <sheetName val="세금자료"/>
      <sheetName val="입찰내역 발주처 양식"/>
      <sheetName val="토공(우물통,기타) "/>
      <sheetName val="집수정_600_700_"/>
      <sheetName val="첨부1"/>
      <sheetName val="간접"/>
      <sheetName val="__"/>
      <sheetName val="직접인건비"/>
      <sheetName val="직접경비"/>
      <sheetName val="수지표"/>
      <sheetName val="사통"/>
      <sheetName val="소일위대가코드표"/>
      <sheetName val="견적초기자료"/>
      <sheetName val="전통건설"/>
      <sheetName val="Ctrl"/>
      <sheetName val="이자"/>
      <sheetName val="변제"/>
      <sheetName val="상환대상"/>
      <sheetName val="대구역사"/>
      <sheetName val="ADmin"/>
      <sheetName val="7월11일"/>
      <sheetName val="attchament-Work Trade"/>
      <sheetName val="attchament-Type of Facilities"/>
      <sheetName val="CONCRETE"/>
      <sheetName val="기계경비(시간당)"/>
      <sheetName val="AS복구"/>
      <sheetName val="중기터파기"/>
      <sheetName val="변수값"/>
      <sheetName val="중기상차"/>
      <sheetName val="토사(PE)"/>
      <sheetName val="교사기준면적(초등)"/>
      <sheetName val="CON'C"/>
      <sheetName val="총괄"/>
      <sheetName val="견적서(갑지)"/>
      <sheetName val="TC#1"/>
      <sheetName val="TC#2"/>
      <sheetName val="TC#3"/>
      <sheetName val="TC#4"/>
      <sheetName val="TC#5"/>
      <sheetName val="TC#6"/>
      <sheetName val="해체용 크레인1"/>
      <sheetName val="해체용 크레인2"/>
      <sheetName val="pier(각형)"/>
      <sheetName val="9512BS-1"/>
      <sheetName val="96노임기준"/>
      <sheetName val="95년12월말"/>
      <sheetName val="기준및분포(OT)"/>
      <sheetName val="관접합및부설"/>
      <sheetName val="5사남"/>
      <sheetName val="작성가이드"/>
      <sheetName val="Z"/>
      <sheetName val="Cash2"/>
      <sheetName val="Ref."/>
      <sheetName val="도급원가"/>
      <sheetName val="산근"/>
      <sheetName val="1062-X방향 "/>
      <sheetName val="Currency"/>
      <sheetName val="Phan tich ca may"/>
      <sheetName val="Chenh lech ca may"/>
      <sheetName val="TLg CN&amp;Laixe"/>
      <sheetName val="TLg CN&amp;Laixe (2)"/>
      <sheetName val="TLg Laitau"/>
      <sheetName val="TLg Laitau (2)"/>
      <sheetName val="escon"/>
      <sheetName val="tifico"/>
      <sheetName val="민감도"/>
      <sheetName val="자료"/>
      <sheetName val="★자금집행관리"/>
      <sheetName val="mat status (elec)"/>
      <sheetName val="제출계산서"/>
      <sheetName val="침하계"/>
      <sheetName val="국영"/>
      <sheetName val="Control Sheet"/>
      <sheetName val="별제권_정리담보권1"/>
      <sheetName val="화전내"/>
      <sheetName val="7월"/>
      <sheetName val="견적서-골조공사"/>
      <sheetName val="경비"/>
      <sheetName val="POL6차-PIPING"/>
      <sheetName val="12_27"/>
      <sheetName val="12_23"/>
      <sheetName val="12_16"/>
      <sheetName val="12_9"/>
      <sheetName val="12_1"/>
      <sheetName val="11_25"/>
      <sheetName val="11_18"/>
      <sheetName val="10월_4"/>
      <sheetName val="10월_3"/>
      <sheetName val="TOWER_10TON"/>
      <sheetName val="TOWER_12TON"/>
      <sheetName val="P_M_별"/>
      <sheetName val="2_대외공문"/>
      <sheetName val="Eq__Mobilization"/>
      <sheetName val="TRE_TABLE"/>
      <sheetName val="Sheet2_(2)"/>
      <sheetName val="단면_(2)"/>
      <sheetName val="14_장비소요계획"/>
      <sheetName val="6PILE__(돌출)"/>
      <sheetName val="3_설계예산내역서(예산서)"/>
      <sheetName val="2_예정공정표"/>
      <sheetName val="2_형틀공사집계"/>
      <sheetName val="JIB_CRANE,HOIST"/>
      <sheetName val="3_공통공사대비"/>
      <sheetName val="1_취수장"/>
      <sheetName val="3_바닥판__"/>
      <sheetName val="도급,하도급_예정금액"/>
      <sheetName val="1차_내역서"/>
      <sheetName val="BASIC_(2)"/>
      <sheetName val="2_ㄱ)교량"/>
      <sheetName val="배수내역_(2)"/>
      <sheetName val="수목데이타_"/>
      <sheetName val="1_우편집중내역서"/>
      <sheetName val="입찰내역_발주처_양식"/>
      <sheetName val="토공(우물통,기타)_"/>
      <sheetName val="2-3.V.D일위"/>
      <sheetName val="금융"/>
      <sheetName val="STAND20"/>
      <sheetName val="시화점실행"/>
      <sheetName val="일반공사"/>
      <sheetName val="2000전체분"/>
      <sheetName val="표지"/>
      <sheetName val="CONDITION"/>
      <sheetName val="내부마감"/>
      <sheetName val="갑지 (2)"/>
      <sheetName val="도급변경내용)"/>
      <sheetName val="갑지수정"/>
      <sheetName val="총괄산출표"/>
      <sheetName val="공통가설"/>
      <sheetName val="토공(을)"/>
      <sheetName val="건축집계표"/>
      <sheetName val="부대시설"/>
      <sheetName val="2골조 "/>
      <sheetName val="마감내역"/>
      <sheetName val="설비집계표"/>
      <sheetName val="설비내역서"/>
      <sheetName val="전기집계표"/>
      <sheetName val="전기내역서"/>
      <sheetName val="표지 (2)"/>
      <sheetName val="지질"/>
      <sheetName val="수량"/>
      <sheetName val="골조물량"/>
      <sheetName val="마감산출"/>
      <sheetName val="PILE (300×200)"/>
      <sheetName val="PILE (300×300)"/>
      <sheetName val="PILE (300×150)"/>
      <sheetName val="을지"/>
      <sheetName val="갑지1"/>
      <sheetName val="GAEYO"/>
      <sheetName val="도급제출3(5.20)"/>
      <sheetName val="을"/>
      <sheetName val="APT"/>
      <sheetName val="BSD (2)"/>
      <sheetName val="건축집계"/>
      <sheetName val="TEST1"/>
      <sheetName val="구조물"/>
      <sheetName val="계수시트"/>
      <sheetName val="Work-Condition"/>
      <sheetName val="정공공사"/>
      <sheetName val="6호기"/>
      <sheetName val="기본일위"/>
      <sheetName val="조달청적격심사"/>
      <sheetName val="Y-WORK"/>
      <sheetName val="해평견적"/>
      <sheetName val="전기공사"/>
      <sheetName val="설명서 "/>
      <sheetName val="설계명세서"/>
      <sheetName val="램머"/>
      <sheetName val="자재단가비교표"/>
      <sheetName val="교육종류"/>
      <sheetName val="내역서-수정본"/>
      <sheetName val="견적대비표"/>
      <sheetName val="G.R300경비"/>
      <sheetName val="일반부표"/>
      <sheetName val="FURNITURE-01"/>
      <sheetName val="1호구조물"/>
      <sheetName val="약품설비"/>
      <sheetName val="코드표"/>
      <sheetName val="45,46"/>
      <sheetName val="2.토목공사"/>
      <sheetName val="산출3-동력"/>
      <sheetName val="산출4-전등"/>
      <sheetName val="적용"/>
      <sheetName val="구역화물"/>
      <sheetName val="단가일람"/>
      <sheetName val="역T형"/>
      <sheetName val="BEND LOSS"/>
      <sheetName val="9902"/>
      <sheetName val="3월"/>
      <sheetName val="4월"/>
      <sheetName val="5월"/>
      <sheetName val="자재 집계표"/>
      <sheetName val="인사자료총집계"/>
      <sheetName val="FB25JN"/>
      <sheetName val="21301동"/>
      <sheetName val="CATV"/>
      <sheetName val="참조"/>
      <sheetName val="갑"/>
      <sheetName val="기존단가 (2)"/>
      <sheetName val="갑지_(2)"/>
      <sheetName val="2골조_"/>
      <sheetName val="표지_(2)"/>
      <sheetName val="PILE_(300×200)"/>
      <sheetName val="PILE_(300×300)"/>
      <sheetName val="PILE_(300×150)"/>
      <sheetName val="BSD_(2)"/>
      <sheetName val="기존단가_(2)"/>
      <sheetName val="도급제출3(5_20)"/>
      <sheetName val="설명서_"/>
      <sheetName val="단가(자재)"/>
      <sheetName val="단가(노임)"/>
      <sheetName val="기초목록"/>
      <sheetName val="전차선로 물량표"/>
      <sheetName val="청천내"/>
      <sheetName val="출자한도"/>
      <sheetName val="9-1차이내역"/>
      <sheetName val="경량천정"/>
      <sheetName val="ㄱ"/>
      <sheetName val="교량하부공"/>
      <sheetName val="환율"/>
      <sheetName val="정부노임단가"/>
      <sheetName val="ETC"/>
      <sheetName val="내역서 (2)"/>
      <sheetName val="수량산출(음암)"/>
      <sheetName val="2. 공원조도"/>
      <sheetName val="b_balju"/>
      <sheetName val="에너지요금"/>
      <sheetName val="부하계산서"/>
      <sheetName val="견적"/>
      <sheetName val="기안"/>
      <sheetName val="개산공사비"/>
      <sheetName val="자재단가"/>
      <sheetName val="기기리스트"/>
      <sheetName val="교각별철근수량집계표"/>
      <sheetName val="적용률"/>
      <sheetName val="세부내역"/>
      <sheetName val="INPUT"/>
      <sheetName val="I一般比"/>
      <sheetName val="97 사업추정(WEKI)"/>
      <sheetName val="ACT_Dol"/>
      <sheetName val="ACT_Jhr"/>
      <sheetName val="FCST_Dol"/>
      <sheetName val="FCST_Jhr"/>
      <sheetName val="시행예산"/>
      <sheetName val="설계기준"/>
      <sheetName val="내역1"/>
      <sheetName val="내역서(교량)전체"/>
      <sheetName val="database"/>
      <sheetName val="실행(1)"/>
      <sheetName val="SUMMARY"/>
      <sheetName val="PAINT"/>
      <sheetName val="선원비계산"/>
      <sheetName val="여비교통비지출품의서"/>
      <sheetName val="개요"/>
      <sheetName val="도급"/>
      <sheetName val="원효펌프교체020812"/>
      <sheetName val="부하(성남)"/>
      <sheetName val="연부97-1"/>
      <sheetName val="송장갑지(6월)"/>
      <sheetName val="건축2"/>
      <sheetName val="3지구단위"/>
      <sheetName val="비교1"/>
      <sheetName val="입력시트"/>
      <sheetName val="0226"/>
      <sheetName val="chiet tinh"/>
      <sheetName val="新规"/>
      <sheetName val="手动计画"/>
      <sheetName val="000000"/>
      <sheetName val="FRP PIPING 일위대가"/>
      <sheetName val="내역표지"/>
      <sheetName val="6MONTHS"/>
      <sheetName val="수량산출서"/>
      <sheetName val="별표 "/>
      <sheetName val="배관내역"/>
      <sheetName val="IGCC査定"/>
      <sheetName val=" 견적서"/>
      <sheetName val="Sheet13"/>
      <sheetName val="조도"/>
      <sheetName val="Sheet14"/>
      <sheetName val="P-J"/>
      <sheetName val="조명시설"/>
      <sheetName val="안산기계장치"/>
      <sheetName val="은행"/>
      <sheetName val="FA_SUMMARY"/>
      <sheetName val="Raw Data"/>
      <sheetName val="15 문제점"/>
      <sheetName val="시장성초안camera"/>
      <sheetName val="명부(일부)"/>
      <sheetName val="gyun"/>
      <sheetName val="전계가"/>
      <sheetName val="Finansal tamamlanma Eğrisi"/>
      <sheetName val="공사투입계획(변경결의)19.9"/>
      <sheetName val="노무비 월별지급현황19.9"/>
      <sheetName val="갑지(외주기성)19.9"/>
      <sheetName val="CAUDIT"/>
      <sheetName val="9.1"/>
      <sheetName val="회사정보"/>
      <sheetName val="EQT-ESTN"/>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sheetData sheetId="361"/>
      <sheetData sheetId="362"/>
      <sheetData sheetId="363"/>
      <sheetData sheetId="364"/>
      <sheetData sheetId="365"/>
      <sheetData sheetId="366"/>
      <sheetData sheetId="367"/>
      <sheetData sheetId="368"/>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sheetData sheetId="392"/>
      <sheetData sheetId="393"/>
      <sheetData sheetId="394"/>
      <sheetData sheetId="395"/>
      <sheetData sheetId="396"/>
      <sheetData sheetId="397"/>
      <sheetData sheetId="398"/>
      <sheetData sheetId="399"/>
      <sheetData sheetId="400"/>
      <sheetData sheetId="401"/>
      <sheetData sheetId="402"/>
      <sheetData sheetId="403"/>
      <sheetData sheetId="404"/>
      <sheetData sheetId="405"/>
      <sheetData sheetId="406"/>
      <sheetData sheetId="407"/>
      <sheetData sheetId="408"/>
      <sheetData sheetId="409"/>
      <sheetData sheetId="410"/>
      <sheetData sheetId="411"/>
      <sheetData sheetId="412"/>
      <sheetData sheetId="413"/>
      <sheetData sheetId="414"/>
      <sheetData sheetId="415"/>
      <sheetData sheetId="416"/>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sheetData sheetId="562"/>
      <sheetData sheetId="563"/>
      <sheetData sheetId="564" refreshError="1"/>
      <sheetData sheetId="565" refreshError="1"/>
      <sheetData sheetId="566" refreshError="1"/>
      <sheetData sheetId="567" refreshError="1"/>
    </sheetDataSet>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집계표"/>
      <sheetName val="입찰표지"/>
      <sheetName val="총괄표"/>
      <sheetName val="전체내역서"/>
      <sheetName val="전기내역서"/>
      <sheetName val="단가산출"/>
      <sheetName val="자재수량"/>
      <sheetName val="Sheet1"/>
      <sheetName val="Sheet2"/>
      <sheetName val="Sheet3"/>
      <sheetName val="1공구 건정토건 토공"/>
      <sheetName val="1공구 건정토건 철콘"/>
      <sheetName val="내역표지"/>
      <sheetName val="도급표지 "/>
      <sheetName val="부대표지"/>
      <sheetName val="도급표지  (4)"/>
      <sheetName val="부대표지 (4)"/>
      <sheetName val="도급표지  (3)"/>
      <sheetName val="부대표지 (3)"/>
      <sheetName val="도급표지  (2)"/>
      <sheetName val="부대표지 (2)"/>
      <sheetName val="세로"/>
      <sheetName val="토  목"/>
      <sheetName val="조  경"/>
      <sheetName val="전 기"/>
      <sheetName val="건  축"/>
      <sheetName val="건축설비"/>
      <sheetName val="기계"/>
      <sheetName val="제어계측"/>
      <sheetName val="Sheet4"/>
      <sheetName val="Sheet5"/>
      <sheetName val="Sheet6"/>
      <sheetName val="Sheet16"/>
      <sheetName val="보도내역 (3)"/>
      <sheetName val="Module1"/>
      <sheetName val="45,46"/>
      <sheetName val="실행철강하도"/>
      <sheetName val="Qheet6"/>
      <sheetName val="입찰안"/>
      <sheetName val="준검 내역서"/>
      <sheetName val="차액보증"/>
      <sheetName val="내역서"/>
      <sheetName val="산출내역서"/>
      <sheetName val="주차구획선수량"/>
      <sheetName val="자재단가비교표"/>
      <sheetName val="신공항A-9(원가수정)"/>
      <sheetName val="공사개요"/>
      <sheetName val="갑지"/>
      <sheetName val="#REF"/>
      <sheetName val="일위대가"/>
      <sheetName val="개요"/>
      <sheetName val="부대tu"/>
      <sheetName val="도급"/>
      <sheetName val="하조서"/>
      <sheetName val="내역"/>
      <sheetName val="가도공"/>
      <sheetName val="금호"/>
      <sheetName val="목차"/>
      <sheetName val="저"/>
      <sheetName val="정부노임단가"/>
      <sheetName val="한강운반비"/>
      <sheetName val="서∼군(2)"/>
      <sheetName val="A-4"/>
      <sheetName val="변경비교-을"/>
      <sheetName val="6공구(당초)"/>
      <sheetName val="품의서"/>
      <sheetName val="데리네이타현황"/>
      <sheetName val="재개발"/>
      <sheetName val="보할"/>
      <sheetName val="충주"/>
      <sheetName val="SP-B1"/>
      <sheetName val="SG"/>
      <sheetName val="2.대외공문"/>
      <sheetName val="후다내역"/>
      <sheetName val="공업용수관로"/>
      <sheetName val="노임단가"/>
      <sheetName val="소야공정계획표"/>
      <sheetName val="BID"/>
      <sheetName val="기초코드"/>
      <sheetName val="98NS-N"/>
      <sheetName val="을"/>
      <sheetName val="입적표"/>
      <sheetName val="낙찰표"/>
      <sheetName val="토적집계"/>
      <sheetName val="일위대가표"/>
      <sheetName val="SANTOGO"/>
      <sheetName val="1.수인터널"/>
      <sheetName val="전기공사"/>
      <sheetName val="대로근거"/>
      <sheetName val="설계예산서"/>
      <sheetName val="토목주소"/>
      <sheetName val="0.0ControlSheet"/>
      <sheetName val="0.1keyAssumption"/>
      <sheetName val="총괄-1"/>
      <sheetName val="부대내역"/>
      <sheetName val="공제구간조서"/>
      <sheetName val="원형1호맨홀토공수량"/>
      <sheetName val="갑지(추정)"/>
      <sheetName val="자재단가"/>
      <sheetName val="Dae_Jiju"/>
      <sheetName val="Sikje_ingun"/>
      <sheetName val="TREE_D"/>
      <sheetName val="물가시세"/>
      <sheetName val="실행대비"/>
      <sheetName val="eq_data"/>
      <sheetName val="Total"/>
      <sheetName val="AS포장복구 "/>
      <sheetName val="일위(토목)"/>
      <sheetName val="TYPE-A"/>
      <sheetName val="6PILE  (돌출)"/>
      <sheetName val="설계"/>
      <sheetName val="공통가설"/>
      <sheetName val="기본단가"/>
      <sheetName val="설 계"/>
      <sheetName val="경비"/>
      <sheetName val="단"/>
      <sheetName val="3차준공"/>
      <sheetName val="시공여유율"/>
      <sheetName val="98지급계획"/>
      <sheetName val="횡배수관토공수량"/>
      <sheetName val="지주설치제원"/>
      <sheetName val="실행내역"/>
      <sheetName val="ELECTRIC"/>
      <sheetName val="중로근거"/>
      <sheetName val="입찰품의서"/>
      <sheetName val="대비"/>
      <sheetName val="건축내역서"/>
      <sheetName val="맨홀수량"/>
      <sheetName val="단가비교표"/>
      <sheetName val="준공조서갑지"/>
      <sheetName val="흥양2교토공집계표"/>
      <sheetName val="단가산출서"/>
      <sheetName val="DATA"/>
      <sheetName val="시화점실행"/>
      <sheetName val="A-7-1LINE(수량)"/>
      <sheetName val="Sheet1 (2)"/>
      <sheetName val="상-교대(A1-A2)"/>
      <sheetName val="특수선일위대가"/>
      <sheetName val="공문(신)"/>
      <sheetName val="BJJIN"/>
      <sheetName val="입력시트"/>
      <sheetName val="가시설"/>
      <sheetName val="연결임시"/>
      <sheetName val="건축내역"/>
      <sheetName val="내역(최종본4.5)"/>
      <sheetName val="초기화면"/>
      <sheetName val="2000년1차"/>
      <sheetName val="장비집계"/>
      <sheetName val="결과조달"/>
      <sheetName val="실행내역서"/>
      <sheetName val="배수통관(좌)"/>
      <sheetName val="강교(Sub)"/>
      <sheetName val="기계내역"/>
      <sheetName val="ABUT수량-A1"/>
      <sheetName val="2000년하반기"/>
      <sheetName val="현장관리"/>
      <sheetName val="여과지동"/>
      <sheetName val="기초자료"/>
      <sheetName val="하수급견적대비"/>
      <sheetName val="DATE"/>
      <sheetName val="노임"/>
      <sheetName val="대치판정"/>
      <sheetName val="인건-측정"/>
      <sheetName val="증감대비"/>
      <sheetName val="N賃率-職"/>
      <sheetName val="기성신청"/>
      <sheetName val="원본(갑지)"/>
      <sheetName val="총괄내역서"/>
      <sheetName val="직노"/>
      <sheetName val="일위대가(가설)"/>
      <sheetName val="공사비총괄표"/>
      <sheetName val="1공구_건정토건_토공"/>
      <sheetName val="1공구_건정토건_철콘"/>
      <sheetName val="도급표지_"/>
      <sheetName val="도급표지__(4)"/>
      <sheetName val="부대표지_(4)"/>
      <sheetName val="도급표지__(3)"/>
      <sheetName val="부대표지_(3)"/>
      <sheetName val="도급표지__(2)"/>
      <sheetName val="부대표지_(2)"/>
      <sheetName val="토__목"/>
      <sheetName val="조__경"/>
      <sheetName val="전_기"/>
      <sheetName val="건__축"/>
      <sheetName val="보도내역_(3)"/>
      <sheetName val="준검_내역서"/>
      <sheetName val="토사(PE)"/>
      <sheetName val="입출재고현황 (2)"/>
      <sheetName val="수로단위수량"/>
      <sheetName val="접속도로1"/>
      <sheetName val="전체_1설계"/>
      <sheetName val="물량표"/>
      <sheetName val="수문일1"/>
      <sheetName val="공사"/>
      <sheetName val="설계예산"/>
      <sheetName val="wall"/>
      <sheetName val="전차선로 물량표"/>
      <sheetName val="자재"/>
      <sheetName val="공통(20-91)"/>
      <sheetName val="TB-내역서"/>
      <sheetName val="현대물량"/>
      <sheetName val="전기일위대가"/>
      <sheetName val="토공사"/>
      <sheetName val="APT"/>
      <sheetName val="일위대가(1)"/>
      <sheetName val="몰탈재료산출"/>
      <sheetName val="전신환매도율"/>
      <sheetName val="설직재-1"/>
      <sheetName val="I一般比"/>
      <sheetName val="EQUIP-H"/>
      <sheetName val="4.내진설계"/>
      <sheetName val="을지"/>
      <sheetName val="교각1"/>
      <sheetName val="표지"/>
      <sheetName val="BSD (2)"/>
      <sheetName val="type-F"/>
      <sheetName val="광산내역"/>
      <sheetName val="nys"/>
      <sheetName val="일위대가(계측기설치)"/>
      <sheetName val="위치조서"/>
      <sheetName val="단면가정"/>
      <sheetName val="설계조건"/>
      <sheetName val="부재력정리"/>
      <sheetName val="최초침전지집계표"/>
      <sheetName val="4)유동표"/>
      <sheetName val="CONCRETE"/>
      <sheetName val="보고"/>
      <sheetName val="원가계산서"/>
      <sheetName val="단가조사"/>
      <sheetName val="노임이"/>
      <sheetName val="STAND20"/>
      <sheetName val="부하(성남)"/>
      <sheetName val="부하계산서"/>
      <sheetName val="자재일람"/>
      <sheetName val="9GNG운반"/>
      <sheetName val="1.취수장"/>
      <sheetName val="견적서"/>
      <sheetName val="현장별계약현황('98.10.31)"/>
      <sheetName val="간접비"/>
      <sheetName val="구의33고"/>
      <sheetName val="금액내역서"/>
      <sheetName val="세부내역"/>
      <sheetName val="전신"/>
      <sheetName val="설계내역서"/>
      <sheetName val="96보완계획7.12"/>
      <sheetName val="관급"/>
      <sheetName val="배관단가조사서"/>
      <sheetName val="s"/>
      <sheetName val="집계"/>
      <sheetName val="날개벽(시점좌측)"/>
      <sheetName val="손익현황"/>
      <sheetName val="현황CODE"/>
      <sheetName val="교대(A1)"/>
      <sheetName val="관일"/>
      <sheetName val="투찰(하수)"/>
      <sheetName val="조명시설"/>
      <sheetName val="MOTOR"/>
      <sheetName val="수량산출"/>
      <sheetName val="코드표"/>
      <sheetName val="1. 설계조건 2.단면가정 3. 하중계산"/>
      <sheetName val="DATA 입력란"/>
      <sheetName val="전기"/>
      <sheetName val=" 총괄표"/>
      <sheetName val="철거산출근거"/>
      <sheetName val="단가"/>
      <sheetName val="신대방33(적용)"/>
      <sheetName val="구천"/>
      <sheetName val="자재목록"/>
      <sheetName val="중기목록"/>
      <sheetName val="단가목록"/>
      <sheetName val="일위목록"/>
      <sheetName val="노임목록"/>
      <sheetName val="6호기"/>
      <sheetName val="수자재단위당"/>
      <sheetName val="수량조서"/>
      <sheetName val="포장단면별단위수량"/>
      <sheetName val="제잡비.xls"/>
      <sheetName val="3BL공동구 수량"/>
      <sheetName val="산출내역서집계표"/>
      <sheetName val="2.고용보험료산출근거"/>
      <sheetName val="적용대가"/>
      <sheetName val="인건비 "/>
      <sheetName val="노무비"/>
      <sheetName val="2000전체분"/>
      <sheetName val="세금자료"/>
      <sheetName val="뚝토공"/>
      <sheetName val="인사자료총집계"/>
      <sheetName val="현장관리비"/>
      <sheetName val="Y-WORK"/>
      <sheetName val="200"/>
      <sheetName val="중기일위대가"/>
      <sheetName val="실행내역서 "/>
      <sheetName val="공종별산출내역서"/>
      <sheetName val="Front"/>
      <sheetName val="가격조사서"/>
      <sheetName val="노원열병합  건축공사기성내역서"/>
      <sheetName val="토목내역"/>
      <sheetName val="COPING"/>
      <sheetName val="0Title"/>
      <sheetName val="프랜트면허"/>
      <sheetName val="골조시행"/>
      <sheetName val="교각계산"/>
      <sheetName val="부대입찰 내역서"/>
      <sheetName val="1.설계조건"/>
      <sheetName val="도급b_balju"/>
      <sheetName val="원가서"/>
      <sheetName val="화설내"/>
      <sheetName val="자재집계표"/>
      <sheetName val="건축집계"/>
      <sheetName val="공사비예산서(토목분)"/>
      <sheetName val="수량3"/>
      <sheetName val="실행간접비용"/>
      <sheetName val="주경기-오배수"/>
      <sheetName val="집계표(OPTION)"/>
      <sheetName val="설계서"/>
      <sheetName val="예산서"/>
      <sheetName val="총공사비"/>
      <sheetName val="확약서"/>
      <sheetName val="선정요령"/>
      <sheetName val="토공(우물통,기타) "/>
      <sheetName val="명단"/>
      <sheetName val="Eq. Mobilization"/>
      <sheetName val="1_수인터널"/>
      <sheetName val="6PILE__(돌출)"/>
      <sheetName val="2_대외공문"/>
      <sheetName val="설_계"/>
      <sheetName val="AS포장복구_"/>
      <sheetName val="원가계산 (2)"/>
      <sheetName val="포장공자재집계표"/>
      <sheetName val="연습"/>
      <sheetName val="내역(최종본4_5)"/>
      <sheetName val="0_0ControlSheet"/>
      <sheetName val="0_1keyAssumption"/>
      <sheetName val="경영상태"/>
      <sheetName val="_REF"/>
      <sheetName val="일위(PN)"/>
      <sheetName val="건축내역(진해석동)"/>
      <sheetName val="음료실행"/>
      <sheetName val="종단계산"/>
      <sheetName val="J直材4"/>
      <sheetName val="물집"/>
      <sheetName val="플랜트 설치"/>
      <sheetName val="가로등내역서"/>
      <sheetName val="전라자금"/>
      <sheetName val="b_yesan"/>
      <sheetName val="하중"/>
      <sheetName val="배수내역"/>
      <sheetName val="팔당터널(1공구)"/>
      <sheetName val="국내"/>
      <sheetName val="우석문틀"/>
      <sheetName val="날개벽"/>
      <sheetName val="콤보박스와 리스트박스의 연결"/>
      <sheetName val="유형처분"/>
      <sheetName val="견적대비표"/>
      <sheetName val="Type(123)"/>
      <sheetName val="입적6-10"/>
      <sheetName val="공량산출서"/>
      <sheetName val="97년 추정"/>
      <sheetName val="현장관리비 산출내역"/>
      <sheetName val="98수문일위"/>
      <sheetName val="증감내역서"/>
      <sheetName val="단가(반정1교-원주)"/>
      <sheetName val="주요자재단가"/>
      <sheetName val="각형맨홀"/>
      <sheetName val="본공사"/>
      <sheetName val="JUCKEYK"/>
      <sheetName val="S0"/>
      <sheetName val="마산방향"/>
      <sheetName val="진주방향"/>
      <sheetName val="인건비"/>
      <sheetName val="경비2내역"/>
      <sheetName val="INPUT(덕도방향-시점)"/>
      <sheetName val="경영혁신본부"/>
      <sheetName val="설계명세서"/>
      <sheetName val="예산M6-B"/>
      <sheetName val="AB자재단가"/>
      <sheetName val="상세산출"/>
      <sheetName val="발주설계서(당초)"/>
      <sheetName val="횡배수관"/>
      <sheetName val="품셈TABLE"/>
      <sheetName val="현황산출서"/>
      <sheetName val="수량산출서"/>
      <sheetName val="시중노임단가"/>
      <sheetName val="적현로"/>
      <sheetName val="설계기준"/>
      <sheetName val="내역1"/>
      <sheetName val="비교1"/>
      <sheetName val="신우"/>
      <sheetName val="DC-O-4-S(설명서)"/>
      <sheetName val="평균터파기고(1-2,ASP)"/>
      <sheetName val="일위대가목차"/>
      <sheetName val="학생내역"/>
      <sheetName val="밸브설치"/>
      <sheetName val="전기단가조사서"/>
      <sheetName val="IW-LIST"/>
      <sheetName val="공정표 "/>
      <sheetName val="1.설계기준"/>
      <sheetName val="F4-F7"/>
      <sheetName val="장비당단가 (1)"/>
      <sheetName val="Sheet2 (2)"/>
      <sheetName val="업무"/>
      <sheetName val="내역서01"/>
      <sheetName val="S12"/>
      <sheetName val="CPM챠트"/>
      <sheetName val="지우지마"/>
      <sheetName val="토목"/>
      <sheetName val="건축공사"/>
      <sheetName val="VXXXXXXX"/>
      <sheetName val="집계표(수배전제조구매)"/>
      <sheetName val="50-4(2차)"/>
      <sheetName val="TEST1"/>
      <sheetName val="수량집계표"/>
      <sheetName val="배수공"/>
      <sheetName val="별표 "/>
      <sheetName val="예산내역서"/>
      <sheetName val="부대공Ⅱ"/>
      <sheetName val="맨홀(2호)"/>
      <sheetName val="2.건축"/>
      <sheetName val="자재입고내역"/>
      <sheetName val="노임대장(지역주민)"/>
      <sheetName val="노임대장(철근)"/>
      <sheetName val="노임대장(목수)"/>
      <sheetName val="(구조물용역-가람)"/>
      <sheetName val="노임대장(용역-가람)남자"/>
      <sheetName val="노임대장(용역-가람)여자"/>
      <sheetName val="노임대장(방수공)"/>
      <sheetName val="총집계표"/>
      <sheetName val="간지"/>
      <sheetName val="기계경비"/>
      <sheetName val="3F"/>
      <sheetName val="base"/>
      <sheetName val="총괄"/>
      <sheetName val="포설list원본"/>
      <sheetName val="세부내역서"/>
      <sheetName val="공사비산출내역"/>
      <sheetName val="신공항A-;(원가수정)"/>
      <sheetName val="수 량 명 세 서 - 1"/>
      <sheetName val="견적조건"/>
      <sheetName val="CALCULATION"/>
      <sheetName val="현경"/>
      <sheetName val="기초(1)"/>
      <sheetName val="내역분기"/>
      <sheetName val="차수"/>
      <sheetName val="건축적용원가계산"/>
      <sheetName val="설-원가"/>
      <sheetName val="FB25JN"/>
      <sheetName val="참조"/>
      <sheetName val="Sheet9"/>
      <sheetName val="수입"/>
      <sheetName val="건설성적"/>
      <sheetName val="건축-물가변동"/>
      <sheetName val="실행(ALT1)"/>
      <sheetName val="깨기"/>
      <sheetName val="기계경비일람"/>
      <sheetName val="보도경계블럭"/>
      <sheetName val="수토공단위당"/>
      <sheetName val="업무분장"/>
      <sheetName val="지급자재"/>
      <sheetName val="구조물철거타공정이월"/>
      <sheetName val="A"/>
      <sheetName val="식재수량표"/>
      <sheetName val="식재일위"/>
      <sheetName val="5.2코핑"/>
      <sheetName val="남양내역"/>
      <sheetName val="1호맨홀수량산출"/>
      <sheetName val="관련자료입력"/>
      <sheetName val="명세서"/>
      <sheetName val="산수배수"/>
      <sheetName val="정보"/>
      <sheetName val="자금청구"/>
      <sheetName val="프라임 강변역(4,236)"/>
      <sheetName val="파이프류"/>
      <sheetName val="장비별표(오거보링)(Ø400)(12M)"/>
      <sheetName val="1차설계변경내역"/>
      <sheetName val="choose"/>
      <sheetName val="설내역서 "/>
      <sheetName val="입찰"/>
      <sheetName val="마산월령동골조물량변경"/>
      <sheetName val="견적을지"/>
      <sheetName val="건집"/>
      <sheetName val="기집"/>
      <sheetName val="토집"/>
      <sheetName val="조집"/>
      <sheetName val="2000년 공정표"/>
      <sheetName val="입찰보고"/>
      <sheetName val="산출금액내역"/>
      <sheetName val="유림골조"/>
      <sheetName val="코드"/>
      <sheetName val="위생기구"/>
      <sheetName val="기계실냉난방"/>
      <sheetName val="Baby일위대가"/>
      <sheetName val="경상비"/>
      <sheetName val="앵커구조계산"/>
      <sheetName val="집 계 표"/>
      <sheetName val="P.M 별"/>
      <sheetName val="산출근거"/>
      <sheetName val="TOT"/>
      <sheetName val="철근단면적"/>
      <sheetName val="부안일위"/>
      <sheetName val="모래기초"/>
      <sheetName val="전체ﾴ엿서"/>
      <sheetName val="덕전리"/>
      <sheetName val="구조물터파기수량집계"/>
      <sheetName val="측구터파기공수량집계"/>
      <sheetName val="배수공 시멘트 및 골재량 산출"/>
      <sheetName val="내   역"/>
      <sheetName val="7.PILE  (돌출)"/>
      <sheetName val="예산총괄표"/>
      <sheetName val="재료비"/>
      <sheetName val="대림경상68억"/>
      <sheetName val="TBN실행"/>
      <sheetName val="지중자재단가"/>
      <sheetName val="간접"/>
      <sheetName val="대우"/>
      <sheetName val="1맨AO"/>
      <sheetName val="C-노임단가"/>
      <sheetName val="데이타"/>
      <sheetName val="수목단가"/>
      <sheetName val="시설수량표"/>
      <sheetName val="영업소실적"/>
      <sheetName val="내역서변경성원"/>
      <sheetName val="동원(3)"/>
      <sheetName val="내역서(전기)"/>
      <sheetName val="간접경상비"/>
      <sheetName val="BREAKDOWN(철거설치)"/>
      <sheetName val="PI"/>
      <sheetName val="연부97-1"/>
      <sheetName val="갑지1"/>
      <sheetName val="실행(표지,갑,을)"/>
      <sheetName val="1.본부별"/>
      <sheetName val="sw1"/>
      <sheetName val="말고개터널조명전압강하"/>
      <sheetName val="2000.05"/>
      <sheetName val="ITEM"/>
      <sheetName val="소비자가"/>
      <sheetName val="내역서당초"/>
      <sheetName val="변경후-SHEET"/>
      <sheetName val="000000"/>
      <sheetName val="8.PILE  (돌출)"/>
      <sheetName val="울산자금"/>
      <sheetName val="機器明細(MC)"/>
      <sheetName val="변경후원본2"/>
      <sheetName val="강북라우터"/>
      <sheetName val="공사분석"/>
      <sheetName val="샘플표지"/>
      <sheetName val="역T형"/>
      <sheetName val="2.교량(신설)"/>
      <sheetName val="마감사양"/>
      <sheetName val="본부장"/>
      <sheetName val="현장별"/>
      <sheetName val="설계변경내역서"/>
      <sheetName val="원가계산"/>
      <sheetName val="FI원가_1"/>
      <sheetName val="시운전연료"/>
      <sheetName val="포장공"/>
      <sheetName val="구조물"/>
      <sheetName val="INPUT"/>
      <sheetName val="CIP 공사"/>
      <sheetName val="도급표지_1"/>
      <sheetName val="도급표지__(4)1"/>
      <sheetName val="부대표지_(4)1"/>
      <sheetName val="도급표지__(3)1"/>
      <sheetName val="부대표지_(3)1"/>
      <sheetName val="도급표지__(2)1"/>
      <sheetName val="부대표지_(2)1"/>
      <sheetName val="토__목1"/>
      <sheetName val="조__경1"/>
      <sheetName val="전_기1"/>
      <sheetName val="건__축1"/>
      <sheetName val="1공구_건정토건_토공1"/>
      <sheetName val="1공구_건정토건_철콘1"/>
      <sheetName val="보도내역_(3)1"/>
      <sheetName val="준검_내역서1"/>
      <sheetName val="입출재고현황_(2)"/>
      <sheetName val="Sheet1_(2)"/>
      <sheetName val="근로자자료입력"/>
      <sheetName val="참고자료"/>
      <sheetName val="배수관공"/>
      <sheetName val="측구공"/>
      <sheetName val="1차3회-개소별명세서-빨간색-인쇄용(21873)"/>
      <sheetName val="토목품셈"/>
      <sheetName val="투찰내역서"/>
      <sheetName val="1_수인터널1"/>
      <sheetName val="6PILE__(돌출)1"/>
      <sheetName val="AS포장복구_1"/>
      <sheetName val="2_대외공문1"/>
      <sheetName val="설_계1"/>
      <sheetName val="CIP_공사"/>
      <sheetName val="실행내역서_"/>
      <sheetName val="1_설계조건"/>
      <sheetName val="노원열병합__건축공사기성내역서"/>
      <sheetName val="1__설계조건_2_단면가정_3__하중계산"/>
      <sheetName val="DATA_입력란"/>
      <sheetName val="4_내진설계"/>
      <sheetName val="사통"/>
      <sheetName val="DATA 입력부"/>
      <sheetName val="공통가설공사"/>
      <sheetName val="구분자"/>
      <sheetName val="작성기준"/>
      <sheetName val="식재"/>
      <sheetName val="시설물"/>
      <sheetName val="식재출력용"/>
      <sheetName val="유지관리"/>
      <sheetName val="견적의뢰서"/>
      <sheetName val="현장일반사항"/>
      <sheetName val="기본DATA"/>
      <sheetName val="아파트-가설"/>
      <sheetName val="일위대가목록"/>
      <sheetName val="현장지지물물량"/>
      <sheetName val="원가"/>
      <sheetName val="공통자료"/>
      <sheetName val="토량1-1"/>
      <sheetName val="안전시설내역서"/>
      <sheetName val="기흥하도용"/>
      <sheetName val="총공사내역서"/>
      <sheetName val="SUB일위대가"/>
      <sheetName val="48일위"/>
      <sheetName val="49일위"/>
      <sheetName val="22일위"/>
      <sheetName val="_총괄표"/>
      <sheetName val="인건비_"/>
      <sheetName val="BSD_(2)"/>
      <sheetName val="1_취수장"/>
      <sheetName val="전차선로_물량표"/>
      <sheetName val="96보완계획7_12"/>
      <sheetName val="콤보박스와_리스트박스의_연결"/>
      <sheetName val="01"/>
      <sheetName val="은행"/>
      <sheetName val="CTEMCOST"/>
      <sheetName val="상호참고자료"/>
      <sheetName val="발주처자료입력"/>
      <sheetName val="회사기본자료"/>
      <sheetName val="하자보증자료"/>
      <sheetName val="기술자관련자료"/>
      <sheetName val="1.3.1절점좌표"/>
      <sheetName val="1.1설계기준"/>
      <sheetName val="설계내역"/>
      <sheetName val="구단"/>
      <sheetName val="969910( R)"/>
      <sheetName val="조건"/>
      <sheetName val="WORK"/>
      <sheetName val="직공비"/>
      <sheetName val="건축토목실행내역"/>
      <sheetName val="5사남"/>
      <sheetName val="가시설(TYPE-A)"/>
      <sheetName val="1-1평균터파기고(1)"/>
      <sheetName val="램머"/>
      <sheetName val="표지 (3)"/>
      <sheetName val="표지 (2)"/>
      <sheetName val="주요자재1"/>
      <sheetName val="주요자재2"/>
      <sheetName val="시멘트골재량"/>
      <sheetName val="구조물골재"/>
      <sheetName val="철근1"/>
      <sheetName val="구조물타공종이월"/>
      <sheetName val="타공종이월"/>
      <sheetName val="철근수량1"/>
      <sheetName val="교각수량"/>
      <sheetName val="토공"/>
      <sheetName val="철근수량2"/>
      <sheetName val="교각집계"/>
      <sheetName val="교각토공"/>
      <sheetName val="교각철근"/>
      <sheetName val="교각집계 (2)"/>
      <sheetName val="교각토공 (2)"/>
      <sheetName val="수량산출서 갑지"/>
      <sheetName val="광통신 견적내역서1"/>
      <sheetName val="전기실-1"/>
      <sheetName val="잡철물"/>
      <sheetName val="할증 "/>
      <sheetName val="EJ"/>
      <sheetName val="교통대책내역"/>
      <sheetName val="unit 4"/>
      <sheetName val="당초"/>
      <sheetName val="단중"/>
      <sheetName val="금융비용"/>
      <sheetName val="4.경비 5.영업외수지"/>
      <sheetName val="전체"/>
      <sheetName val="TS"/>
      <sheetName val="지급어음"/>
      <sheetName val="최종보고1"/>
      <sheetName val="9-1차이내역"/>
      <sheetName val=" 견적서"/>
      <sheetName val="3월"/>
      <sheetName val="CJE"/>
      <sheetName val="교각철근 (2)"/>
      <sheetName val="제경비"/>
      <sheetName val="수량집계"/>
      <sheetName val="수량(교각)"/>
      <sheetName val="수량산출(2)"/>
      <sheetName val="단가(동바리)"/>
      <sheetName val="단가(강재운반)"/>
      <sheetName val="추진계획"/>
      <sheetName val="추진실적"/>
      <sheetName val="공정표"/>
      <sheetName val="일수계산"/>
      <sheetName val="터널공기"/>
      <sheetName val="업협(토공,철콘)"/>
      <sheetName val="실행예산"/>
      <sheetName val="시방서"/>
      <sheetName val="계약현황"/>
      <sheetName val="견적(토공)"/>
      <sheetName val="견적(철콘)"/>
      <sheetName val="xxxxxx"/>
      <sheetName val="0000"/>
      <sheetName val="현황"/>
      <sheetName val="철콘"/>
      <sheetName val="laroux"/>
      <sheetName val="도급예정1199"/>
      <sheetName val="외주대비"/>
      <sheetName val="수정실행"/>
      <sheetName val="단가산출근거"/>
      <sheetName val="1안"/>
      <sheetName val="단가표"/>
      <sheetName val="입력"/>
      <sheetName val="상수도토공집계표"/>
      <sheetName val="중기가격"/>
      <sheetName val="1,2공구원가계산서"/>
      <sheetName val="2공구산출내역"/>
      <sheetName val="1공구산출내역서"/>
      <sheetName val="증감분석"/>
      <sheetName val="대비표"/>
      <sheetName val="XL4Poppy"/>
      <sheetName val="적용토목"/>
      <sheetName val="식재인부"/>
      <sheetName val="평자재단가"/>
      <sheetName val="NOMUBI"/>
      <sheetName val="벽체면적당일위대가"/>
      <sheetName val="현장인원투입"/>
      <sheetName val="장비투입계획"/>
      <sheetName val="현황사진"/>
      <sheetName val="옹벽"/>
      <sheetName val="외주대비-구조물"/>
      <sheetName val="외주대비 -석축"/>
      <sheetName val="주식"/>
      <sheetName val="원내역서 그대로"/>
      <sheetName val="출장내역"/>
      <sheetName val="일위"/>
      <sheetName val="조명율표"/>
      <sheetName val="8)중점관리장비현황"/>
      <sheetName val="돈암사업"/>
      <sheetName val="효율표"/>
      <sheetName val="전체기준Data"/>
      <sheetName val="간접재료비산출표-27-30"/>
      <sheetName val="소방사항"/>
      <sheetName val="10동"/>
      <sheetName val="1"/>
      <sheetName val="10"/>
      <sheetName val="11"/>
      <sheetName val="12"/>
      <sheetName val="13"/>
      <sheetName val="14"/>
      <sheetName val="15"/>
      <sheetName val="16"/>
      <sheetName val="2"/>
      <sheetName val="3"/>
      <sheetName val="4"/>
      <sheetName val="5"/>
      <sheetName val="6"/>
      <sheetName val="7"/>
      <sheetName val="8"/>
      <sheetName val="9"/>
      <sheetName val="남양시작동010313100%"/>
      <sheetName val="database"/>
      <sheetName val="기둥(원형)"/>
      <sheetName val="조명일위"/>
      <sheetName val="정렬"/>
      <sheetName val="현금흐름"/>
      <sheetName val="공통부대비"/>
      <sheetName val="개산공사비"/>
      <sheetName val="FORM-0"/>
      <sheetName val="외주대비-구조물 (2)"/>
      <sheetName val="견적표지 (3)"/>
      <sheetName val="정태현"/>
      <sheetName val=" HIT-&gt;HMC 견적(3900)"/>
      <sheetName val="한전일위"/>
      <sheetName val="요율"/>
      <sheetName val="투찰내역"/>
      <sheetName val="간접비계산"/>
      <sheetName val="합계"/>
      <sheetName val="일위CODE"/>
      <sheetName val="Macro1"/>
      <sheetName val="중기비"/>
      <sheetName val="품셈"/>
      <sheetName val="#2_일위대가목록"/>
      <sheetName val="관급자재"/>
      <sheetName val="일  위  대  가  목  록"/>
      <sheetName val="당초명세(평)"/>
      <sheetName val="일위산출"/>
      <sheetName val="세부추진"/>
      <sheetName val="제안서"/>
      <sheetName val="상용보강"/>
      <sheetName val="행정표준(1)"/>
      <sheetName val="행정표준(2)"/>
      <sheetName val="1공구원가계산서"/>
      <sheetName val="1유리"/>
      <sheetName val="금액결정"/>
      <sheetName val="인부신상자료"/>
      <sheetName val="장문교(대전)"/>
      <sheetName val="간접(90)"/>
      <sheetName val="우배수"/>
      <sheetName val="계산식"/>
      <sheetName val="INSTR"/>
      <sheetName val="조건표"/>
      <sheetName val="장비"/>
      <sheetName val="산근1"/>
      <sheetName val="노무"/>
      <sheetName val="설계가"/>
      <sheetName val="품셈총괄표"/>
      <sheetName val="교각토공 _2_"/>
      <sheetName val="일위대가D"/>
      <sheetName val="HRSG SMALL07220"/>
      <sheetName val="기본설계기준"/>
      <sheetName val="단가적용"/>
      <sheetName val="운반비요율"/>
      <sheetName val="6. 안전관리비"/>
      <sheetName val="유동표"/>
      <sheetName val="하도내역 (철콘)"/>
      <sheetName val="특기사항"/>
      <sheetName val="내부마감"/>
      <sheetName val="가중치"/>
      <sheetName val="일반수량"/>
      <sheetName val="원본"/>
      <sheetName val="평3"/>
      <sheetName val="교각"/>
      <sheetName val="빙100장비사양"/>
      <sheetName val="Mc1"/>
      <sheetName val="tggwan(mac)"/>
      <sheetName val="소소총괄표"/>
      <sheetName val="guard(mac)"/>
      <sheetName val="b_balju"/>
      <sheetName val="3.공통공사대비"/>
      <sheetName val="내역(한신APT)"/>
      <sheetName val="Macro2"/>
      <sheetName val="1단계"/>
      <sheetName val="일위총괄"/>
      <sheetName val="작업일보"/>
      <sheetName val="내역전기"/>
      <sheetName val="노무비 근거"/>
      <sheetName val="수정2"/>
      <sheetName val="표지1"/>
      <sheetName val="조건표 (2)"/>
      <sheetName val="10공구일위"/>
      <sheetName val="3개월-백데이타"/>
      <sheetName val="LG배관재단가"/>
      <sheetName val="다다수전류단가"/>
      <sheetName val="LG유통상품단가표"/>
      <sheetName val="임율 Data"/>
      <sheetName val="작성방법"/>
      <sheetName val="안산기계장치"/>
      <sheetName val="계약전체내역서"/>
      <sheetName val="예정공정(2차분)"/>
      <sheetName val="총괄간지"/>
      <sheetName val="발주간지"/>
      <sheetName val="1차전체변경"/>
      <sheetName val="2차전체변경예정"/>
      <sheetName val="2차전체변경예정 (2)"/>
      <sheetName val="전체변경p"/>
      <sheetName val="04계약"/>
      <sheetName val="사용계획서"/>
      <sheetName val="04착공계약내역서"/>
      <sheetName val="04변경-상하p"/>
      <sheetName val="전체증감"/>
      <sheetName val="1차분증감"/>
      <sheetName val="잔여분증감"/>
      <sheetName val="1차사용계획서"/>
      <sheetName val="1차간지"/>
      <sheetName val="1차분계약내역서"/>
      <sheetName val="이정표토공"/>
      <sheetName val="토공유동표(전체.당초)"/>
      <sheetName val="개거총"/>
      <sheetName val="일위대가목록표"/>
      <sheetName val="추가예산"/>
      <sheetName val="목차 "/>
      <sheetName val="일위산출근거"/>
      <sheetName val="단위단가"/>
      <sheetName val="예산총괄"/>
      <sheetName val="공정집계_국별"/>
      <sheetName val="표준건축비"/>
      <sheetName val="별표집계"/>
      <sheetName val="A1"/>
      <sheetName val="일위단가"/>
      <sheetName val="c_balju"/>
      <sheetName val="입력데이타"/>
      <sheetName val="ORIGIN"/>
      <sheetName val="노임조서"/>
      <sheetName val="IT-BAT"/>
      <sheetName val="수문일위1"/>
      <sheetName val="중기"/>
      <sheetName val="U형개거"/>
      <sheetName val="인원"/>
      <sheetName val="약품공급2"/>
      <sheetName val="DHEQSUPT"/>
      <sheetName val="호안사석"/>
      <sheetName val="배수자집"/>
      <sheetName val="유입량"/>
      <sheetName val="표지_(3)"/>
      <sheetName val="표지_(2)"/>
      <sheetName val="교각집계_(2)"/>
      <sheetName val="교각토공_(2)"/>
      <sheetName val="교각철근_(2)"/>
      <sheetName val="외주대비_-석축"/>
      <sheetName val="외주대비-구조물_(2)"/>
      <sheetName val="견적표지_(3)"/>
      <sheetName val="_HIT-&gt;HMC_견적(3900)"/>
      <sheetName val="일__위__대__가__목__록"/>
      <sheetName val="교각토공__2_"/>
      <sheetName val="6__안전관리비"/>
      <sheetName val="3_공통공사대비"/>
      <sheetName val="HRSG_SMALL07220"/>
      <sheetName val="97년_추정"/>
      <sheetName val="이월"/>
      <sheetName val="2터널시점"/>
      <sheetName val="SLAB근거-1"/>
      <sheetName val="단면 (2)"/>
      <sheetName val="업체별기성내역"/>
      <sheetName val="포장(수량)-관로부"/>
      <sheetName val="기초1"/>
      <sheetName val="잡비"/>
      <sheetName val="음성방향"/>
      <sheetName val="유치원내역"/>
      <sheetName val="P_RPTB04_산근"/>
      <sheetName val="하도금액분계"/>
      <sheetName val="견적"/>
      <sheetName val="수량분개내역"/>
      <sheetName val="간선계산"/>
      <sheetName val="b_balju (2)"/>
      <sheetName val="b_gunmul"/>
      <sheetName val="내역(2000년)"/>
      <sheetName val="일일"/>
      <sheetName val="#2정산"/>
      <sheetName val="DANGA"/>
      <sheetName val="첨부1"/>
      <sheetName val="기본단가표"/>
      <sheetName val="8.현장관리비"/>
      <sheetName val="7.안전관리비"/>
      <sheetName val="7. 현장관리비 "/>
      <sheetName val="노무비 "/>
      <sheetName val="내역서 제출"/>
      <sheetName val="자료입력"/>
      <sheetName val="제경비산출서"/>
      <sheetName val="공사비증감"/>
      <sheetName val="BND"/>
      <sheetName val="공사내역서(을)실행"/>
      <sheetName val="환기시설"/>
      <sheetName val="조명"/>
      <sheetName val="점보전력사용"/>
      <sheetName val="단면"/>
      <sheetName val="배수처리"/>
      <sheetName val="입력자료(노무비)"/>
      <sheetName val="일위대가표48"/>
      <sheetName val="2000용수잠관-수량집계"/>
      <sheetName val="구조     ."/>
      <sheetName val="토공(1)"/>
      <sheetName val="차수공(1)"/>
      <sheetName val="전문하도급"/>
      <sheetName val="교량전기"/>
      <sheetName val="평가데이터"/>
      <sheetName val="인명부"/>
      <sheetName val="장비단가"/>
      <sheetName val="가스"/>
      <sheetName val="양수장(기계)"/>
      <sheetName val="직접비"/>
      <sheetName val="건장설비"/>
      <sheetName val="(당평)자재"/>
      <sheetName val="사업관리"/>
      <sheetName val="운반"/>
      <sheetName val="물가자료"/>
      <sheetName val="기성갑지"/>
      <sheetName val="간 지1"/>
      <sheetName val="일위(시설)"/>
      <sheetName val="콘크리트타설집계표"/>
      <sheetName val="화재 탐지 설비"/>
      <sheetName val="(원)기흥상갈"/>
      <sheetName val="4.일위대가집계"/>
      <sheetName val="날개벽수량표"/>
      <sheetName val="5. 현장관리비(new) "/>
      <sheetName val="Customer Databas"/>
      <sheetName val="예가표"/>
      <sheetName val="결재난"/>
      <sheetName val="방배동내역(리라)"/>
      <sheetName val="현장경비"/>
      <sheetName val="건축공사집계표"/>
      <sheetName val="방배동내역 (총괄)"/>
      <sheetName val="부대공사총괄"/>
      <sheetName val="만년달력"/>
      <sheetName val="단가산출(T)"/>
      <sheetName val="공사원가계산서"/>
      <sheetName val="인사자료"/>
      <sheetName val="맨홀수량산출"/>
      <sheetName val="재료집계표"/>
      <sheetName val="cable-data"/>
      <sheetName val="노무비산출"/>
      <sheetName val="제잡비_xls"/>
      <sheetName val="3BL공동구_수량"/>
      <sheetName val="부대입찰_내역서"/>
      <sheetName val="2_고용보험료산출근거"/>
      <sheetName val="설내역서_"/>
      <sheetName val="1공구_건정토건_토공2"/>
      <sheetName val="#3E1_GCR"/>
      <sheetName val="입찰내역"/>
      <sheetName val="96노임기준"/>
      <sheetName val="기초입력 DATA"/>
      <sheetName val="1공구_건정토건_철콘2"/>
      <sheetName val="도급표지_2"/>
      <sheetName val="도급표지__(4)2"/>
      <sheetName val="부대표지_(4)2"/>
      <sheetName val="도급표지__(3)2"/>
      <sheetName val="부대표지_(3)2"/>
      <sheetName val="도급표지__(2)2"/>
      <sheetName val="부대표지_(2)2"/>
      <sheetName val="토__목2"/>
      <sheetName val="조__경2"/>
      <sheetName val="전_기2"/>
      <sheetName val="건__축2"/>
      <sheetName val="보도내역_(3)2"/>
      <sheetName val="준검_내역서2"/>
      <sheetName val="1_수인터널2"/>
      <sheetName val="AS포장복구_2"/>
      <sheetName val="2_대외공문2"/>
      <sheetName val="6PILE__(돌출)2"/>
      <sheetName val="설_계2"/>
      <sheetName val="내역(최종본4_5)2"/>
      <sheetName val="Sheet1_(2)1"/>
      <sheetName val="0_0ControlSheet2"/>
      <sheetName val="0_1keyAssumption2"/>
      <sheetName val="입출재고현황_(2)1"/>
      <sheetName val="부대입찰_내역서1"/>
      <sheetName val="전차선로_물량표1"/>
      <sheetName val="BSD_(2)1"/>
      <sheetName val="4_내진설계1"/>
      <sheetName val="3BL공동구_수량1"/>
      <sheetName val="토공(우물통,기타)_1"/>
      <sheetName val="96보완계획7_121"/>
      <sheetName val="1__설계조건_2_단면가정_3__하중계산1"/>
      <sheetName val="DATA_입력란1"/>
      <sheetName val="1_취수장1"/>
      <sheetName val="인건비_1"/>
      <sheetName val="_총괄표1"/>
      <sheetName val="제잡비_xls1"/>
      <sheetName val="2_고용보험료산출근거1"/>
      <sheetName val="Eq__Mobilization1"/>
      <sheetName val="원가계산_(2)1"/>
      <sheetName val="실행내역서_1"/>
      <sheetName val="노원열병합__건축공사기성내역서1"/>
      <sheetName val="97년_추정1"/>
      <sheetName val="현장관리비_산출내역1"/>
      <sheetName val="1_설계조건1"/>
      <sheetName val="현장별계약현황('98_10_31)1"/>
      <sheetName val="콤보박스와_리스트박스의_연결1"/>
      <sheetName val="플랜트_설치1"/>
      <sheetName val="내역(최종본4_5)1"/>
      <sheetName val="0_0ControlSheet1"/>
      <sheetName val="0_1keyAssumption1"/>
      <sheetName val="토공(우물통,기타)_"/>
      <sheetName val="Eq__Mobilization"/>
      <sheetName val="원가계산_(2)"/>
      <sheetName val="현장관리비_산출내역"/>
      <sheetName val="현장별계약현황('98_10_31)"/>
      <sheetName val="플랜트_설치"/>
      <sheetName val="전계가"/>
      <sheetName val="VXXXXX"/>
      <sheetName val="원남"/>
      <sheetName val="원가계산(조,투,실)"/>
      <sheetName val="관리비"/>
      <sheetName val="조사가추정"/>
      <sheetName val="업체"/>
      <sheetName val="대비집계장(견적)"/>
      <sheetName val="설계집계장"/>
      <sheetName val="실행집계장"/>
      <sheetName val="투찰집계장"/>
      <sheetName val="♣총괄내역서♣"/>
      <sheetName val="실행하도사항"/>
      <sheetName val="실행별지"/>
      <sheetName val="실행하도잡비"/>
      <sheetName val="실행토공하도"/>
      <sheetName val="실행철콘하도"/>
      <sheetName val="실행토공견갑"/>
      <sheetName val="실행토공견적"/>
      <sheetName val="실행철콘견갑"/>
      <sheetName val="실행철콘견적"/>
      <sheetName val="실행철강견갑"/>
      <sheetName val="실행철강견적"/>
      <sheetName val="단산"/>
      <sheetName val="설비"/>
      <sheetName val="PROJECT BRIEF"/>
      <sheetName val="감액총괄표"/>
      <sheetName val="내역서 (2)"/>
      <sheetName val="배수문"/>
      <sheetName val="EQUIP LIST"/>
      <sheetName val="Macro(전동기)"/>
      <sheetName val="재활용 악취_먼지DUCT산출"/>
      <sheetName val="항목지정"/>
      <sheetName val="경비산출"/>
      <sheetName val="유림콘도"/>
      <sheetName val="예정(3)"/>
      <sheetName val="공문"/>
      <sheetName val="시설물기초"/>
      <sheetName val="흄관기초"/>
      <sheetName val="품셈(기초)"/>
      <sheetName val="다곡2교"/>
      <sheetName val="CODE"/>
      <sheetName val="설계명세"/>
      <sheetName val="산출근거(S4)"/>
      <sheetName val="1-1호"/>
      <sheetName val="경비 (1)"/>
      <sheetName val="정부노임"/>
      <sheetName val="1F"/>
      <sheetName val="2F 회의실견적(5_14 일대)"/>
      <sheetName val="SF내역및원가02"/>
      <sheetName val="부산제일극장"/>
      <sheetName val="수주현황2월"/>
      <sheetName val="기기리스트"/>
      <sheetName val="울산자동제어"/>
      <sheetName val="일위_파일"/>
      <sheetName val="일반부표"/>
      <sheetName val="단가조사-2"/>
      <sheetName val="VE절감"/>
      <sheetName val="터파기및재료"/>
      <sheetName val="분전반일위대가"/>
      <sheetName val="기본사항"/>
      <sheetName val="P_x0005_"/>
      <sheetName val="P嘐"/>
      <sheetName val="4.장비손료"/>
      <sheetName val="Ⅱ1-0타"/>
      <sheetName val="실행"/>
      <sheetName val="말뚝지지력산정"/>
      <sheetName val="3차토목내역"/>
      <sheetName val="계약서"/>
      <sheetName val="식재일위대가"/>
      <sheetName val="기초일위대가"/>
      <sheetName val="단가대비표"/>
      <sheetName val="쌍송교"/>
      <sheetName val="인원현황"/>
      <sheetName val="이자율"/>
      <sheetName val="바닥판"/>
      <sheetName val="산근"/>
      <sheetName val="작성"/>
      <sheetName val="첨부1-1"/>
      <sheetName val="빙설"/>
      <sheetName val="횡날개수집"/>
      <sheetName val="DATA2000"/>
      <sheetName val="5.정산서"/>
      <sheetName val="포장직선구간"/>
      <sheetName val="제거식EA"/>
      <sheetName val="방송(체육관)"/>
      <sheetName val="NAIL단가산출"/>
      <sheetName val="부대공자재집계표"/>
      <sheetName val="본사인상전"/>
      <sheetName val="단양 00 아파트-세부내역"/>
      <sheetName val="산출기준(파견전산실)"/>
      <sheetName val="입력그림"/>
      <sheetName val="예산M12A"/>
      <sheetName val="예산M2"/>
      <sheetName val="송라터널총괄"/>
      <sheetName val="매원개착터널총괄"/>
      <sheetName val="점수계산1-2"/>
      <sheetName val="남양시작동자105노65기1.3화1.2"/>
      <sheetName val="관음목장(제출용)자105인97.5"/>
      <sheetName val="1062-X방향 "/>
      <sheetName val="포장수량집계"/>
      <sheetName val="(C)원내역"/>
      <sheetName val="b_balju_cho"/>
      <sheetName val="성서방향-교대(A2)"/>
      <sheetName val="내역총괄"/>
      <sheetName val="내역총괄2"/>
      <sheetName val="내역총괄3"/>
      <sheetName val="편성절차"/>
      <sheetName val="구조물공"/>
      <sheetName val="부대공"/>
      <sheetName val="2002자금수지계획(진행+신규)"/>
      <sheetName val="2변경1"/>
      <sheetName val="공사수행보고"/>
      <sheetName val="중기단가"/>
      <sheetName val="기안"/>
      <sheetName val="현장관리비데이타"/>
      <sheetName val="공정코드"/>
      <sheetName val="재료"/>
      <sheetName val="현장식당(1)"/>
      <sheetName val="내역및원가02"/>
      <sheetName val="단위중량"/>
      <sheetName val="TYPE1"/>
      <sheetName val="공사비"/>
      <sheetName val="배선(낙차)"/>
      <sheetName val="전도품의"/>
      <sheetName val="손익분석"/>
      <sheetName val="공통비"/>
      <sheetName val="VENDOR LIST"/>
      <sheetName val="정의"/>
      <sheetName val="영동(D)"/>
      <sheetName val="표층포설및다짐"/>
      <sheetName val="참조-(1)"/>
      <sheetName val="외주가공"/>
      <sheetName val="입력값"/>
      <sheetName val="설계기준 및 하중계산"/>
      <sheetName val="총괄집계 "/>
      <sheetName val="TABLE DB"/>
      <sheetName val="쌍용 data base"/>
      <sheetName val="15100"/>
      <sheetName val="산출근거#2-3"/>
      <sheetName val="전국현황"/>
      <sheetName val="일반관리비전체분당초변경대비표"/>
      <sheetName val="사용계획"/>
      <sheetName val="지급수수료월별금액산정"/>
      <sheetName val="상가지급현황"/>
      <sheetName val="전체내역 (2)"/>
      <sheetName val="Hyundai.Unit.cost.xls"/>
      <sheetName val="단위수량"/>
      <sheetName val="배수장토목공사비"/>
      <sheetName val="단중표"/>
      <sheetName val="수리결과"/>
      <sheetName val="중기조종사 단위단가"/>
      <sheetName val="인원계획"/>
      <sheetName val="금리계산"/>
      <sheetName val="경산"/>
      <sheetName val="lab"/>
      <sheetName val="청천내"/>
      <sheetName val="우수"/>
      <sheetName val="기자재비"/>
      <sheetName val="일위대가목록(ems)"/>
      <sheetName val="일위집계(기존)"/>
      <sheetName val="건설실행"/>
      <sheetName val="일반공사"/>
      <sheetName val="하도내역_(철콘)"/>
      <sheetName val="노무비_근거"/>
      <sheetName val="임율_Data"/>
      <sheetName val="조건표_(2)"/>
      <sheetName val="목차_"/>
      <sheetName val="1_설계기준"/>
      <sheetName val="7__현장관리비_"/>
      <sheetName val="SHL"/>
      <sheetName val="5_ 현장관리비_new_ "/>
      <sheetName val="인계"/>
      <sheetName val="Temporary Mooring"/>
      <sheetName val="A LINE"/>
      <sheetName val="U-TYPE(1)"/>
      <sheetName val="단위량당중기"/>
      <sheetName val="일위목록데이타"/>
      <sheetName val="기성내역"/>
      <sheetName val="전도금월정금액"/>
      <sheetName val="마산방향철근집계"/>
      <sheetName val="입력정보"/>
      <sheetName val="격점별물량"/>
      <sheetName val="일H35Y4"/>
      <sheetName val="측량요율"/>
      <sheetName val="자재대"/>
      <sheetName val="점검총괄"/>
      <sheetName val="제출내역 (2)"/>
      <sheetName val="동천하상준설"/>
      <sheetName val="원도급"/>
      <sheetName val="하도급"/>
      <sheetName val="일위대가집계"/>
      <sheetName val="식재가격"/>
      <sheetName val="식재총괄"/>
      <sheetName val="700seg"/>
      <sheetName val="RE9604"/>
      <sheetName val="BQ"/>
      <sheetName val="내역서2안"/>
      <sheetName val="소방"/>
      <sheetName val="대공종"/>
      <sheetName val="배명(단가)"/>
      <sheetName val="형틀공사"/>
      <sheetName val="관리"/>
      <sheetName val="적정"/>
      <sheetName val="하도"/>
      <sheetName val="별지"/>
      <sheetName val="보링"/>
      <sheetName val="철물"/>
      <sheetName val="철강재"/>
      <sheetName val="견적내역"/>
      <sheetName val="합의서"/>
      <sheetName val="포장"/>
      <sheetName val="5호광장(낙찰)"/>
      <sheetName val="5호광장"/>
      <sheetName val="5호광장 (만점)"/>
      <sheetName val="인천국제 (만점) (2)"/>
      <sheetName val="선거교가설공사"/>
      <sheetName val="선거교가설공사(만점)"/>
      <sheetName val="낙동강하구둑"/>
      <sheetName val="낙동강하구둑(만점)"/>
      <sheetName val="공원로-우남로"/>
      <sheetName val="공원로-우남로(만점)"/>
      <sheetName val="보림사우회도로"/>
      <sheetName val="보림사우회도로(만점)"/>
      <sheetName val="기초단가(03,상반기)"/>
      <sheetName val="노임(03,상반기)"/>
      <sheetName val="중기손료(03,상반기)"/>
      <sheetName val="중기가격(03)"/>
      <sheetName val="경비단가(02)"/>
      <sheetName val="총괄내역"/>
      <sheetName val="가시설수량"/>
      <sheetName val="가시설단위수량"/>
      <sheetName val="SORCE1"/>
      <sheetName val="장비가동"/>
      <sheetName val="현장업무"/>
      <sheetName val="품셈표"/>
      <sheetName val="신복2"/>
      <sheetName val="MAIN_TABLE"/>
      <sheetName val="현장"/>
      <sheetName val="전선 및 전선관"/>
      <sheetName val="수지표"/>
      <sheetName val="셀명"/>
      <sheetName val="총괄수지표"/>
      <sheetName val="도수로현황"/>
      <sheetName val="DB"/>
      <sheetName val="건축"/>
      <sheetName val="공주방향"/>
      <sheetName val="5호광장_(만점)"/>
      <sheetName val="인천국제_(만점)_(2)"/>
      <sheetName val="배수공_시멘트_및_골재량_산출"/>
      <sheetName val="대운산출"/>
      <sheetName val="산3_4"/>
      <sheetName val="정공공사"/>
      <sheetName val="70%"/>
      <sheetName val="집계표(공종별)"/>
      <sheetName val="교통표지판수량집계표"/>
      <sheetName val="Sheet14"/>
      <sheetName val="Sheet13"/>
      <sheetName val="산근(1)"/>
      <sheetName val="수목데이타 "/>
      <sheetName val="소일위대가코드표"/>
      <sheetName val="물량산출근거"/>
      <sheetName val="자재co"/>
      <sheetName val="UR2-Calculation"/>
      <sheetName val="사진"/>
      <sheetName val="예총"/>
      <sheetName val="L형옹벽"/>
      <sheetName val="포장절단"/>
      <sheetName val="1호맨홀토공"/>
      <sheetName val="Sight n M.H"/>
      <sheetName val="Trend(Agitator)"/>
      <sheetName val="단가 "/>
      <sheetName val="환율change"/>
      <sheetName val="GRDBS"/>
      <sheetName val="4 LINE"/>
      <sheetName val="7 th"/>
      <sheetName val="C10집계2"/>
      <sheetName val=" 갑지"/>
      <sheetName val="케이블규격"/>
      <sheetName val="COVERSHEET"/>
      <sheetName val="소화실적"/>
      <sheetName val="단위별용량계산"/>
      <sheetName val="총 원가계산"/>
      <sheetName val="매출요약(월별) -년간"/>
      <sheetName val="단위수량산출"/>
      <sheetName val="Piping Design Data"/>
      <sheetName val="4 &amp; 10-inch, CO2 Combo &amp; Sweep"/>
      <sheetName val="__MAIN"/>
      <sheetName val="과천MAIN"/>
      <sheetName val="터널조도"/>
      <sheetName val="부하LOAD"/>
      <sheetName val="1호맨홀가감수량"/>
      <sheetName val="ilch"/>
      <sheetName val="Table"/>
      <sheetName val="2.1"/>
      <sheetName val="COVER"/>
      <sheetName val="암거"/>
      <sheetName val="한성교회 신축공사(050713)_CheckList"/>
      <sheetName val="T기성9605"/>
      <sheetName val="검토현황"/>
      <sheetName val="증감내역"/>
      <sheetName val="말뚝기초(안정검토)-외측"/>
      <sheetName val="당진1,2호기전선관설치및접지4차공사내역서-을지"/>
      <sheetName val="현금흐름표"/>
      <sheetName val="07제품별수익성"/>
      <sheetName val="간이연락"/>
      <sheetName val="도급내역"/>
      <sheetName val="사  업  비  수  지  예  산  서"/>
      <sheetName val="BOJUNGGM"/>
      <sheetName val="심사"/>
      <sheetName val="DC"/>
      <sheetName val="단면설계"/>
      <sheetName val="안정검토"/>
      <sheetName val="1공구_건정토건_토공3"/>
      <sheetName val="1공구_건정토건_철콘3"/>
      <sheetName val="도급표지_3"/>
      <sheetName val="도급표지__(4)3"/>
      <sheetName val="부대표지_(4)3"/>
      <sheetName val="도급표지__(3)3"/>
      <sheetName val="부대표지_(3)3"/>
      <sheetName val="도급표지__(2)3"/>
      <sheetName val="부대표지_(2)3"/>
      <sheetName val="토__목3"/>
      <sheetName val="조__경3"/>
      <sheetName val="전_기3"/>
      <sheetName val="건__축3"/>
      <sheetName val="보도내역_(3)3"/>
      <sheetName val="준검_내역서3"/>
      <sheetName val="1_수인터널3"/>
      <sheetName val="6PILE__(돌출)3"/>
      <sheetName val="0_0ControlSheet3"/>
      <sheetName val="0_1keyAssumption3"/>
      <sheetName val="2_대외공문3"/>
      <sheetName val="설_계3"/>
      <sheetName val="Sheet1_(2)2"/>
      <sheetName val="AS포장복구_3"/>
      <sheetName val="내역(최종본4_5)3"/>
      <sheetName val="입출재고현황_(2)2"/>
      <sheetName val="96보완계획7_122"/>
      <sheetName val="1_취수장2"/>
      <sheetName val="_총괄표2"/>
      <sheetName val="전차선로_물량표2"/>
      <sheetName val="BSD_(2)2"/>
      <sheetName val="4_내진설계2"/>
      <sheetName val="인건비_2"/>
      <sheetName val="1__설계조건_2_단면가정_3__하중계산2"/>
      <sheetName val="DATA_입력란2"/>
      <sheetName val="2_고용보험료산출근거2"/>
      <sheetName val="노원열병합__건축공사기성내역서2"/>
      <sheetName val="제잡비_xls2"/>
      <sheetName val="3BL공동구_수량2"/>
      <sheetName val="부대입찰_내역서2"/>
      <sheetName val="토공(우물통,기타)_2"/>
      <sheetName val="현장별계약현황('98_10_31)2"/>
      <sheetName val="실행내역서_2"/>
      <sheetName val="원가계산_(2)2"/>
      <sheetName val="Eq__Mobilization2"/>
      <sheetName val="1_설계조건2"/>
      <sheetName val="플랜트_설치2"/>
      <sheetName val="콤보박스와_리스트박스의_연결2"/>
      <sheetName val="97년_추정2"/>
      <sheetName val="현장관리비_산출내역2"/>
      <sheetName val="장비당단가_(1)"/>
      <sheetName val="Sheet2_(2)"/>
      <sheetName val="내___역"/>
      <sheetName val="2_건축"/>
      <sheetName val="수_량_명_세_서_-_1"/>
      <sheetName val="프라임_강변역(4,236)"/>
      <sheetName val="8_PILE__(돌출)"/>
      <sheetName val="2000년_공정표"/>
      <sheetName val="집_계_표"/>
      <sheetName val="공정표_"/>
      <sheetName val="별표_"/>
      <sheetName val="설내역서_1"/>
      <sheetName val="CIP_공사1"/>
      <sheetName val="2_교량(신설)"/>
      <sheetName val="5_2코핑"/>
      <sheetName val="P_M_별"/>
      <sheetName val="7_PILE__(돌출)"/>
      <sheetName val="DATA_입력부"/>
      <sheetName val="4_장비손료"/>
      <sheetName val="표지_(3)1"/>
      <sheetName val="표지_(2)1"/>
      <sheetName val="교각집계_(2)1"/>
      <sheetName val="교각토공_(2)1"/>
      <sheetName val="교각철근_(2)1"/>
      <sheetName val="외주대비_-석축1"/>
      <sheetName val="외주대비-구조물_(2)1"/>
      <sheetName val="견적표지_(3)1"/>
      <sheetName val="_HIT-&gt;HMC_견적(3900)1"/>
      <sheetName val="일__위__대__가__목__록1"/>
      <sheetName val="4_경비_5_영업외수지"/>
      <sheetName val="_견적서"/>
      <sheetName val="광통신_견적내역서1"/>
      <sheetName val="할증_"/>
      <sheetName val="unit_4"/>
      <sheetName val="2000_05"/>
      <sheetName val="교각토공__2_1"/>
      <sheetName val="수량산출서_갑지"/>
      <sheetName val="HRSG_SMALL072201"/>
      <sheetName val="6__안전관리비1"/>
      <sheetName val="3_공통공사대비1"/>
      <sheetName val="1_3_1절점좌표"/>
      <sheetName val="1_1설계기준"/>
      <sheetName val="단양_00_아파트-세부내역"/>
      <sheetName val="2차전체변경예정_(2)"/>
      <sheetName val="토공유동표(전체_당초)"/>
      <sheetName val="단면_(2)"/>
      <sheetName val="b_balju_(2)"/>
      <sheetName val="8_현장관리비"/>
      <sheetName val="7_안전관리비"/>
      <sheetName val="노무비_"/>
      <sheetName val="내역서_제출"/>
      <sheetName val="구조______"/>
      <sheetName val="간_지1"/>
      <sheetName val="화재_탐지_설비"/>
      <sheetName val="4_일위대가집계"/>
      <sheetName val="5__현장관리비(new)_"/>
      <sheetName val="Customer_Databas"/>
      <sheetName val="방배동내역_(총괄)"/>
      <sheetName val="EQUIP_LIST"/>
      <sheetName val="5_정산서"/>
      <sheetName val="1_본부별"/>
      <sheetName val="기초입력_DATA"/>
      <sheetName val="재활용_악취_먼지DUCT산출"/>
      <sheetName val="현장관리비내역서"/>
      <sheetName val="일위대가-01"/>
      <sheetName val="용집"/>
      <sheetName val="ASALTOTA"/>
      <sheetName val="단Ⰰ비교표"/>
      <sheetName val="실唉내역서"/>
      <sheetName val="㋨가산출서"/>
      <sheetName val="시噔점쉤행"/>
      <sheetName val="횡배수ⴀ토공수량"/>
      <sheetName val="공䠜구간조서"/>
      <sheetName val="배수턵관(䢌)"/>
      <sheetName val="공㬸(신)"/>
      <sheetName val="강ⵐ(Sub)"/>
      <sheetName val="준걵조서Ⱁ지"/>
      <sheetName val="9GNG옴반"/>
      <sheetName val="㶀하(성남)"/>
      <sheetName val="부啘계산서"/>
      <sheetName val="冠사(PE)"/>
      <sheetName val="몰큈재료䂰출"/>
      <sheetName val="䣐_x0000__x0000_갑쥀)"/>
      <sheetName val="䴝괄내역서"/>
      <sheetName val="Nೃ拏-職"/>
      <sheetName val="㏄급표지_"/>
      <sheetName val="부㌀표지_(4)"/>
      <sheetName val="부㌀표지_(3)"/>
      <sheetName val="㶀대표지_(2)"/>
      <sheetName val="보㏄내역_(3)"/>
      <sheetName val="준Ⲁ_내역서"/>
      <sheetName val="⳵사비총ⴄ표"/>
      <sheetName val="1.䷨수장"/>
      <sheetName val="2000ㅄ하반기"/>
      <sheetName val=""/>
      <sheetName val="인ⱴ-측정"/>
      <sheetName val="4.뀴진설Ⳅ"/>
      <sheetName val="type-H"/>
      <sheetName val="4)䠠동표"/>
      <sheetName val="배ⴀ단가조사서"/>
      <sheetName val="䡼위대가(가설)"/>
      <sheetName val="䠑속도로1"/>
      <sheetName val="견䠁대비표"/>
      <sheetName val="교㌀(A1)"/>
      <sheetName val="부윬력정㦬"/>
      <sheetName val="전䰨선로 물량표"/>
      <sheetName val="COPINH"/>
      <sheetName val="공䠅별산출뀴역서"/>
      <sheetName val="䡼위(PN)"/>
      <sheetName val="전기일䠄대가"/>
      <sheetName val="전쉠환매도율"/>
      <sheetName val="䄤직윬-1"/>
      <sheetName val="현噩CODE"/>
      <sheetName val="䈘자䢬단위당"/>
      <sheetName val="일䠄대가(1)"/>
      <sheetName val="Ⰰ격조사서"/>
      <sheetName val="㶀대입찰 내역서"/>
      <sheetName val="자윬집계呜"/>
      <sheetName val="중기사용료산출근거"/>
      <sheetName val="단가 및 재료비"/>
      <sheetName val="수문보고"/>
      <sheetName val="수장"/>
      <sheetName val="strut type"/>
      <sheetName val="48_x0005__x0000_"/>
      <sheetName val="총체보활공정표"/>
      <sheetName val="상행-교대(A1-A2)"/>
      <sheetName val="도"/>
      <sheetName val="BQ(실행)"/>
      <sheetName val="옥외"/>
      <sheetName val="맨홀되메우기"/>
      <sheetName val="工완성공사율"/>
      <sheetName val="공정표_1"/>
      <sheetName val="1_설계기준1"/>
      <sheetName val="장비당단가_(1)1"/>
      <sheetName val="Sheet2_(2)1"/>
      <sheetName val="별표_1"/>
      <sheetName val="2_건축1"/>
      <sheetName val="수_량_명_세_서_-_11"/>
      <sheetName val="울산시산표"/>
      <sheetName val="총수량집계표"/>
      <sheetName val="지구단위계획"/>
      <sheetName val="다중모드"/>
      <sheetName val="옹벽단면치수"/>
      <sheetName val="상세도"/>
      <sheetName val="Sheet10"/>
      <sheetName val="통합"/>
      <sheetName val="기계 도급내역서"/>
      <sheetName val="철탑공사"/>
      <sheetName val="참고"/>
      <sheetName val="10.경제성분석"/>
      <sheetName val="중기일위대밀"/>
      <sheetName val="포장공사"/>
      <sheetName val="2.2_오피스텔(12~32F)"/>
      <sheetName val="기본일위"/>
      <sheetName val="일용직6월"/>
      <sheetName val="이형관중량"/>
      <sheetName val="일위대가(목록)"/>
      <sheetName val="산근(목록)"/>
      <sheetName val="월별손익"/>
      <sheetName val="양덕동"/>
      <sheetName val="추가일위대가"/>
      <sheetName val="COVER-P"/>
      <sheetName val="자동제어"/>
      <sheetName val="화전내"/>
      <sheetName val="일위총괄표"/>
      <sheetName val="252K444"/>
      <sheetName val="하중계산"/>
      <sheetName val="철근량"/>
      <sheetName val="일위대가 집계표"/>
      <sheetName val="일용직"/>
      <sheetName val="중기조종사_단위단가"/>
      <sheetName val="법면"/>
      <sheetName val="배수공1"/>
      <sheetName val="원가계산서(변경)"/>
      <sheetName val="터널대가"/>
      <sheetName val="관개"/>
      <sheetName val="9.1지하2층하부보"/>
      <sheetName val="일대"/>
      <sheetName val="단계별내역 (2)"/>
      <sheetName val="계측기"/>
      <sheetName val="인천제철"/>
      <sheetName val="주요항목별"/>
      <sheetName val="골조"/>
      <sheetName val="퍼스트"/>
      <sheetName val="변경내역"/>
      <sheetName val="4.일위대가"/>
      <sheetName val="제수변수량"/>
      <sheetName val="철골공사"/>
      <sheetName val="ETC"/>
      <sheetName val="토지산출내역"/>
      <sheetName val="기초단가일람표"/>
      <sheetName val="시가지우회도로공내역서"/>
      <sheetName val="1차설계Ꮗԯ_x0000_"/>
      <sheetName val="1차설계逷≙_xdc00_≙"/>
      <sheetName val="-15.0"/>
      <sheetName val="미드수량"/>
      <sheetName val="PĴ"/>
      <sheetName val="Pꮸ"/>
      <sheetName val="P估"/>
      <sheetName val="quotation"/>
      <sheetName val="용수간선"/>
      <sheetName val="장척총괄"/>
      <sheetName val="4월예정공정표"/>
      <sheetName val="가격"/>
      <sheetName val="일위목차"/>
      <sheetName val="출력X"/>
      <sheetName val="4.2.1 마루높이 검토"/>
      <sheetName val="일위대가1"/>
      <sheetName val="청 구"/>
      <sheetName val="암거(2)"/>
      <sheetName val="철거폐쇄현황"/>
      <sheetName val="교각별철근수량집계표"/>
      <sheetName val="기성금내역서"/>
      <sheetName val="배관물량집계(기본)"/>
      <sheetName val="hvac(제어동)"/>
      <sheetName val="수전기기DATA"/>
      <sheetName val="MIJIBI"/>
      <sheetName val="6동"/>
      <sheetName val="비교표"/>
      <sheetName val="단면치수"/>
      <sheetName val="97 사업추정(WEKI)"/>
      <sheetName val="품목"/>
      <sheetName val="전기2005"/>
      <sheetName val="참조자료"/>
      <sheetName val="기초공"/>
      <sheetName val="토  공"/>
      <sheetName val="미장"/>
      <sheetName val="콘센트신설"/>
      <sheetName val="평균높이산출근거"/>
      <sheetName val="횡배수관위치조서"/>
      <sheetName val="L형옹벽(key)"/>
      <sheetName val="01AC"/>
      <sheetName val="7.전산해석결과"/>
      <sheetName val="4.하중"/>
      <sheetName val="단지배치도"/>
      <sheetName val="입찰유의사항"/>
      <sheetName val="하도급이행사항"/>
      <sheetName val="공내역 및 견적조건"/>
      <sheetName val="특수조건"/>
      <sheetName val="참석확인"/>
      <sheetName val="일반물자(한국통신)"/>
      <sheetName val="108.수선비"/>
      <sheetName val="맨홀_공사비"/>
      <sheetName val="예산대비"/>
      <sheetName val="기본정보"/>
      <sheetName val="단가대비표 (3)"/>
      <sheetName val="TCDB"/>
      <sheetName val="kimre scrubber"/>
      <sheetName val="세부항목"/>
      <sheetName val="출력자료"/>
      <sheetName val="품종코드"/>
      <sheetName val="일반수량집계표"/>
      <sheetName val="대동교-단면(무장)"/>
      <sheetName val="라멘수량(무장)"/>
      <sheetName val="대동교-단면(아산)"/>
      <sheetName val="토공집계표"/>
      <sheetName val="토공시점"/>
      <sheetName val="토공종점"/>
      <sheetName val="수량-가로등"/>
      <sheetName val="1월"/>
      <sheetName val="2004노형교"/>
      <sheetName val="전체공사"/>
      <sheetName val="내역서(총)"/>
      <sheetName val="제경비율"/>
      <sheetName val="PAINT"/>
      <sheetName val="내역(가지)"/>
      <sheetName val="CM 1"/>
      <sheetName val="4.전기"/>
      <sheetName val="2013년상반기"/>
      <sheetName val="Basic"/>
      <sheetName val="info"/>
      <sheetName val="금액"/>
      <sheetName val="위치"/>
      <sheetName val="인적사항"/>
      <sheetName val="경성자금"/>
      <sheetName val="STEEL BOX 단면설계(SEC.8)"/>
      <sheetName val="기초단가"/>
      <sheetName val="입력데이타(비인쇄용)"/>
      <sheetName val="외주대비 -석축_x0000__x0000__x0000__x0000__x0000__x0012_[후다내역.XLS]견적표지 (3"/>
      <sheetName val="2.2 띠장의 설계"/>
      <sheetName val="자  재"/>
      <sheetName val="건축외주"/>
      <sheetName val="개인별 순위표"/>
      <sheetName val="ROOF(ALKALI)"/>
      <sheetName val="세골재  T2 변경 현황"/>
      <sheetName val="6_ 안전관리비"/>
      <sheetName val="MODELING"/>
      <sheetName val="환산"/>
      <sheetName val="기술부 VENDOR LIST"/>
      <sheetName val="분전반"/>
      <sheetName val="특별"/>
      <sheetName val="호표"/>
      <sheetName val="임율산출표"/>
      <sheetName val="청주(철골발주의뢰서)"/>
      <sheetName val="자료"/>
      <sheetName val="원가(칠곡다부)"/>
      <sheetName val="다부IC내역"/>
      <sheetName val="원가(재방송)"/>
      <sheetName val="재방송"/>
      <sheetName val="다부내역"/>
      <sheetName val="읍내터널"/>
      <sheetName val="칠곡IC내역"/>
      <sheetName val="내역집계표"/>
      <sheetName val="내역서 (3)"/>
      <sheetName val="대가"/>
      <sheetName val="산출양식"/>
      <sheetName val="대가목록"/>
      <sheetName val="산출양식 (2)"/>
      <sheetName val="토목원가계산서"/>
      <sheetName val="토목원가"/>
      <sheetName val="집계장"/>
      <sheetName val="제외공종"/>
      <sheetName val="선급금사용계획서"/>
      <sheetName val="사용세부내역"/>
      <sheetName val="공사비증감대비표"/>
      <sheetName val="전체산출내역서갑(변경) "/>
      <sheetName val="산출내역서을(변경)"/>
      <sheetName val="전체세부(이설도로)"/>
      <sheetName val="전체세부(연결도로)"/>
      <sheetName val="전체원가계산서(변경)"/>
      <sheetName val="용역비"/>
      <sheetName val="취·현"/>
      <sheetName val="취·투"/>
      <sheetName val="토·집"/>
      <sheetName val="배·집"/>
      <sheetName val="기·집30(보고)"/>
      <sheetName val="기·집30(확정)"/>
      <sheetName val="기·내30(확정)"/>
      <sheetName val="A.터파기공"/>
      <sheetName val="B.측·집"/>
      <sheetName val="배(자·집) (2)"/>
      <sheetName val="배(철·집)"/>
      <sheetName val="배(암·유)"/>
      <sheetName val="배(시·골)"/>
      <sheetName val="2.01측·터·집"/>
      <sheetName val="V·집"/>
      <sheetName val="V·현"/>
      <sheetName val="산·집"/>
      <sheetName val="산·현"/>
      <sheetName val="L·집"/>
      <sheetName val="L·현"/>
      <sheetName val="맹·집"/>
      <sheetName val="맹·현"/>
      <sheetName val="C배·집"/>
      <sheetName val="횡·집"/>
      <sheetName val="흄·집"/>
      <sheetName val="횡·조"/>
      <sheetName val="종·배"/>
      <sheetName val="종·조"/>
      <sheetName val="배·면"/>
      <sheetName val="배·날"/>
      <sheetName val="횡·날"/>
      <sheetName val="콘집·수"/>
      <sheetName val="흙쌓·수"/>
      <sheetName val="땅깍·수"/>
      <sheetName val="땅깍·수 (1-1)"/>
      <sheetName val="집·조10"/>
      <sheetName val="집·조6"/>
      <sheetName val="비·보"/>
      <sheetName val="집·조8"/>
      <sheetName val="암·재"/>
      <sheetName val="암·토"/>
      <sheetName val="암·철"/>
      <sheetName val="본·수"/>
      <sheetName val="2+126"/>
      <sheetName val="평날·수"/>
      <sheetName val="0-52 "/>
      <sheetName val="콘·다 (2)"/>
      <sheetName val="기·집 (2)"/>
      <sheetName val="콘·다 (3)"/>
      <sheetName val="콘·현"/>
      <sheetName val="소·집"/>
      <sheetName val="소·현"/>
      <sheetName val="집·거"/>
      <sheetName val="집·연"/>
      <sheetName val="도·집"/>
      <sheetName val="성도1"/>
      <sheetName val="가드레일산근"/>
      <sheetName val="수량"/>
      <sheetName val="단가비교"/>
      <sheetName val="적용2002"/>
      <sheetName val="기초병원총괄표"/>
      <sheetName val="기초병원원가"/>
      <sheetName val="기초병원내역집계표"/>
      <sheetName val="기초(토목)"/>
      <sheetName val="기초(건축)"/>
      <sheetName val="기초(기계)"/>
      <sheetName val="기초(전기)"/>
      <sheetName val="기초(통신)"/>
      <sheetName val="감액총괄(계약적용)"/>
      <sheetName val="감액원가계산(계약적용)"/>
      <sheetName val="삭감내역집계표"/>
      <sheetName val="건축,토목감액(계약적용)"/>
      <sheetName val="기계,전기감액"/>
      <sheetName val="내역비교"/>
      <sheetName val="병원내역집계표 (2)"/>
      <sheetName val="설계기계"/>
      <sheetName val="설계통신"/>
      <sheetName val="설계전기"/>
      <sheetName val="설계기준삭감(기,전)"/>
      <sheetName val="설계내역집계표"/>
      <sheetName val="실행총괄 "/>
      <sheetName val="본체"/>
      <sheetName val="[IL-3.XLSY갑지"/>
      <sheetName val="설비내역서"/>
      <sheetName val="CON'C"/>
      <sheetName val="도급내역서(재노경)"/>
      <sheetName val="4.일위대가목차"/>
      <sheetName val="기계경비(시간당)"/>
      <sheetName val="내역_ver1.0"/>
      <sheetName val="2000,9월 일위"/>
      <sheetName val="단가일람표"/>
      <sheetName val="IL-3"/>
      <sheetName val="항목별사용내역"/>
      <sheetName val="항목별사용금액"/>
      <sheetName val="급여명세서(한국)"/>
      <sheetName val="1.노무비명세서(해동)"/>
      <sheetName val="1.노무비명세서(토목)"/>
      <sheetName val="2.노무비명세서(해동)"/>
      <sheetName val="2.노무비명세서(수직보호망)"/>
      <sheetName val="2.노무비명세서(난간대)"/>
      <sheetName val="2.사진대지"/>
      <sheetName val="3.사진대지"/>
      <sheetName val="차수공개요"/>
      <sheetName val="설계산출기초"/>
      <sheetName val="도급예산내역서봉투"/>
      <sheetName val="설계산출표지"/>
      <sheetName val="도급예산내역서총괄표"/>
      <sheetName val="을부담운반비"/>
      <sheetName val="운반비산출"/>
      <sheetName val="매출현황"/>
      <sheetName val="보온일위"/>
      <sheetName val="49수량"/>
      <sheetName val="단가비교표(노무)"/>
      <sheetName val="수목표준대가"/>
      <sheetName val="변경품셈총괄"/>
      <sheetName val="고창터널(고창방향)"/>
      <sheetName val="변압기 및 발전기 용량"/>
      <sheetName val="냉천부속동"/>
      <sheetName val="공종단가"/>
      <sheetName val="조도계산서 (도서)"/>
      <sheetName val="암거단위"/>
      <sheetName val="보증수수료산출"/>
      <sheetName val="DAN"/>
      <sheetName val="백호우계수"/>
      <sheetName val="대포2교접속"/>
      <sheetName val="천방교접속"/>
      <sheetName val="실행예산서"/>
      <sheetName val="일반전기(2단지-을지)"/>
      <sheetName val="토목공사"/>
      <sheetName val="일위대가(4층원격)"/>
      <sheetName val="BM"/>
      <sheetName val="찍기"/>
      <sheetName val="의왕내역"/>
      <sheetName val="단가대비"/>
      <sheetName val="총괄집계표"/>
      <sheetName val="인수공규격"/>
      <sheetName val="단가(1)"/>
      <sheetName val="적용단위길이"/>
      <sheetName val="일위대가(건축)"/>
      <sheetName val="빌딩 안내"/>
      <sheetName val="기계공사비집계(원안)"/>
      <sheetName val="48단가"/>
      <sheetName val="CABLE"/>
      <sheetName val="CABLE (2)"/>
      <sheetName val="접지수량"/>
      <sheetName val="G.R300경비"/>
      <sheetName val="교수설계"/>
      <sheetName val="공종구간"/>
      <sheetName val="조경일람"/>
      <sheetName val="49단가"/>
      <sheetName val="구간산출"/>
      <sheetName val="노임단가산출근거"/>
      <sheetName val="COST"/>
      <sheetName val="항목등록"/>
      <sheetName val="원가계산서(남측)"/>
      <sheetName val="신고분기설정참고"/>
      <sheetName val="거래처자료등록"/>
      <sheetName val="조도계산"/>
      <sheetName val="국내조달(통합-1)"/>
      <sheetName val="상시"/>
      <sheetName val="주beam"/>
      <sheetName val="9811"/>
      <sheetName val="출력용"/>
      <sheetName val="하부철근수량"/>
      <sheetName val="연결관산출조서"/>
      <sheetName val="내역서적용수량"/>
      <sheetName val="계획집계"/>
      <sheetName val="기계물량"/>
      <sheetName val="비탈면보호공수량산출"/>
      <sheetName val="준공검사원(갑)"/>
      <sheetName val="기성내역서(을) (2)"/>
      <sheetName val="영신토건물가변동"/>
      <sheetName val="변수값"/>
      <sheetName val="중기상차"/>
      <sheetName val="AS복구"/>
      <sheetName val="중기터파기"/>
      <sheetName val="1단계 (2)"/>
      <sheetName val="L_RPTA05_목록"/>
      <sheetName val="동원인원"/>
      <sheetName val="2.1  노무비 평균단가산출"/>
      <sheetName val="예산명세서"/>
      <sheetName val="입상내역"/>
      <sheetName val="단가일람"/>
      <sheetName val="3.공사비(07년노임단가)"/>
      <sheetName val="3.공사비(단가조사표)"/>
      <sheetName val="3.공사비(물량산출표)"/>
      <sheetName val="3.공사비(일위대가표목록)"/>
      <sheetName val="3.공사비(일위대가표)"/>
      <sheetName val="견"/>
      <sheetName val="#3_일위대가목록"/>
      <sheetName val="Macro(차단기)"/>
      <sheetName val="띘랷랷랷"/>
      <sheetName val="TRE TABLE"/>
      <sheetName val="Requirement(Work Crew)"/>
      <sheetName val="계획"/>
      <sheetName val="계획세부"/>
      <sheetName val="사용내역서"/>
      <sheetName val="항목별내역서"/>
      <sheetName val="안전담당자"/>
      <sheetName val="유도원"/>
      <sheetName val="안전사진"/>
      <sheetName val="대전-교대(A1-A2)"/>
      <sheetName val="7단가"/>
      <sheetName val="9509"/>
      <sheetName val="총공사원가"/>
      <sheetName val="건축공사원가"/>
      <sheetName val="설비공사원가"/>
      <sheetName val="배관공사기초자료"/>
      <sheetName val="Ekog10"/>
      <sheetName val="AL공사(원)"/>
      <sheetName val="내역서1"/>
      <sheetName val="22수량"/>
      <sheetName val="품목현황"/>
      <sheetName val="출고대장"/>
      <sheetName val="입력DATA"/>
      <sheetName val="asd"/>
      <sheetName val="★도급내역"/>
      <sheetName val="back-data"/>
      <sheetName val="인월수표"/>
      <sheetName val="분전함신설"/>
      <sheetName val="접지1종"/>
      <sheetName val="진입도로B (2)"/>
      <sheetName val="백암비스타내역"/>
      <sheetName val="2.냉난방설비공사"/>
      <sheetName val="7.자동제어공사"/>
      <sheetName val="중강당 내역"/>
      <sheetName val="제-노임"/>
      <sheetName val="AV시스템"/>
      <sheetName val="전체분2회변경"/>
      <sheetName val="산출근거(복구)"/>
      <sheetName val="영창26"/>
      <sheetName val="웅진교-S2"/>
      <sheetName val="횡배수관집현황(2공구)"/>
      <sheetName val="남양주부대"/>
      <sheetName val="기초자료입력및 K치 확인"/>
      <sheetName val="ES조서출력하기"/>
      <sheetName val="등록자료"/>
      <sheetName val="역T형교대(PILE기초)"/>
      <sheetName val="실행내역 "/>
      <sheetName val="수원역(전체분)설계서"/>
      <sheetName val="자재 단가 비교표(견적)"/>
      <sheetName val="자재 단가 비교표"/>
      <sheetName val="BDATA"/>
      <sheetName val="지하"/>
      <sheetName val="건설기계목록"/>
      <sheetName val="일위대가_목록"/>
      <sheetName val="재료단가"/>
      <sheetName val="시중노임"/>
      <sheetName val="지불내역1"/>
      <sheetName val="지질조사"/>
      <sheetName val="암거단위-1련"/>
      <sheetName val="의뢰내역서"/>
      <sheetName val="준공내역서표지"/>
      <sheetName val="䂰출양식"/>
      <sheetName val="국별인원"/>
      <sheetName val="Bid Summary"/>
      <sheetName val="이동시 예상비용"/>
      <sheetName val="Seg 1DE비용"/>
      <sheetName val="Transit 비용_감가상각미포함"/>
      <sheetName val="맨홀조서"/>
      <sheetName val="단가조사서"/>
      <sheetName val="Factor"/>
      <sheetName val="48수량"/>
      <sheetName val="단가비교표_공통1"/>
      <sheetName val="내역(원안-대안)"/>
      <sheetName val="산출목록표"/>
      <sheetName val="전화공사 공량 및 집계표"/>
      <sheetName val="공사착공계"/>
      <sheetName val="참조 (2)"/>
      <sheetName val="6. 직접경비"/>
      <sheetName val="이토변실(A3-LINE)"/>
      <sheetName val="조경"/>
      <sheetName val="횡배수관재료-"/>
      <sheetName val="계산서(직선부)"/>
      <sheetName val="포장재료집계표"/>
      <sheetName val="콘크리트측구연장"/>
      <sheetName val="-몰탈콘크리트"/>
      <sheetName val="-배수구조물공토공"/>
      <sheetName val="MAIN"/>
      <sheetName val="부표총괄"/>
      <sheetName val="일대목차"/>
      <sheetName val="단가(보완)"/>
      <sheetName val="대가 (보완)"/>
      <sheetName val="단위목록"/>
      <sheetName val="기계경비목록"/>
      <sheetName val="3.자재비(총괄)"/>
      <sheetName val="제출내역"/>
      <sheetName val="철콘공사"/>
      <sheetName val="내역서_(3)"/>
      <sheetName val="산출양식_(2)"/>
      <sheetName val="전체산출내역서갑(변경)_"/>
      <sheetName val="A_터파기공"/>
      <sheetName val="B_측·집"/>
      <sheetName val="배(자·집)_(2)"/>
      <sheetName val="2_01측·터·집"/>
      <sheetName val="땅깍·수_(1-1)"/>
      <sheetName val="0-52_"/>
      <sheetName val="콘·다_(2)"/>
      <sheetName val="기·집_(2)"/>
      <sheetName val="콘·다_(3)"/>
      <sheetName val="병원내역집계표_(2)"/>
      <sheetName val="실행총괄_"/>
      <sheetName val="[IL-3_XLSY갑지"/>
      <sheetName val="품목납기"/>
      <sheetName val="단가기준"/>
      <sheetName val="횡배수관수량집계"/>
      <sheetName val="우,오수"/>
      <sheetName val="유의사항"/>
      <sheetName val="현장설명"/>
      <sheetName val="특별조건"/>
      <sheetName val="토공갑"/>
      <sheetName val="구조물갑"/>
      <sheetName val="투찰계획서"/>
      <sheetName val="99총공사내역서"/>
      <sheetName val="평야부단가"/>
      <sheetName val="오동"/>
      <sheetName val="대조"/>
      <sheetName val="나한"/>
      <sheetName val="단가대비표(계측)"/>
      <sheetName val="공정외주"/>
      <sheetName val="제조 경영"/>
      <sheetName val="36단가"/>
      <sheetName val="36수량"/>
      <sheetName val="메인거더-크로스빔200연결부"/>
      <sheetName val="기본자료"/>
      <sheetName val="설계서을"/>
      <sheetName val="EQ-R1"/>
      <sheetName val="L-type"/>
      <sheetName val="bearing"/>
      <sheetName val="조내역"/>
      <sheetName val="C지구"/>
      <sheetName val="사내도로"/>
      <sheetName val="노 무 비"/>
      <sheetName val="노임단가표"/>
      <sheetName val="결선list"/>
      <sheetName val="위치도1"/>
      <sheetName val="자재단가-1"/>
      <sheetName val="도급정산"/>
      <sheetName val="제출내역_(2)"/>
      <sheetName val="4_일위대가목차"/>
      <sheetName val="내역_ver1_0"/>
      <sheetName val="1_노무비명세서(해동)"/>
      <sheetName val="1_노무비명세서(토목)"/>
      <sheetName val="2_노무비명세서(해동)"/>
      <sheetName val="2_노무비명세서(수직보호망)"/>
      <sheetName val="2_노무비명세서(난간대)"/>
      <sheetName val="2_사진대지"/>
      <sheetName val="3_사진대지"/>
      <sheetName val="2000,9월_일위"/>
      <sheetName val="제잡비집계"/>
      <sheetName val="간접1"/>
      <sheetName val="내역서(토목)"/>
      <sheetName val="미납품 현황"/>
      <sheetName val="신설개소별 총집계표(동해-배전)"/>
      <sheetName val="SSMITM"/>
      <sheetName val="B"/>
      <sheetName val="수량산출목록표"/>
      <sheetName val="횡배위치"/>
      <sheetName val="Print"/>
      <sheetName val="MATRLDATA"/>
      <sheetName val="관로분포도"/>
      <sheetName val="일위대가목록(기계)"/>
      <sheetName val="옥외배관기본공량"/>
      <sheetName val="대비2"/>
      <sheetName val="옥외외등집계표"/>
      <sheetName val="유림총괄"/>
      <sheetName val="예산변경원인분석"/>
      <sheetName val="GEN"/>
      <sheetName val="총체"/>
      <sheetName val="실행내역_원본"/>
      <sheetName val="가설건물"/>
      <sheetName val="WING3"/>
      <sheetName val="시설,관리하위"/>
      <sheetName val="대운반(철재)"/>
      <sheetName val="테이블"/>
      <sheetName val="일일현황"/>
      <sheetName val="년차"/>
      <sheetName val="일집"/>
      <sheetName val="cctv예산대비"/>
      <sheetName val="라이닝폼예산대비내역"/>
      <sheetName val="BOX 본체"/>
      <sheetName val="단가삐출"/>
      <sheetName val="시운전연료비"/>
      <sheetName val="지원사무소원가배부내역"/>
      <sheetName val="48평단가"/>
      <sheetName val="57단가"/>
      <sheetName val="54평단가"/>
      <sheetName val="66평단가"/>
      <sheetName val="61단가"/>
      <sheetName val="89평단가"/>
      <sheetName val="84평단가"/>
      <sheetName val="주소"/>
      <sheetName val="일위1"/>
      <sheetName val="자재운반단가일람표"/>
      <sheetName val="기계경비목록1"/>
      <sheetName val="흄관수량"/>
      <sheetName val="PROCURE"/>
      <sheetName val="중기사용료"/>
      <sheetName val="우수공,맨홀,집수정"/>
      <sheetName val="MP MOB"/>
      <sheetName val="방음벽기초"/>
      <sheetName val="요약서"/>
      <sheetName val="수량명세서"/>
      <sheetName val="죽원1교"/>
      <sheetName val="단위중기"/>
      <sheetName val="신규단가산출"/>
      <sheetName val="수량산근(출력X)"/>
      <sheetName val="표준화수량집계표(출력X)"/>
      <sheetName val="품셈총괄(출력X)"/>
      <sheetName val="SCH"/>
      <sheetName val="문학간접"/>
      <sheetName val="도급내역서"/>
      <sheetName val="관리비비계상"/>
      <sheetName val="중기산출근거기초"/>
      <sheetName val="사다리"/>
      <sheetName val="SPEC"/>
      <sheetName val="일위대가 (PM)"/>
      <sheetName val="1-1.현장정리"/>
      <sheetName val="1-2.토공"/>
      <sheetName val="1-3.WMM,GSB"/>
      <sheetName val="1-4.BITUMINOUS COURSE"/>
      <sheetName val="1-5.BOX CULVERTS"/>
      <sheetName val="1-6.BRIDGE"/>
      <sheetName val="1-7.DRAINAGE"/>
      <sheetName val="1-8.TRAFFIC"/>
      <sheetName val="1-9.MISCELLANEOUS"/>
      <sheetName val="1-10.ELECTRICAL"/>
      <sheetName val="1-12.도급외항목"/>
      <sheetName val="하도내역_(철콘)1"/>
      <sheetName val="조건표_(2)1"/>
      <sheetName val="목차_1"/>
      <sheetName val="7__현장관리비_1"/>
      <sheetName val="노무비_근거1"/>
      <sheetName val="임율_Data1"/>
      <sheetName val="4_LINE"/>
      <sheetName val="7_th"/>
      <sheetName val="_갑지"/>
      <sheetName val="A_LINE"/>
      <sheetName val="5__현장관리비_new__"/>
      <sheetName val="Temporary_Mooring"/>
      <sheetName val="총_원가계산"/>
      <sheetName val="목록"/>
      <sheetName val="계정"/>
      <sheetName val="메서,변+증"/>
      <sheetName val="명일작업계획 (3)"/>
      <sheetName val="연결원본-절대지우지말것"/>
      <sheetName val="검색방"/>
      <sheetName val="일위대가집계표"/>
      <sheetName val="산출서집계HS"/>
      <sheetName val="자동세륜기"/>
      <sheetName val="잔수량(작성)"/>
      <sheetName val="공종보합"/>
      <sheetName val="출력원가"/>
      <sheetName val="공종원가"/>
      <sheetName val="총괄원가"/>
      <sheetName val="아파트"/>
      <sheetName val="상가,복지관"/>
      <sheetName val="주차장"/>
      <sheetName val="경비실"/>
      <sheetName val="목록표"/>
      <sheetName val="임차비용"/>
      <sheetName val="앵커(3안)"/>
      <sheetName val="용선 C.L"/>
      <sheetName val="전 체"/>
      <sheetName val="4동급수"/>
      <sheetName val="토목단가산출"/>
      <sheetName val="표지_(3)2"/>
      <sheetName val="표지_(2)2"/>
      <sheetName val="교각집계_(2)2"/>
      <sheetName val="교각토공_(2)2"/>
      <sheetName val="교각철근_(2)2"/>
      <sheetName val="외주대비_-석축2"/>
      <sheetName val="외주대비-구조물_(2)2"/>
      <sheetName val="견적표지_(3)2"/>
      <sheetName val="_HIT-&gt;HMC_견적(3900)2"/>
      <sheetName val="일__위__대__가__목__록2"/>
      <sheetName val="교각토공__2_2"/>
      <sheetName val="3_공통공사대비2"/>
      <sheetName val="6__안전관리비2"/>
      <sheetName val="HRSG_SMALL072202"/>
      <sheetName val="2차전체변경예정_(2)1"/>
      <sheetName val="토공유동표(전체_당초)1"/>
      <sheetName val="단면_(2)1"/>
      <sheetName val="8_현장관리비1"/>
      <sheetName val="7_안전관리비1"/>
      <sheetName val="8_PILE__(돌출)1"/>
      <sheetName val="b_balju_(2)1"/>
      <sheetName val="중기조종사_단위단가1"/>
      <sheetName val="2_2_오피스텔(12~32F)"/>
      <sheetName val="일위대가_집계표"/>
      <sheetName val="9_1지하2층하부보"/>
      <sheetName val="단계별내역_(2)"/>
      <sheetName val="2_2_띠장의_설계"/>
      <sheetName val="6__안전관리비3"/>
      <sheetName val="자__재"/>
      <sheetName val="개인별_순위표"/>
      <sheetName val="CM_1"/>
      <sheetName val="기술부_VENDOR_LIST"/>
      <sheetName val="외주대비_-석축[후다내역_XLS]견적표지_(3"/>
      <sheetName val="4_일위대가"/>
      <sheetName val="품셈기준"/>
      <sheetName val="설치자재"/>
      <sheetName val="성토도수로현황"/>
      <sheetName val="Chart1"/>
      <sheetName val="조건입력"/>
      <sheetName val="자립흙막이"/>
      <sheetName val="흙막이A"/>
      <sheetName val="흙막이B"/>
      <sheetName val="흙막이B (오산운암)"/>
      <sheetName val="흙막이C"/>
      <sheetName val="타이로드 흙막이"/>
      <sheetName val="타이로드 흙막이(근입장2.5M)"/>
      <sheetName val="어스앙카"/>
      <sheetName val="타이로드"/>
      <sheetName val="타이로드(근입장2.5M)"/>
      <sheetName val="pile 항타"/>
      <sheetName val="pile 항타(디젤)"/>
      <sheetName val="pile 항타 A"/>
      <sheetName val="pile 항타 B"/>
      <sheetName val="pile 항타 C"/>
      <sheetName val="pile 인발"/>
      <sheetName val="pile 인발 A"/>
      <sheetName val="pile 인발 B"/>
      <sheetName val="pile 인발 C"/>
      <sheetName val="토류판"/>
      <sheetName val="H-BEAM설치및철거"/>
      <sheetName val="BRACKET"/>
      <sheetName val="20TON TRAILER"/>
      <sheetName val="토류판 (2)"/>
      <sheetName val="SHEET PILE단가"/>
      <sheetName val="공사기간"/>
      <sheetName val="사업개요"/>
      <sheetName val="현장관리비_입력"/>
      <sheetName val="6.이토처리시간"/>
      <sheetName val="실행(1)"/>
      <sheetName val="공사비집계"/>
      <sheetName val="일일총괄"/>
      <sheetName val=" ｹ-ﾌﾞﾙ"/>
      <sheetName val="7월11일"/>
      <sheetName val="신평리 권리자명부"/>
      <sheetName val="Balance"/>
      <sheetName val="제안실적sum조회"/>
      <sheetName val="FRP PIPING 일위대가"/>
      <sheetName val="태안9)3-2)원내역"/>
      <sheetName val="Macro3"/>
      <sheetName val="3BL공동구_x0000__x0000_Ԁ"/>
      <sheetName val="제수"/>
      <sheetName val="공기"/>
      <sheetName val="수완하도"/>
      <sheetName val="김포내역"/>
      <sheetName val="태화42 "/>
      <sheetName val="맨홀"/>
      <sheetName val="JJ"/>
      <sheetName val="POOM_MOTO"/>
      <sheetName val="POOM_MOTO2"/>
      <sheetName val="차선"/>
      <sheetName val="차조서"/>
      <sheetName val="부대표지_x0000__x0000__x0005__x0000_腰"/>
      <sheetName val="단가(동바蔨ũ"/>
      <sheetName val="날개벽(좌,우=45도,75도)"/>
      <sheetName val="회사정보"/>
      <sheetName val="준설량산정표"/>
      <sheetName val="경비공통"/>
      <sheetName val="자재비"/>
      <sheetName val="납부서"/>
      <sheetName val="배수내역(총수량)"/>
      <sheetName val="라이신_NML"/>
      <sheetName val="PRO_DCI"/>
      <sheetName val="INST_DCI"/>
      <sheetName val="HVAC_DCI"/>
      <sheetName val="PIPE_DCI"/>
      <sheetName val="①idea pipeline"/>
      <sheetName val="Comps"/>
      <sheetName val="교육훈련비6"/>
      <sheetName val="ver2"/>
      <sheetName val="IMP 통일양식"/>
      <sheetName val="LYS 통일양식"/>
      <sheetName val="TB(BS)"/>
      <sheetName val="TB(PL)"/>
      <sheetName val="patch"/>
      <sheetName val="Xunit (단위환산)"/>
      <sheetName val="유통기한 프로그램"/>
      <sheetName val="배부전"/>
      <sheetName val="투찰추정"/>
      <sheetName val="ESC(K치)"/>
      <sheetName val="CAPVC"/>
      <sheetName val="맨홀수량산출(A-LINE)"/>
      <sheetName val="울진항공등화 내역서"/>
      <sheetName val="일 위 대 가 표"/>
      <sheetName val="내역(설계)"/>
      <sheetName val="영흥TL(UP,DOWN) "/>
      <sheetName val="3련 BOX"/>
      <sheetName val="내역서 "/>
      <sheetName val="물량집계표(1c)"/>
      <sheetName val="감가상각"/>
      <sheetName val="채권(하반기)"/>
      <sheetName val="연차일수"/>
      <sheetName val="2004연차사용현황"/>
      <sheetName val="TEMP2"/>
      <sheetName val="BS"/>
      <sheetName val="PL"/>
      <sheetName val="환율"/>
      <sheetName val="도수로집계"/>
      <sheetName val="22인공"/>
      <sheetName val="1-1"/>
      <sheetName val="원하대비"/>
      <sheetName val="공통단가"/>
      <sheetName val="2.1외주"/>
      <sheetName val="2.3노무"/>
      <sheetName val="2.4자재"/>
      <sheetName val="2.2장비"/>
      <sheetName val="2.5경비"/>
      <sheetName val="2.6수목대"/>
      <sheetName val="OPTION"/>
      <sheetName val="실행간접비"/>
      <sheetName val="일위집계"/>
      <sheetName val="결재란"/>
      <sheetName val="소요갑지"/>
      <sheetName val="소요을지"/>
      <sheetName val="접지집계"/>
      <sheetName val="접지지하1층"/>
      <sheetName val="접지지상1층"/>
      <sheetName val="모선자재 집계표"/>
      <sheetName val="케이블집계"/>
      <sheetName val="케이블포설"/>
      <sheetName val="철구물집"/>
      <sheetName val="철구물량"/>
      <sheetName val="기초물량"/>
      <sheetName val="재료의 할증"/>
      <sheetName val="Sheet7"/>
      <sheetName val="Sheet8"/>
      <sheetName val="Sheet11"/>
      <sheetName val="Sheet12"/>
      <sheetName val="Sheet15"/>
      <sheetName val="노무비단가"/>
      <sheetName val="감곡소요"/>
      <sheetName val="C䈀꼬ԯ"/>
      <sheetName val="연돌일위집계"/>
      <sheetName val="0226"/>
      <sheetName val="울산"/>
      <sheetName val="Anti"/>
      <sheetName val="CԀ_x0000_缀"/>
      <sheetName val="아파트건축"/>
      <sheetName val="GRD郅≙"/>
      <sheetName val="고창방향"/>
      <sheetName val="가로등기초"/>
      <sheetName val="eq_dat_x0000_"/>
      <sheetName val="선급금신청서"/>
      <sheetName val="A1(구조물)"/>
      <sheetName val="A1(토공)"/>
      <sheetName val="철근집계표"/>
      <sheetName val="95년12월말"/>
      <sheetName val="단가산출1"/>
      <sheetName val="신천3호용수로"/>
      <sheetName val="통계연보"/>
      <sheetName val="인입관수량총괄"/>
      <sheetName val="D1.2 COF모듈자재 입출재고 (B급)"/>
      <sheetName val="흄관기鬀"/>
      <sheetName val="매인"/>
      <sheetName val="EP0618"/>
      <sheetName val="NOM³_x0000_Ԁ"/>
      <sheetName val="NOMֳ_x0000_缀"/>
      <sheetName val="공사명입력"/>
      <sheetName val="물량표S"/>
      <sheetName val="내역서-2"/>
      <sheetName val="F 월별기성수금현황 "/>
      <sheetName val="TYPE-1"/>
      <sheetName val="220 (2)"/>
      <sheetName val="변경집계표"/>
      <sheetName val="기초부재력검토"/>
      <sheetName val="비목군분류일위"/>
      <sheetName val="대창(장성)"/>
      <sheetName val="외주현황.wq1"/>
      <sheetName val="BEND LOSS"/>
      <sheetName val="JUCK"/>
      <sheetName val="인제내역"/>
      <sheetName val="편입토지조서"/>
      <sheetName val="업무처리전"/>
      <sheetName val="기계사급자재"/>
      <sheetName val="철집"/>
      <sheetName val="YES-T"/>
      <sheetName val="견적颙⿬_x0005_"/>
      <sheetName val="견적颙⿶_x0005_"/>
      <sheetName val="견적_x0005__x0000_"/>
      <sheetName val="견적叐E吜"/>
      <sheetName val="견적颙』_x0005_"/>
      <sheetName val="EACT10"/>
      <sheetName val="적용단가"/>
      <sheetName val="콘크리트포장"/>
      <sheetName val="암거난간벽집계(2)"/>
      <sheetName val="FANDBS"/>
      <sheetName val="GRDATA"/>
      <sheetName val="SHAFTDBSE"/>
      <sheetName val="표  지"/>
      <sheetName val="설계예시"/>
      <sheetName val="양배수장"/>
      <sheetName val="맨홀토공"/>
      <sheetName val="전기일목(조사가)"/>
      <sheetName val="공사내역"/>
      <sheetName val="수목데이타"/>
      <sheetName val="본실행경비"/>
      <sheetName val="Sikje_inĴ¾_x0000_"/>
      <sheetName val="갑"/>
      <sheetName val="J"/>
      <sheetName val="설계카드"/>
      <sheetName val="공사설명서"/>
      <sheetName val="공사계획서"/>
      <sheetName val="예산조서"/>
      <sheetName val="99 조정금액"/>
      <sheetName val="주요재료비(원본)"/>
      <sheetName val="실행내역서(DCU)"/>
      <sheetName val="중기쥰종사 단위단가"/>
      <sheetName val="일위대가단가표"/>
      <sheetName val="GRD⍠も"/>
      <sheetName val="고암DATA"/>
      <sheetName val="일위대가(통신)"/>
      <sheetName val="보험료산출"/>
      <sheetName val="변경증감내역서"/>
      <sheetName val="자금총괄"/>
      <sheetName val="제잡비"/>
      <sheetName val="대가표(품셈)"/>
      <sheetName val="월별수입"/>
      <sheetName val="견적서갑지연속"/>
      <sheetName val="업체별기성"/>
      <sheetName val="토목-물가"/>
      <sheetName val="시약"/>
      <sheetName val="주공기준"/>
      <sheetName val="SAMPLE!"/>
      <sheetName val="FAB별"/>
      <sheetName val="사유서제출현황-2"/>
      <sheetName val="근로자명단2013"/>
      <sheetName val="건축공사실행"/>
      <sheetName val="건축원가"/>
      <sheetName val="1차 내역서"/>
      <sheetName val="물량내역서"/>
      <sheetName val="VOC"/>
      <sheetName val="3.관로전환기"/>
      <sheetName val="EQ"/>
      <sheetName val="연장및면적(좌측)"/>
      <sheetName val="하도계약반영"/>
      <sheetName val="배수喘_x001a_"/>
      <sheetName val="기초자료입력"/>
      <sheetName val="설비비4"/>
      <sheetName val="할증표"/>
      <sheetName val="배명(단가柖"/>
      <sheetName val="tra-vat-lieu"/>
      <sheetName val="함열량 db"/>
      <sheetName val="토공정보"/>
      <sheetName val="보강현황"/>
      <sheetName val="인원조직표"/>
      <sheetName val="인상효1"/>
      <sheetName val="1И"/>
      <sheetName val=" "/>
      <sheetName val="8설7발"/>
      <sheetName val="조ꟕ"/>
      <sheetName val="교량"/>
      <sheetName val="토량산출서"/>
      <sheetName val="VENT"/>
      <sheetName val="준검_내逃ᚹ欃"/>
      <sheetName val="부영주택(잡철물)"/>
      <sheetName val="토공 total"/>
      <sheetName val="FILE1"/>
      <sheetName val="설계내역2"/>
      <sheetName val="1공구_건정토건_토공4"/>
      <sheetName val="1공구_건정토건_철콘4"/>
      <sheetName val="도급표지_4"/>
      <sheetName val="도급표지__(4)4"/>
      <sheetName val="부대표지_(4)4"/>
      <sheetName val="도급표지__(3)4"/>
      <sheetName val="부대표지_(3)4"/>
      <sheetName val="도급표지__(2)4"/>
      <sheetName val="부대표지_(2)4"/>
      <sheetName val="토__목4"/>
      <sheetName val="조__경4"/>
      <sheetName val="전_기4"/>
      <sheetName val="건__축4"/>
      <sheetName val="보도내역_(3)4"/>
      <sheetName val="준검_내역서4"/>
      <sheetName val="내역(최종본4_5)4"/>
      <sheetName val="1_수인터널4"/>
      <sheetName val="설_계4"/>
      <sheetName val="입출재고현황_(2)3"/>
      <sheetName val="6PILE__(돌출)4"/>
      <sheetName val="2_대외공문4"/>
      <sheetName val="AS포장복구_4"/>
      <sheetName val="0_0ControlSheet4"/>
      <sheetName val="0_1keyAssumption4"/>
      <sheetName val="4_내진설계3"/>
      <sheetName val="Sheet1_(2)3"/>
      <sheetName val="1_취수장3"/>
      <sheetName val="BSD_(2)3"/>
      <sheetName val="4_경비_5_영업외수지1"/>
      <sheetName val="_견적서1"/>
      <sheetName val="실행내역서_3"/>
      <sheetName val="96보완계획7_123"/>
      <sheetName val="전차선로_물량표3"/>
      <sheetName val="부대입찰_내역서3"/>
      <sheetName val="1__설계조건_2_단면가정_3__하중계산3"/>
      <sheetName val="DATA_입력란3"/>
      <sheetName val="3BL공동구_수량3"/>
      <sheetName val="제잡비_xls3"/>
      <sheetName val="인건비_3"/>
      <sheetName val="_총괄표3"/>
      <sheetName val="2_고용보험료산출근거3"/>
      <sheetName val="토공(우물통,기타)_3"/>
      <sheetName val="현장관리비_산출내역3"/>
      <sheetName val="현장별계약현황('98_10_31)3"/>
      <sheetName val="97년_추정3"/>
      <sheetName val="Eq__Mobilization3"/>
      <sheetName val="원가계산_(2)3"/>
      <sheetName val="1_설계조건3"/>
      <sheetName val="광통신_견적내역서11"/>
      <sheetName val="할증_1"/>
      <sheetName val="노원열병합__건축공사기성내역서3"/>
      <sheetName val="unit_41"/>
      <sheetName val="플랜트_설치3"/>
      <sheetName val="콤보박스와_리스트박스의_연결3"/>
      <sheetName val="설내역서_2"/>
      <sheetName val="프라임_강변역(4,236)1"/>
      <sheetName val="내___역1"/>
      <sheetName val="집_계_표1"/>
      <sheetName val="2000년_공정표1"/>
      <sheetName val="5_2코핑1"/>
      <sheetName val="배수공_시멘트_및_골재량_산출1"/>
      <sheetName val="7_PILE__(돌출)1"/>
      <sheetName val="P_M_별1"/>
      <sheetName val="CIP_공사2"/>
      <sheetName val="수량산출서_갑지1"/>
      <sheetName val="DATA_입력부1"/>
      <sheetName val="구조______1"/>
      <sheetName val="노무비_1"/>
      <sheetName val="화재_탐지_설비1"/>
      <sheetName val="Customer_Databas1"/>
      <sheetName val="4_일위대가집계1"/>
      <sheetName val="내역서_제출1"/>
      <sheetName val="5__현장관리비(new)_1"/>
      <sheetName val="방배동내역_(총괄)1"/>
      <sheetName val="간_지11"/>
      <sheetName val="2_교량(신설)1"/>
      <sheetName val="EQUIP_LIST1"/>
      <sheetName val="일위대가_(PM)"/>
      <sheetName val="2000_051"/>
      <sheetName val="원내역서_그대로"/>
      <sheetName val="1_3_1절점좌표1"/>
      <sheetName val="1_1설계기준1"/>
      <sheetName val="1_본부별1"/>
      <sheetName val="기초입력_DATA1"/>
      <sheetName val="재활용_악취_먼지DUCT산출1"/>
      <sheetName val="남양시작동자105노65기1_3화1_2"/>
      <sheetName val="관음목장(제출용)자105인97_5"/>
      <sheetName val="전체내역_(2)"/>
      <sheetName val="Hyundai_Unit_cost_xls"/>
      <sheetName val="TABLE_DB"/>
      <sheetName val="쌍용_data_base"/>
      <sheetName val="969910(_R)"/>
      <sheetName val="1062-X방향_"/>
      <sheetName val="5_정산서1"/>
      <sheetName val="PROJECT_BRIEF"/>
      <sheetName val="4_장비손료1"/>
      <sheetName val="단양_00_아파트-세부내역1"/>
      <sheetName val="설계기준_및_하중계산"/>
      <sheetName val="5호광장_(만점)1"/>
      <sheetName val="인천국제_(만점)_(2)1"/>
      <sheetName val="전선_및_전선관"/>
      <sheetName val="VENDOR_LIST"/>
      <sheetName val="Sight_n_M_H"/>
      <sheetName val="단가_"/>
      <sheetName val="매출요약(월별)_-년간"/>
      <sheetName val="Piping_Design_Data"/>
      <sheetName val="4_&amp;_10-inch,_CO2_Combo_&amp;_Sweep"/>
      <sheetName val="1_䷨수장"/>
      <sheetName val="4_뀴진설Ⳅ"/>
      <sheetName val="전䰨선로_물량표"/>
      <sheetName val="㶀대입찰_내역서"/>
      <sheetName val="수목데이타_"/>
      <sheetName val="경비_(1)"/>
      <sheetName val="2F_회의실견적(5_14_일대)"/>
      <sheetName val="108_수선비"/>
      <sheetName val="①idea_pipeline"/>
      <sheetName val="IMP_통일양식"/>
      <sheetName val="LYS_통일양식"/>
      <sheetName val="Xunit_(단위환산)"/>
      <sheetName val="유통기한_프로그램"/>
      <sheetName val="단가_및_재료비"/>
      <sheetName val="고객사 관리 코드"/>
      <sheetName val="산출0"/>
      <sheetName val="PTVT (MAU)"/>
      <sheetName val="기초목"/>
      <sheetName val="125x125"/>
      <sheetName val="TOSHIBA-Structure"/>
      <sheetName val="Div26 - Elect"/>
      <sheetName val="SITE-E"/>
      <sheetName val="NOTE"/>
      <sheetName val="하도내역_(철콘)2"/>
      <sheetName val="조건표_(2)2"/>
      <sheetName val="목차_2"/>
      <sheetName val="7__현장관리비_2"/>
      <sheetName val="노무비_근거2"/>
      <sheetName val="임율_Data2"/>
      <sheetName val="1_설계기준2"/>
      <sheetName val="4_LINE1"/>
      <sheetName val="7_th1"/>
      <sheetName val="_갑지1"/>
      <sheetName val="A_LINE1"/>
      <sheetName val="5__현장관리비_new__1"/>
      <sheetName val="Temporary_Mooring1"/>
      <sheetName val="총_원가계산1"/>
      <sheetName val="중기쥰종사_단위단가"/>
      <sheetName val="1-1_현장정리"/>
      <sheetName val="1-2_토공"/>
      <sheetName val="1-3_WMM,GSB"/>
      <sheetName val="1-4_BITUMINOUS_COURSE"/>
      <sheetName val="1-5_BOX_CULVERTS"/>
      <sheetName val="1-6_BRIDGE"/>
      <sheetName val="1-7_DRAINAGE"/>
      <sheetName val="1-8_TRAFFIC"/>
      <sheetName val="1-9_MISCELLANEOUS"/>
      <sheetName val="1-10_ELECTRICAL"/>
      <sheetName val="1-12_도급외항목"/>
      <sheetName val="4_2_1_마루높이_검토"/>
      <sheetName val="BOX_본체"/>
      <sheetName val="STEEL_BOX_단면설계(SEC_8)"/>
      <sheetName val="6_이토처리시간"/>
      <sheetName val="울진항공등화_내역서"/>
      <sheetName val="영흥TL(UP,DOWN)_"/>
      <sheetName val="일_위_대_가_표"/>
      <sheetName val="PTVT_(MAU)"/>
      <sheetName val="1차_내역서"/>
      <sheetName val="MP_MOB"/>
      <sheetName val="Khoi luong"/>
      <sheetName val="LEGEND"/>
      <sheetName val="Bảng mã VT"/>
      <sheetName val="장비당단가_(1)2"/>
      <sheetName val="Sheet2_(2)2"/>
      <sheetName val="수_량_명_세_서_-_12"/>
      <sheetName val="별표_2"/>
      <sheetName val="2_건축2"/>
      <sheetName val="공정표_2"/>
      <sheetName val="kimre_scrubber"/>
      <sheetName val="내역서_(2)"/>
      <sheetName val="strut_type"/>
      <sheetName val="한성교회_신축공사(050713)_CheckList"/>
      <sheetName val="FRP_PIPING_일위대가"/>
      <sheetName val="48"/>
      <sheetName val="DonGia chetao"/>
      <sheetName val="DonGia VatTuLK"/>
      <sheetName val="새공통"/>
      <sheetName val="인력터파기품"/>
      <sheetName val="표지_(3)3"/>
      <sheetName val="표지_(2)3"/>
      <sheetName val="교각집계_(2)3"/>
      <sheetName val="교각토공_(2)3"/>
      <sheetName val="교각철근_(2)3"/>
      <sheetName val="외주대비_-석축3"/>
      <sheetName val="외주대비-구조물_(2)3"/>
      <sheetName val="견적표지_(3)3"/>
      <sheetName val="_HIT-&gt;HMC_견적(3900)3"/>
      <sheetName val="일__위__대__가__목__록3"/>
      <sheetName val="6__안전관리비4"/>
      <sheetName val="HRSG_SMALL072203"/>
      <sheetName val="교각토공__2_3"/>
      <sheetName val="3_공통공사대비3"/>
      <sheetName val="8_현장관리비2"/>
      <sheetName val="7_안전관리비2"/>
      <sheetName val="2차전체변경예정_(2)2"/>
      <sheetName val="단면_(2)2"/>
      <sheetName val="8_PILE__(돌출)2"/>
      <sheetName val="토공유동표(전체_당초)2"/>
      <sheetName val="b_balju_(2)2"/>
      <sheetName val="중기조종사_단위단가2"/>
      <sheetName val="2_2_오피스텔(12~32F)1"/>
      <sheetName val="일위대가_집계표1"/>
      <sheetName val="6__안전관리비5"/>
      <sheetName val="자__재1"/>
      <sheetName val="개인별_순위표1"/>
      <sheetName val="CM_11"/>
      <sheetName val="기술부_VENDOR_LIST1"/>
      <sheetName val="단계별내역_(2)1"/>
      <sheetName val="제출내역_(2)1"/>
      <sheetName val="2_2_띠장의_설계1"/>
      <sheetName val="9_1지하2층하부보1"/>
      <sheetName val="4_일위대가1"/>
      <sheetName val="명일작업계획_(3)"/>
      <sheetName val="내역서_(3)1"/>
      <sheetName val="산출양식_(2)1"/>
      <sheetName val="전체산출내역서갑(변경)_1"/>
      <sheetName val="A_터파기공1"/>
      <sheetName val="B_측·집1"/>
      <sheetName val="배(자·집)_(2)1"/>
      <sheetName val="2_01측·터·집1"/>
      <sheetName val="땅깍·수_(1-1)1"/>
      <sheetName val="0-52_1"/>
      <sheetName val="콘·다_(2)1"/>
      <sheetName val="기·집_(2)1"/>
      <sheetName val="콘·다_(3)1"/>
      <sheetName val="병원내역집계표_(2)1"/>
      <sheetName val="실행총괄_1"/>
      <sheetName val="[IL-3_XLSY갑지1"/>
      <sheetName val="4_일위대가목차1"/>
      <sheetName val="내역_ver1_01"/>
      <sheetName val="2000,9월_일위1"/>
      <sheetName val="1_노무비명세서(해동)1"/>
      <sheetName val="1_노무비명세서(토목)1"/>
      <sheetName val="2_노무비명세서(해동)1"/>
      <sheetName val="2_노무비명세서(수직보호망)1"/>
      <sheetName val="2_노무비명세서(난간대)1"/>
      <sheetName val="2_사진대지1"/>
      <sheetName val="3_사진대지1"/>
      <sheetName val="변압기_및_발전기_용량"/>
      <sheetName val="조도계산서_(도서)"/>
      <sheetName val="빌딩_안내"/>
      <sheetName val="CABLE_(2)"/>
      <sheetName val="G_R300경비"/>
      <sheetName val="단가대비표_(3)"/>
      <sheetName val="기성내역서(을)_(2)"/>
      <sheetName val="1단계_(2)"/>
      <sheetName val="2_1__노무비_평균단가산출"/>
      <sheetName val="3_공사비(07년노임단가)"/>
      <sheetName val="3_공사비(단가조사표)"/>
      <sheetName val="3_공사비(물량산출표)"/>
      <sheetName val="3_공사비(일위대가표목록)"/>
      <sheetName val="3_공사비(일위대가표)"/>
      <sheetName val="TRE_TABLE"/>
      <sheetName val="Requirement(Work_Crew)"/>
      <sheetName val="진입도로B_(2)"/>
      <sheetName val="2_냉난방설비공사"/>
      <sheetName val="7_자동제어공사"/>
      <sheetName val="중강당_내역"/>
      <sheetName val="기초자료입력및_K치_확인"/>
      <sheetName val="실행내역_"/>
      <sheetName val="자재_단가_비교표(견적)"/>
      <sheetName val="자재_단가_비교표"/>
      <sheetName val="Bid_Summary"/>
      <sheetName val="이동시_예상비용"/>
      <sheetName val="Seg_1DE비용"/>
      <sheetName val="Transit_비용_감가상각미포함"/>
      <sheetName val="세골재__T2_변경_현황"/>
      <sheetName val="전화공사_공량_및_집계표"/>
      <sheetName val="참조_(2)"/>
      <sheetName val="6__직접경비"/>
      <sheetName val="대가_(보완)"/>
      <sheetName val="3_자재비(총괄)"/>
      <sheetName val="제조_경영"/>
      <sheetName val="4_전기"/>
      <sheetName val="노_무_비"/>
      <sheetName val="미납품_현황"/>
      <sheetName val="신설개소별_총집계표(동해-배전)"/>
      <sheetName val="용선_C_L"/>
      <sheetName val="전_체"/>
      <sheetName val="흙막이B_(오산운암)"/>
      <sheetName val="타이로드_흙막이"/>
      <sheetName val="타이로드_흙막이(근입장2_5M)"/>
      <sheetName val="타이로드(근입장2_5M)"/>
      <sheetName val="pile_항타"/>
      <sheetName val="pile_항타(디젤)"/>
      <sheetName val="pile_항타_A"/>
      <sheetName val="pile_항타_B"/>
      <sheetName val="pile_항타_C"/>
      <sheetName val="pile_인발"/>
      <sheetName val="pile_인발_A"/>
      <sheetName val="pile_인발_B"/>
      <sheetName val="pile_인발_C"/>
      <sheetName val="20TON_TRAILER"/>
      <sheetName val="토류판_(2)"/>
      <sheetName val="SHEET_PILE단가"/>
      <sheetName val="2_1외주"/>
      <sheetName val="2_3노무"/>
      <sheetName val="2_4자재"/>
      <sheetName val="2_2장비"/>
      <sheetName val="2_5경비"/>
      <sheetName val="2_6수목대"/>
      <sheetName val="3련_BOX"/>
      <sheetName val="총괄집계_"/>
      <sheetName val="고객사_관리_코드"/>
      <sheetName val="기존단가 (2)"/>
      <sheetName val="Level-DATA"/>
      <sheetName val="Fr Revit"/>
      <sheetName val="NSA Summary"/>
      <sheetName val="FitOutConfCentre"/>
      <sheetName val="1공구_건정토건_철槜〚"/>
      <sheetName val="단위수량DATA"/>
      <sheetName val="물량표(신)"/>
      <sheetName val="일위대가(산근)"/>
      <sheetName val="흄관기_x0000_"/>
      <sheetName val="흄관기0"/>
      <sheetName val="항목코드"/>
      <sheetName val="Proposal"/>
      <sheetName val="사리부설"/>
      <sheetName val="TRAY 헹거산출"/>
      <sheetName val="교각토"/>
      <sheetName val="1鶈"/>
      <sheetName val="내역(전력)"/>
      <sheetName val="콘크리트"/>
      <sheetName val="식생블럭단위수량"/>
      <sheetName val="내역서1999.8최종"/>
      <sheetName val="3.전기산출기초"/>
      <sheetName val="월별계획"/>
      <sheetName val="발주현황"/>
      <sheetName val="䣐"/>
      <sheetName val="GAEYO"/>
      <sheetName val="1.1"/>
      <sheetName val="0217상가미분양자산"/>
      <sheetName val="3BL공동구"/>
      <sheetName val="단위중량표"/>
      <sheetName val="공량(전기)"/>
      <sheetName val="주안3차A-A"/>
      <sheetName val="인부신상_x0000__x0000_"/>
      <sheetName val="슬래브수량산출"/>
      <sheetName val="D.B"/>
      <sheetName val="2_1"/>
      <sheetName val="사__업__비__수__지__예__산__서"/>
      <sheetName val="기계_도급내역서"/>
      <sheetName val="10_경제성분석"/>
      <sheetName val="1차설계逷≙≙"/>
      <sheetName val="변경내역서"/>
      <sheetName val="원가계산서(기계+소방)"/>
      <sheetName val="기성집계표(기계+소방)"/>
      <sheetName val="기성내역서(기계+소방)"/>
      <sheetName val="표지(기계)"/>
      <sheetName val="기성갑지(기계)"/>
      <sheetName val="금회 청구사항(기계)"/>
      <sheetName val="원가계산서(기계)"/>
      <sheetName val="기성집계표(기계)"/>
      <sheetName val="기성내역서(기계)"/>
      <sheetName val="표지(소방)"/>
      <sheetName val="기성갑지 (소방)"/>
      <sheetName val="금회 청구사항(소방)"/>
      <sheetName val="원가계산서(소방)"/>
      <sheetName val="기성집계표(소방)"/>
      <sheetName val="기성내역서(소방)"/>
      <sheetName val="치수표"/>
      <sheetName val="타설"/>
      <sheetName val="GiaVT"/>
      <sheetName val="Q'ty"/>
      <sheetName val="chi tiet"/>
      <sheetName val="PPC Summary"/>
      <sheetName val="Worshop"/>
      <sheetName val="ac"/>
      <sheetName val="LPG"/>
      <sheetName val="HW일위"/>
      <sheetName val="-배수구조총재료"/>
      <sheetName val="외주대비x_x0000_Ԁ_x0000_"/>
      <sheetName val="Lumen"/>
      <sheetName val="벽체면적˱ጐɈី"/>
      <sheetName val="-15_0"/>
      <sheetName val="청_구"/>
      <sheetName val="공내역_및_견적조건"/>
      <sheetName val="_ｹ-ﾌﾞﾙ"/>
      <sheetName val="신평리_권리자명부"/>
      <sheetName val="97_사업추정(WEKI)"/>
      <sheetName val="구조ఀ덀_x0000_"/>
      <sheetName val="구조怀ྋĀ"/>
      <sheetName val="연평잔"/>
      <sheetName val="Efficiency"/>
      <sheetName val="전압강하"/>
      <sheetName val="LD"/>
      <sheetName val="외주대비-구ꮸ〇"/>
      <sheetName val="품의"/>
      <sheetName val="요약표"/>
      <sheetName val="직영"/>
      <sheetName val="외주(보온)"/>
      <sheetName val="외주(NDE)"/>
      <sheetName val="2019년외주공사"/>
      <sheetName val="동강 배관"/>
      <sheetName val="WCR 외주"/>
      <sheetName val="ANLINE"/>
      <sheetName val="ANILINE - OPTION"/>
      <sheetName val="MDI"/>
      <sheetName val="MDI - OPTION"/>
      <sheetName val="CCD"/>
      <sheetName val="수량산출서뺑"/>
      <sheetName val="해외교육"/>
      <sheetName val="PIPING"/>
      <sheetName val="외주대비-구_x0005__x0000_"/>
      <sheetName val="외주대비-구멫⽄"/>
      <sheetName val="기계실냉༛彬"/>
      <sheetName val="수벽설치(효자)"/>
      <sheetName val="부대표지_x0000__x0000__x0005__x0000_⽠"/>
      <sheetName val="계약대비내역서 (부경)"/>
      <sheetName val="집행대비내역서 (부경)"/>
      <sheetName val="계약그라우팅.포장"/>
      <sheetName val="계약사무실조경 "/>
      <sheetName val="K2 site Total 내역서"/>
      <sheetName val="부대표지_x0000__x0000__x0005__x0000_䥀"/>
      <sheetName val="행정표준(2惍"/>
      <sheetName val="행정표준(2ネ"/>
      <sheetName val="일위대가10"/>
      <sheetName val="일위대가11"/>
      <sheetName val="일위대가12"/>
      <sheetName val="일위대가13"/>
      <sheetName val="일위대가14"/>
      <sheetName val="일위대가15"/>
      <sheetName val="일위대가16"/>
      <sheetName val="일위대가17"/>
      <sheetName val="일위대가2"/>
      <sheetName val="일위대가3"/>
      <sheetName val="일위대가4"/>
      <sheetName val="일위대가5"/>
      <sheetName val="일위대가6"/>
      <sheetName val="일위대가7"/>
      <sheetName val="일위대가8"/>
      <sheetName val="일위대가9"/>
      <sheetName val="일위대가18-1"/>
      <sheetName val="일위대가19-1"/>
      <sheetName val="일위대가20-1"/>
      <sheetName val="일위대가21-1"/>
      <sheetName val="일위대가22-1"/>
      <sheetName val="일위대가23-1"/>
      <sheetName val="일위대가24-1"/>
      <sheetName val="일위대가25-1"/>
      <sheetName val="일위대가26-1"/>
      <sheetName val="일위대가27-1"/>
      <sheetName val="일위대가28-1"/>
      <sheetName val="일위대가29-1"/>
      <sheetName val="일위대가30-1"/>
      <sheetName val="일위대가31-1"/>
      <sheetName val="일위대가32-1"/>
      <sheetName val="일위대가33-1"/>
      <sheetName val="일위대가34-1"/>
      <sheetName val="일위대가35-1"/>
      <sheetName val="일위대가36-1"/>
      <sheetName val="일위대가37-1"/>
      <sheetName val="일위대가38-1"/>
      <sheetName val="일위대가39-1"/>
      <sheetName val="일위대가40-1"/>
      <sheetName val="일위대가41-1"/>
      <sheetName val="일위대가42-1"/>
      <sheetName val="일위대가43-1"/>
      <sheetName val="일위대가44-1"/>
      <sheetName val="일위대가45-1"/>
      <sheetName val="일위대가46-1"/>
      <sheetName val="일위대가47-1"/>
      <sheetName val="일위대가48-1"/>
      <sheetName val="일위대가49-1"/>
      <sheetName val="일위대가50-1"/>
      <sheetName val="일위대가51-1"/>
      <sheetName val="일위대가52-1"/>
      <sheetName val="일위대가53-1"/>
      <sheetName val="일위대가54-1"/>
      <sheetName val="일위대가55-1"/>
      <sheetName val="일위대가56-1 "/>
      <sheetName val="일위대가57-1"/>
      <sheetName val="일위대가58-1"/>
      <sheetName val="일위대가59-1"/>
      <sheetName val="일위대가60-1"/>
      <sheetName val="일위대가61-1"/>
      <sheetName val="일위대가62-1"/>
      <sheetName val="일위대가63-1"/>
      <sheetName val="일위대가64-1"/>
      <sheetName val="일위대가65-1"/>
      <sheetName val="일위대가66-1"/>
      <sheetName val="일위대가67-1"/>
      <sheetName val="일위대가68-1"/>
      <sheetName val="일위대가69-1"/>
      <sheetName val="일위대가70-1"/>
      <sheetName val="일위대가71-1 "/>
      <sheetName val="일위대가72-1"/>
      <sheetName val="일위대가73-1"/>
      <sheetName val="일위대가74-1 "/>
      <sheetName val="일위대가75-1"/>
      <sheetName val="일위대가76-1 "/>
      <sheetName val="일위대가77-1 "/>
      <sheetName val="일위대가78-1 "/>
      <sheetName val="일위대가79-1"/>
      <sheetName val="일위대가80-1"/>
      <sheetName val="일위대가81-1"/>
      <sheetName val="일위대가82-1"/>
      <sheetName val="일위대가92-1"/>
      <sheetName val="제잡비(주공종)"/>
      <sheetName val="수지예산"/>
      <sheetName val="부도어음"/>
      <sheetName val="합천내역"/>
      <sheetName val="06 일위대가목록"/>
      <sheetName val="20관리비율"/>
      <sheetName val="1.청구서"/>
      <sheetName val="2.내역서"/>
      <sheetName val="기성지급예정"/>
      <sheetName val="실지급내역"/>
      <sheetName val="노무비지급"/>
      <sheetName val="표"/>
      <sheetName val="foxz"/>
      <sheetName val="Tong hop"/>
      <sheetName val="Phan lap dat"/>
      <sheetName val="Lắp Ráp"/>
      <sheetName val="외주대비-구_x0000__x0000_"/>
      <sheetName val="자판실행"/>
      <sheetName val="총괄표 "/>
      <sheetName val="토공계산서(부체도로)"/>
      <sheetName val="구조물터파기ꗤNˠ"/>
      <sheetName val="건_′近丂"/>
      <sheetName val="건_ê_x0000_Ԁ"/>
      <sheetName val="총공사Ԁ쭭㠯"/>
      <sheetName val="토목단가"/>
      <sheetName val="기초입력ԯ_x0000_缀_x0000__x0000_"/>
      <sheetName val="계산내역(설비)"/>
      <sheetName val="관접합및부설"/>
      <sheetName val="평가내역"/>
      <sheetName val="템플릿"/>
      <sheetName val="호곡중학교"/>
      <sheetName val="부대표지츀 _x0000__x0000_얈"/>
      <sheetName val="부대표지츀 _x0000__x0000_篐"/>
      <sheetName val="계약정보"/>
      <sheetName val="착공-공문"/>
      <sheetName val="착공계"/>
      <sheetName val="예정공정표"/>
      <sheetName val="현장대리인계"/>
      <sheetName val="수첩사본"/>
      <sheetName val="재직증명서"/>
      <sheetName val="위임장"/>
      <sheetName val="계약내역서"/>
      <sheetName val="계약내역서-1"/>
      <sheetName val="인원장비투입"/>
      <sheetName val="안전관리계획서"/>
      <sheetName val="산업안전보건관리비사용계획서"/>
      <sheetName val="환경관리계획서"/>
      <sheetName val="환경보전비사용계획서"/>
      <sheetName val="품질관리"/>
      <sheetName val="착공전사진표지"/>
      <sheetName val="사진대지"/>
      <sheetName val="철근׃"/>
      <sheetName val="공종코드"/>
      <sheetName val="횡배수관 토공량 산출"/>
      <sheetName val="부대공사비"/>
      <sheetName val="A-100전제"/>
      <sheetName val="수로BOX"/>
      <sheetName val="⑻동원인원산출서⑧"/>
      <sheetName val="조ꌀ"/>
      <sheetName val="조Ꝣ"/>
      <sheetName val="1-׃⼿"/>
      <sheetName val="1-닑⽋"/>
      <sheetName val="1-_x0005__x0000_"/>
      <sheetName val="3.1.6 전산처리결과"/>
      <sheetName val="도시정비"/>
      <sheetName val="개발"/>
      <sheetName val="도시정비 "/>
      <sheetName val="민간"/>
      <sheetName val="가정급수관"/>
      <sheetName val="인부신상헾⼳"/>
      <sheetName val="수량산출서_x0010__x0000_"/>
      <sheetName val="본장"/>
      <sheetName val="_x0000__x0010__x0000_내"/>
      <sheetName val="기초데이타"/>
      <sheetName val="총공사_x0000__x0000_Ԁ"/>
      <sheetName val="일위대가Ȓ_x0000_"/>
      <sheetName val="일위대가顔-"/>
      <sheetName val="용산1(해보)"/>
      <sheetName val="매입"/>
      <sheetName val="Bab泅啢堀㭔*"/>
      <sheetName val="1공구_건정토건_토공5"/>
      <sheetName val="1공구_건정토건_철콘5"/>
      <sheetName val="도급표지_5"/>
      <sheetName val="도급표지__(4)5"/>
      <sheetName val="부대표지_(4)5"/>
      <sheetName val="도급표지__(3)5"/>
      <sheetName val="부대표지_(3)5"/>
      <sheetName val="도급표지__(2)5"/>
      <sheetName val="부대표지_(2)5"/>
      <sheetName val="토__목5"/>
      <sheetName val="조__경5"/>
      <sheetName val="전_기5"/>
      <sheetName val="건__축5"/>
      <sheetName val="보도내역_(3)5"/>
      <sheetName val="준검_내역서5"/>
      <sheetName val="1_수인터널5"/>
      <sheetName val="설_계5"/>
      <sheetName val="0_0ControlSheet5"/>
      <sheetName val="0_1keyAssumption5"/>
      <sheetName val="2_대외공문5"/>
      <sheetName val="6PILE__(돌출)5"/>
      <sheetName val="AS포장복구_5"/>
      <sheetName val="내역(최종본4_5)5"/>
      <sheetName val="입출재고현황_(2)4"/>
      <sheetName val="Sheet1_(2)4"/>
      <sheetName val="노원열병합__건축공사기성내역서4"/>
      <sheetName val="현장별계약현황('98_10_31)4"/>
      <sheetName val="부대입찰_내역서4"/>
      <sheetName val="전차선로_물량표4"/>
      <sheetName val="3BL공동구_수량4"/>
      <sheetName val="BSD_(2)4"/>
      <sheetName val="4_내진설계4"/>
      <sheetName val="토공(우물통,기타)_4"/>
      <sheetName val="96보완계획7_124"/>
      <sheetName val="1_취수장4"/>
      <sheetName val="_총괄표4"/>
      <sheetName val="제잡비_xls4"/>
      <sheetName val="실행내역서_4"/>
      <sheetName val="1__설계조건_2_단면가정_3__하중계산4"/>
      <sheetName val="DATA_입력란4"/>
      <sheetName val="2_고용보험료산출근거4"/>
      <sheetName val="인건비_4"/>
      <sheetName val="원가계산_(2)4"/>
      <sheetName val="콤보박스와_리스트박스의_연결4"/>
      <sheetName val="Eq__Mobilization4"/>
      <sheetName val="1_설계조건4"/>
      <sheetName val="플랜트_설치4"/>
      <sheetName val="97년_추정4"/>
      <sheetName val="현장관리비_산출내역4"/>
      <sheetName val="내___역2"/>
      <sheetName val="프라임_강변역(4,236)2"/>
      <sheetName val="집_계_표2"/>
      <sheetName val="5_2코핑2"/>
      <sheetName val="배수공_시멘트_및_골재량_산출2"/>
      <sheetName val="7_PILE__(돌출)2"/>
      <sheetName val="P_M_별2"/>
      <sheetName val="2000년_공정표2"/>
      <sheetName val="DATA_입력부2"/>
      <sheetName val="설내역서_3"/>
      <sheetName val="광통신_견적내역서12"/>
      <sheetName val="할증_2"/>
      <sheetName val="unit_42"/>
      <sheetName val="CIP_공사3"/>
      <sheetName val="4_경비_5_영업외수지2"/>
      <sheetName val="_견적서2"/>
      <sheetName val="수량산출서_갑지2"/>
      <sheetName val="2_교량(신설)2"/>
      <sheetName val="1_3_1절점좌표2"/>
      <sheetName val="1_1설계기준2"/>
      <sheetName val="5_정산서2"/>
      <sheetName val="2000_052"/>
      <sheetName val="1_본부별2"/>
      <sheetName val="EQUIP_LIST2"/>
      <sheetName val="노무비_2"/>
      <sheetName val="내역서_제출2"/>
      <sheetName val="구조______2"/>
      <sheetName val="간_지12"/>
      <sheetName val="화재_탐지_설비2"/>
      <sheetName val="4_일위대가집계2"/>
      <sheetName val="5__현장관리비(new)_2"/>
      <sheetName val="Customer_Databas2"/>
      <sheetName val="방배동내역_(총괄)2"/>
      <sheetName val="기초입력_DATA2"/>
      <sheetName val="재활용_악취_먼지DUCT산출2"/>
      <sheetName val="4_장비손료2"/>
      <sheetName val="단양_00_아파트-세부내역2"/>
      <sheetName val="5호광장_(만점)2"/>
      <sheetName val="인천국제_(만점)_(2)2"/>
      <sheetName val="전선_및_전선관1"/>
      <sheetName val="VENDOR_LIST1"/>
      <sheetName val="남양시작동자105노65기1_3화1_21"/>
      <sheetName val="관음목장(제출용)자105인97_51"/>
      <sheetName val="원내역서_그대로1"/>
      <sheetName val="PROJECT_BRIEF1"/>
      <sheetName val="설계기준_및_하중계산1"/>
      <sheetName val="1062-X방향_1"/>
      <sheetName val="TABLE_DB1"/>
      <sheetName val="쌍용_data_base1"/>
      <sheetName val="수목데이타_1"/>
      <sheetName val="Sight_n_M_H1"/>
      <sheetName val="단가_1"/>
      <sheetName val="매출요약(월별)_-년간1"/>
      <sheetName val="Piping_Design_Data1"/>
      <sheetName val="4_&amp;_10-inch,_CO2_Combo_&amp;_Sweep1"/>
      <sheetName val="1_䷨수장1"/>
      <sheetName val="4_뀴진설Ⳅ1"/>
      <sheetName val="전䰨선로_물량표1"/>
      <sheetName val="㶀대입찰_내역서1"/>
      <sheetName val="969910(_R)1"/>
      <sheetName val="전체내역_(2)1"/>
      <sheetName val="Hyundai_Unit_cost_xls1"/>
      <sheetName val="2F_회의실견적(5_14_일대)1"/>
      <sheetName val="경비_(1)1"/>
      <sheetName val="단가_및_재료비1"/>
      <sheetName val="7_전산해석결과"/>
      <sheetName val="4_하중"/>
      <sheetName val="108_수선비1"/>
      <sheetName val="일위대가_(PM)1"/>
      <sheetName val="①idea_pipeline1"/>
      <sheetName val="IMP_통일양식1"/>
      <sheetName val="LYS_통일양식1"/>
      <sheetName val="Xunit_(단위환산)1"/>
      <sheetName val="유통기한_프로그램1"/>
      <sheetName val="토__공"/>
      <sheetName val="내역서_"/>
      <sheetName val="모선자재_집계표"/>
      <sheetName val="재료의_할증"/>
      <sheetName val="D1_2_COF모듈자재_입출재고_(B급)"/>
      <sheetName val="견적颙⿬"/>
      <sheetName val="견적颙⿶"/>
      <sheetName val="견적"/>
      <sheetName val="견적颙』"/>
      <sheetName val="표__지"/>
      <sheetName val="99_조정금액"/>
      <sheetName val="외주현황_wq1"/>
      <sheetName val="태화42_"/>
      <sheetName val="배수喘"/>
      <sheetName val="220_(2)"/>
      <sheetName val="토공_total"/>
      <sheetName val="함열량_db"/>
      <sheetName val="BEND_LOSS"/>
      <sheetName val="3_관로전환기"/>
      <sheetName val="내역서1999_8최종"/>
      <sheetName val="부대표지腰"/>
      <sheetName val="3_전기산출기초"/>
      <sheetName val="F_월별기성수금현황_"/>
      <sheetName val="TRAY_헹거산출"/>
      <sheetName val="기존단가_(2)"/>
      <sheetName val="1_1"/>
      <sheetName val="_"/>
      <sheetName val="경비_원본"/>
      <sheetName val="Config"/>
      <sheetName val="1_설계기준3"/>
      <sheetName val="8_PILE__(돌출)3"/>
      <sheetName val="표지_(2)4"/>
      <sheetName val="표지_(3)4"/>
      <sheetName val="교각집계_(2)4"/>
      <sheetName val="교각토공_(2)4"/>
      <sheetName val="교각철근_(2)4"/>
      <sheetName val="외주대비_-석축4"/>
      <sheetName val="외주대비-구조물_(2)4"/>
      <sheetName val="견적표지_(3)4"/>
      <sheetName val="_HIT-&gt;HMC_견적(3900)4"/>
      <sheetName val="일__위__대__가__목__록4"/>
      <sheetName val="6__안전관리비6"/>
      <sheetName val="HRSG_SMALL072204"/>
      <sheetName val="교각토공__2_4"/>
      <sheetName val="3_공통공사대비4"/>
      <sheetName val="8_현장관리비3"/>
      <sheetName val="7_안전관리비3"/>
      <sheetName val="하도내역_(철콘)3"/>
      <sheetName val="조건표_(2)3"/>
      <sheetName val="목차_3"/>
      <sheetName val="7__현장관리비_3"/>
      <sheetName val="노무비_근거3"/>
      <sheetName val="임율_Data3"/>
      <sheetName val="2차전체변경예정_(2)3"/>
      <sheetName val="단면_(2)3"/>
      <sheetName val="토공유동표(전체_당초)3"/>
      <sheetName val="b_balju_(2)3"/>
      <sheetName val="4_LINE2"/>
      <sheetName val="7_th2"/>
      <sheetName val="_갑지2"/>
      <sheetName val="A_LINE2"/>
      <sheetName val="5__현장관리비_new__2"/>
      <sheetName val="Temporary_Mooring2"/>
      <sheetName val="중기조종사_단위단가3"/>
      <sheetName val="총_원가계산2"/>
      <sheetName val="제출내역_(2)2"/>
      <sheetName val="2_2_오피스텔(12~32F)2"/>
      <sheetName val="일위대가_집계표2"/>
      <sheetName val="6__안전관리비7"/>
      <sheetName val="자__재2"/>
      <sheetName val="개인별_순위표2"/>
      <sheetName val="CM_12"/>
      <sheetName val="기술부_VENDOR_LIST2"/>
      <sheetName val="단계별내역_(2)2"/>
      <sheetName val="2_2_띠장의_설계2"/>
      <sheetName val="내역서_(2)1"/>
      <sheetName val="총괄집계_1"/>
      <sheetName val="한성교회_신축공사(050713)_CheckList1"/>
      <sheetName val="9_1지하2층하부보2"/>
      <sheetName val="4_일위대가2"/>
      <sheetName val="1-1_현장정리1"/>
      <sheetName val="1-2_토공1"/>
      <sheetName val="1-3_WMM,GSB1"/>
      <sheetName val="1-4_BITUMINOUS_COURSE1"/>
      <sheetName val="1-5_BOX_CULVERTS1"/>
      <sheetName val="1-6_BRIDGE1"/>
      <sheetName val="1-7_DRAINAGE1"/>
      <sheetName val="1-8_TRAFFIC1"/>
      <sheetName val="1-9_MISCELLANEOUS1"/>
      <sheetName val="1-10_ELECTRICAL1"/>
      <sheetName val="1-12_도급외항목1"/>
      <sheetName val="4_2_1_마루높이_검토1"/>
      <sheetName val="BOX_본체1"/>
      <sheetName val="MP_MOB1"/>
      <sheetName val="명일작업계획_(3)1"/>
      <sheetName val="내역서_(3)2"/>
      <sheetName val="산출양식_(2)2"/>
      <sheetName val="전체산출내역서갑(변경)_2"/>
      <sheetName val="A_터파기공2"/>
      <sheetName val="B_측·집2"/>
      <sheetName val="배(자·집)_(2)2"/>
      <sheetName val="2_01측·터·집2"/>
      <sheetName val="땅깍·수_(1-1)2"/>
      <sheetName val="0-52_2"/>
      <sheetName val="콘·다_(2)2"/>
      <sheetName val="기·집_(2)2"/>
      <sheetName val="콘·다_(3)2"/>
      <sheetName val="병원내역집계표_(2)2"/>
      <sheetName val="실행총괄_2"/>
      <sheetName val="[IL-3_XLSY갑지2"/>
      <sheetName val="4_일위대가목차2"/>
      <sheetName val="내역_ver1_02"/>
      <sheetName val="2000,9월_일위2"/>
      <sheetName val="1_노무비명세서(해동)2"/>
      <sheetName val="1_노무비명세서(토목)2"/>
      <sheetName val="2_노무비명세서(해동)2"/>
      <sheetName val="2_노무비명세서(수직보호망)2"/>
      <sheetName val="2_노무비명세서(난간대)2"/>
      <sheetName val="2_사진대지2"/>
      <sheetName val="3_사진대지2"/>
      <sheetName val="변압기_및_발전기_용량1"/>
      <sheetName val="조도계산서_(도서)1"/>
      <sheetName val="빌딩_안내1"/>
      <sheetName val="CABLE_(2)1"/>
      <sheetName val="G_R300경비1"/>
      <sheetName val="단가대비표_(3)1"/>
      <sheetName val="기성내역서(을)_(2)1"/>
      <sheetName val="1단계_(2)1"/>
      <sheetName val="2_1__노무비_평균단가산출1"/>
      <sheetName val="3_공사비(07년노임단가)1"/>
      <sheetName val="3_공사비(단가조사표)1"/>
      <sheetName val="3_공사비(물량산출표)1"/>
      <sheetName val="3_공사비(일위대가표목록)1"/>
      <sheetName val="3_공사비(일위대가표)1"/>
      <sheetName val="TRE_TABLE1"/>
      <sheetName val="Requirement(Work_Crew)1"/>
      <sheetName val="진입도로B_(2)1"/>
      <sheetName val="2_냉난방설비공사1"/>
      <sheetName val="7_자동제어공사1"/>
      <sheetName val="중강당_내역1"/>
      <sheetName val="기초자료입력및_K치_확인1"/>
      <sheetName val="실행내역_1"/>
      <sheetName val="자재_단가_비교표(견적)1"/>
      <sheetName val="자재_단가_비교표1"/>
      <sheetName val="Bid_Summary1"/>
      <sheetName val="이동시_예상비용1"/>
      <sheetName val="Seg_1DE비용1"/>
      <sheetName val="Transit_비용_감가상각미포함1"/>
      <sheetName val="세골재__T2_변경_현황1"/>
      <sheetName val="전화공사_공량_및_집계표1"/>
      <sheetName val="참조_(2)1"/>
      <sheetName val="6__직접경비1"/>
      <sheetName val="대가_(보완)1"/>
      <sheetName val="3_자재비(총괄)1"/>
      <sheetName val="제조_경영1"/>
      <sheetName val="4_전기1"/>
      <sheetName val="노_무_비1"/>
      <sheetName val="미납품_현황1"/>
      <sheetName val="신설개소별_총집계표(동해-배전)1"/>
      <sheetName val="용선_C_L1"/>
      <sheetName val="전_체1"/>
      <sheetName val="STEEL_BOX_단면설계(SEC_8)1"/>
      <sheetName val="흙막이B_(오산운암)1"/>
      <sheetName val="타이로드_흙막이1"/>
      <sheetName val="타이로드_흙막이(근입장2_5M)1"/>
      <sheetName val="타이로드(근입장2_5M)1"/>
      <sheetName val="pile_항타1"/>
      <sheetName val="pile_항타(디젤)1"/>
      <sheetName val="pile_항타_A1"/>
      <sheetName val="pile_항타_B1"/>
      <sheetName val="pile_항타_C1"/>
      <sheetName val="pile_인발1"/>
      <sheetName val="pile_인발_A1"/>
      <sheetName val="pile_인발_B1"/>
      <sheetName val="pile_인발_C1"/>
      <sheetName val="20TON_TRAILER1"/>
      <sheetName val="토류판_(2)1"/>
      <sheetName val="SHEET_PILE단가1"/>
      <sheetName val="6_이토처리시간1"/>
      <sheetName val="울진항공등화_내역서1"/>
      <sheetName val="영흥TL(UP,DOWN)_1"/>
      <sheetName val="일_위_대_가_표1"/>
      <sheetName val="고객사_관리_코드1"/>
      <sheetName val="2_1외주1"/>
      <sheetName val="2_3노무1"/>
      <sheetName val="2_4자재1"/>
      <sheetName val="2_2장비1"/>
      <sheetName val="2_5경비1"/>
      <sheetName val="2_6수목대1"/>
      <sheetName val="3련_BOX1"/>
      <sheetName val="중기쥰종사_단위단가1"/>
      <sheetName val="PTVT_(MAU)1"/>
      <sheetName val="chi_tiet"/>
      <sheetName val="PPC_Summary"/>
      <sheetName val="chiettinh"/>
      <sheetName val="Parem"/>
      <sheetName val="THVT"/>
      <sheetName val="장비당단가_(1)3"/>
      <sheetName val="Sheet2_(2)3"/>
      <sheetName val="수_량_명_세_서_-_13"/>
      <sheetName val="별표_3"/>
      <sheetName val="2_건축3"/>
      <sheetName val="공정표_3"/>
      <sheetName val="1차_내역서1"/>
      <sheetName val="kimre_scrubber1"/>
      <sheetName val="strut_type1"/>
      <sheetName val="FRP_PIPING_일위대가1"/>
      <sheetName val="Div26_-_Elect"/>
      <sheetName val="Bảng_mã_VT"/>
      <sheetName val="Khoi_luong"/>
      <sheetName val="DonGia_chetao"/>
      <sheetName val="DonGia_VatTuLK"/>
      <sheetName val="Fr_Revit"/>
      <sheetName val="NSA_Summary"/>
      <sheetName val="1공구_건정토건_토공6"/>
      <sheetName val="1공구_건정토건_철콘6"/>
      <sheetName val="도급표지_6"/>
      <sheetName val="도급표지__(4)6"/>
      <sheetName val="부대표지_(4)6"/>
      <sheetName val="도급표지__(3)6"/>
      <sheetName val="부대표지_(3)6"/>
      <sheetName val="도급표지__(2)6"/>
      <sheetName val="부대표지_(2)6"/>
      <sheetName val="토__목6"/>
      <sheetName val="조__경6"/>
      <sheetName val="전_기6"/>
      <sheetName val="건__축6"/>
      <sheetName val="보도내역_(3)6"/>
      <sheetName val="준검_내역서6"/>
      <sheetName val="1_수인터널6"/>
      <sheetName val="2_대외공문6"/>
      <sheetName val="6PILE__(돌출)6"/>
      <sheetName val="AS포장복구_6"/>
      <sheetName val="설_계6"/>
      <sheetName val="내역(최종본4_5)6"/>
      <sheetName val="0_0ControlSheet6"/>
      <sheetName val="0_1keyAssumption6"/>
      <sheetName val="Sheet1_(2)5"/>
      <sheetName val="입출재고현황_(2)5"/>
      <sheetName val="전차선로_물량표5"/>
      <sheetName val="노원열병합__건축공사기성내역서5"/>
      <sheetName val="1_취수장5"/>
      <sheetName val="_총괄표5"/>
      <sheetName val="96보완계획7_125"/>
      <sheetName val="BSD_(2)5"/>
      <sheetName val="4_내진설계5"/>
      <sheetName val="3BL공동구_수량5"/>
      <sheetName val="실행내역서_5"/>
      <sheetName val="부대입찰_내역서5"/>
      <sheetName val="1__설계조건_2_단면가정_3__하중계산5"/>
      <sheetName val="DATA_입력란5"/>
      <sheetName val="1_설계조건5"/>
      <sheetName val="2_고용보험료산출근거5"/>
      <sheetName val="제잡비_xls5"/>
      <sheetName val="인건비_5"/>
      <sheetName val="콤보박스와_리스트박스의_연결5"/>
      <sheetName val="4_경비_5_영업외수지3"/>
      <sheetName val="_견적서3"/>
      <sheetName val="현장별계약현황('98_10_31)5"/>
      <sheetName val="토공(우물통,기타)_5"/>
      <sheetName val="플랜트_설치5"/>
      <sheetName val="원가계산_(2)5"/>
      <sheetName val="Eq__Mobilization5"/>
      <sheetName val="장비당단가_(1)4"/>
      <sheetName val="Sheet2_(2)4"/>
      <sheetName val="97년_추정5"/>
      <sheetName val="현장관리비_산출내역5"/>
      <sheetName val="2000년_공정표3"/>
      <sheetName val="수_량_명_세_서_-_14"/>
      <sheetName val="광통신_견적내역서13"/>
      <sheetName val="할증_3"/>
      <sheetName val="unit_43"/>
      <sheetName val="1_설계기준4"/>
      <sheetName val="별표_4"/>
      <sheetName val="2_건축4"/>
      <sheetName val="공정표_4"/>
      <sheetName val="설내역서_4"/>
      <sheetName val="프라임_강변역(4,236)3"/>
      <sheetName val="내___역3"/>
      <sheetName val="집_계_표3"/>
      <sheetName val="8_PILE__(돌출)4"/>
      <sheetName val="5_2코핑3"/>
      <sheetName val="배수공_시멘트_및_골재량_산출3"/>
      <sheetName val="7_PILE__(돌출)3"/>
      <sheetName val="P_M_별3"/>
      <sheetName val="CIP_공사4"/>
      <sheetName val="표지_(2)5"/>
      <sheetName val="수량산출서_갑지3"/>
      <sheetName val="DATA_입력부3"/>
      <sheetName val="표지_(3)5"/>
      <sheetName val="교각집계_(2)5"/>
      <sheetName val="교각토공_(2)5"/>
      <sheetName val="교각철근_(2)5"/>
      <sheetName val="외주대비_-석축5"/>
      <sheetName val="외주대비-구조물_(2)5"/>
      <sheetName val="견적표지_(3)5"/>
      <sheetName val="_HIT-&gt;HMC_견적(3900)5"/>
      <sheetName val="일__위__대__가__목__록5"/>
      <sheetName val="6__안전관리비8"/>
      <sheetName val="HRSG_SMALL072205"/>
      <sheetName val="교각토공__2_5"/>
      <sheetName val="3_공통공사대비5"/>
      <sheetName val="8_현장관리비4"/>
      <sheetName val="7_안전관리비4"/>
      <sheetName val="하도내역_(철콘)4"/>
      <sheetName val="조건표_(2)4"/>
      <sheetName val="목차_4"/>
      <sheetName val="7__현장관리비_4"/>
      <sheetName val="노무비_근거4"/>
      <sheetName val="임율_Data4"/>
      <sheetName val="2차전체변경예정_(2)4"/>
      <sheetName val="단면_(2)4"/>
      <sheetName val="토공유동표(전체_당초)4"/>
      <sheetName val="구조______3"/>
      <sheetName val="b_balju_(2)4"/>
      <sheetName val="노무비_3"/>
      <sheetName val="화재_탐지_설비3"/>
      <sheetName val="Customer_Databas3"/>
      <sheetName val="4_LINE3"/>
      <sheetName val="7_th3"/>
      <sheetName val="_갑지3"/>
      <sheetName val="4_일위대가집계3"/>
      <sheetName val="내역서_제출3"/>
      <sheetName val="A_LINE3"/>
      <sheetName val="5__현장관리비(new)_3"/>
      <sheetName val="방배동내역_(총괄)3"/>
      <sheetName val="간_지13"/>
      <sheetName val="5__현장관리비_new__3"/>
      <sheetName val="Temporary_Mooring3"/>
      <sheetName val="중기조종사_단위단가4"/>
      <sheetName val="총_원가계산3"/>
      <sheetName val="2_교량(신설)3"/>
      <sheetName val="EQUIP_LIST3"/>
      <sheetName val="일위대가_(PM)2"/>
      <sheetName val="2000_053"/>
      <sheetName val="원내역서_그대로2"/>
      <sheetName val="1_3_1절점좌표3"/>
      <sheetName val="1_1설계기준3"/>
      <sheetName val="1_본부별3"/>
      <sheetName val="기초입력_DATA3"/>
      <sheetName val="재활용_악취_먼지DUCT산출3"/>
      <sheetName val="남양시작동자105노65기1_3화1_22"/>
      <sheetName val="관음목장(제출용)자105인97_52"/>
      <sheetName val="전체내역_(2)2"/>
      <sheetName val="Hyundai_Unit_cost_xls2"/>
      <sheetName val="제출내역_(2)3"/>
      <sheetName val="TABLE_DB2"/>
      <sheetName val="쌍용_data_base2"/>
      <sheetName val="969910(_R)2"/>
      <sheetName val="1062-X방향_2"/>
      <sheetName val="5_정산서3"/>
      <sheetName val="PROJECT_BRIEF2"/>
      <sheetName val="4_장비손료3"/>
      <sheetName val="①idea_pipeline2"/>
      <sheetName val="IMP_통일양식2"/>
      <sheetName val="LYS_통일양식2"/>
      <sheetName val="Xunit_(단위환산)2"/>
      <sheetName val="유통기한_프로그램2"/>
      <sheetName val="2_2_오피스텔(12~32F)3"/>
      <sheetName val="일위대가_집계표3"/>
      <sheetName val="6__안전관리비9"/>
      <sheetName val="자__재3"/>
      <sheetName val="개인별_순위표3"/>
      <sheetName val="CM_13"/>
      <sheetName val="기술부_VENDOR_LIST3"/>
      <sheetName val="단계별내역_(2)3"/>
      <sheetName val="2_2_띠장의_설계3"/>
      <sheetName val="경비_(1)2"/>
      <sheetName val="2F_회의실견적(5_14_일대)2"/>
      <sheetName val="단양_00_아파트-세부내역3"/>
      <sheetName val="VENDOR_LIST2"/>
      <sheetName val="단가_2"/>
      <sheetName val="108_수선비2"/>
      <sheetName val="1차_내역서2"/>
      <sheetName val="중기쥰종사_단위단가2"/>
      <sheetName val="1-1_현장정리2"/>
      <sheetName val="1-2_토공2"/>
      <sheetName val="1-3_WMM,GSB2"/>
      <sheetName val="1-4_BITUMINOUS_COURSE2"/>
      <sheetName val="1-5_BOX_CULVERTS2"/>
      <sheetName val="1-6_BRIDGE2"/>
      <sheetName val="1-7_DRAINAGE2"/>
      <sheetName val="1-8_TRAFFIC2"/>
      <sheetName val="1-9_MISCELLANEOUS2"/>
      <sheetName val="1-10_ELECTRICAL2"/>
      <sheetName val="1-12_도급외항목2"/>
      <sheetName val="9_1지하2층하부보3"/>
      <sheetName val="4_2_1_마루높이_검토2"/>
      <sheetName val="4_일위대가3"/>
      <sheetName val="BOX_본체2"/>
      <sheetName val="STEEL_BOX_단면설계(SEC_8)2"/>
      <sheetName val="6_이토처리시간2"/>
      <sheetName val="울진항공등화_내역서2"/>
      <sheetName val="영흥TL(UP,DOWN)_2"/>
      <sheetName val="일_위_대_가_표2"/>
      <sheetName val="PTVT_(MAU)2"/>
      <sheetName val="5호광장_(만점)3"/>
      <sheetName val="인천국제_(만점)_(2)3"/>
      <sheetName val="전선_및_전선관2"/>
      <sheetName val="설계기준_및_하중계산2"/>
      <sheetName val="Sight_n_M_H2"/>
      <sheetName val="매출요약(월별)_-년간2"/>
      <sheetName val="Piping_Design_Data2"/>
      <sheetName val="4_&amp;_10-inch,_CO2_Combo_&amp;_Sweep2"/>
      <sheetName val="1_䷨수장2"/>
      <sheetName val="4_뀴진설Ⳅ2"/>
      <sheetName val="전䰨선로_물량표2"/>
      <sheetName val="㶀대입찰_내역서2"/>
      <sheetName val="수목데이타_2"/>
      <sheetName val="kimre_scrubber2"/>
      <sheetName val="내역서_(2)2"/>
      <sheetName val="strut_type2"/>
      <sheetName val="한성교회_신축공사(050713)_CheckList2"/>
      <sheetName val="FRP_PIPING_일위대가2"/>
      <sheetName val="총괄집계_2"/>
      <sheetName val="MP_MOB2"/>
      <sheetName val="명일작업계획_(3)2"/>
      <sheetName val="내역서_(3)3"/>
      <sheetName val="산출양식_(2)3"/>
      <sheetName val="전체산출내역서갑(변경)_3"/>
      <sheetName val="A_터파기공3"/>
      <sheetName val="B_측·집3"/>
      <sheetName val="배(자·집)_(2)3"/>
      <sheetName val="2_01측·터·집3"/>
      <sheetName val="땅깍·수_(1-1)3"/>
      <sheetName val="0-52_3"/>
      <sheetName val="콘·다_(2)3"/>
      <sheetName val="기·집_(2)3"/>
      <sheetName val="콘·다_(3)3"/>
      <sheetName val="병원내역집계표_(2)3"/>
      <sheetName val="실행총괄_3"/>
      <sheetName val="[IL-3_XLSY갑지3"/>
      <sheetName val="4_일위대가목차3"/>
      <sheetName val="내역_ver1_03"/>
      <sheetName val="2000,9월_일위3"/>
      <sheetName val="1_노무비명세서(해동)3"/>
      <sheetName val="1_노무비명세서(토목)3"/>
      <sheetName val="2_노무비명세서(해동)3"/>
      <sheetName val="2_노무비명세서(수직보호망)3"/>
      <sheetName val="2_노무비명세서(난간대)3"/>
      <sheetName val="2_사진대지3"/>
      <sheetName val="3_사진대지3"/>
      <sheetName val="변압기_및_발전기_용량2"/>
      <sheetName val="조도계산서_(도서)2"/>
      <sheetName val="빌딩_안내2"/>
      <sheetName val="CABLE_(2)2"/>
      <sheetName val="G_R300경비2"/>
      <sheetName val="단가대비표_(3)2"/>
      <sheetName val="기성내역서(을)_(2)2"/>
      <sheetName val="1단계_(2)2"/>
      <sheetName val="2_1__노무비_평균단가산출2"/>
      <sheetName val="3_공사비(07년노임단가)2"/>
      <sheetName val="3_공사비(단가조사표)2"/>
      <sheetName val="3_공사비(물량산출표)2"/>
      <sheetName val="3_공사비(일위대가표목록)2"/>
      <sheetName val="3_공사비(일위대가표)2"/>
      <sheetName val="TRE_TABLE2"/>
      <sheetName val="Requirement(Work_Crew)2"/>
      <sheetName val="진입도로B_(2)2"/>
      <sheetName val="2_냉난방설비공사2"/>
      <sheetName val="7_자동제어공사2"/>
      <sheetName val="중강당_내역2"/>
      <sheetName val="기초자료입력및_K치_확인2"/>
      <sheetName val="실행내역_2"/>
      <sheetName val="자재_단가_비교표(견적)2"/>
      <sheetName val="자재_단가_비교표2"/>
      <sheetName val="Bid_Summary2"/>
      <sheetName val="이동시_예상비용2"/>
      <sheetName val="Seg_1DE비용2"/>
      <sheetName val="Transit_비용_감가상각미포함2"/>
      <sheetName val="세골재__T2_변경_현황2"/>
      <sheetName val="전화공사_공량_및_집계표2"/>
      <sheetName val="참조_(2)2"/>
      <sheetName val="6__직접경비2"/>
      <sheetName val="대가_(보완)2"/>
      <sheetName val="3_자재비(총괄)2"/>
      <sheetName val="제조_경영2"/>
      <sheetName val="4_전기2"/>
      <sheetName val="노_무_비2"/>
      <sheetName val="미납품_현황2"/>
      <sheetName val="신설개소별_총집계표(동해-배전)2"/>
      <sheetName val="용선_C_L2"/>
      <sheetName val="전_체2"/>
      <sheetName val="흙막이B_(오산운암)2"/>
      <sheetName val="타이로드_흙막이2"/>
      <sheetName val="타이로드_흙막이(근입장2_5M)2"/>
      <sheetName val="타이로드(근입장2_5M)2"/>
      <sheetName val="pile_항타2"/>
      <sheetName val="pile_항타(디젤)2"/>
      <sheetName val="pile_항타_A2"/>
      <sheetName val="pile_항타_B2"/>
      <sheetName val="pile_항타_C2"/>
      <sheetName val="pile_인발2"/>
      <sheetName val="pile_인발_A2"/>
      <sheetName val="pile_인발_B2"/>
      <sheetName val="pile_인발_C2"/>
      <sheetName val="20TON_TRAILER2"/>
      <sheetName val="토류판_(2)2"/>
      <sheetName val="SHEET_PILE단가2"/>
      <sheetName val="함열량_db1"/>
      <sheetName val="10_경제성분석1"/>
      <sheetName val="단가_및_재료비2"/>
      <sheetName val="기계_도급내역서1"/>
      <sheetName val="-15_01"/>
      <sheetName val="고객사_관리_코드2"/>
      <sheetName val="사__업__비__수__지__예__산__서1"/>
      <sheetName val="Div26_-_Elect1"/>
      <sheetName val="2_1외주2"/>
      <sheetName val="2_3노무2"/>
      <sheetName val="2_4자재2"/>
      <sheetName val="2_2장비2"/>
      <sheetName val="2_5경비2"/>
      <sheetName val="2_6수목대2"/>
      <sheetName val="3련_BOX2"/>
      <sheetName val="모선자재_집계표1"/>
      <sheetName val="재료의_할증1"/>
      <sheetName val="내역서_1"/>
      <sheetName val="공내역_및_견적조건1"/>
      <sheetName val="2_11"/>
      <sheetName val="Bảng_mã_VT1"/>
      <sheetName val="Khoi_luong1"/>
      <sheetName val="DonGia_chetao1"/>
      <sheetName val="DonGia_VatTuLK1"/>
      <sheetName val="표__지1"/>
      <sheetName val="D1_2_COF모듈자재_입출재고_(B급)1"/>
      <sheetName val="Fr_Revit1"/>
      <sheetName val="NSA_Summary1"/>
      <sheetName val="Rate"/>
      <sheetName val="Kiem-Toan"/>
      <sheetName val="gVL"/>
      <sheetName val="Quantity"/>
      <sheetName val="중소기업"/>
      <sheetName val="Phieu trinh ky cấu tháp"/>
      <sheetName val="Phieu trinh ky VTP"/>
      <sheetName val="KS-VTP"/>
      <sheetName val="KS-VL rời"/>
      <sheetName val="BCCP"/>
      <sheetName val="Tai san"/>
      <sheetName val="Check dong tien"/>
      <sheetName val="Chi phí SDTS"/>
      <sheetName val="Check COST"/>
      <sheetName val="KHTC"/>
      <sheetName val="DATA HD"/>
      <sheetName val="THNC"/>
      <sheetName val="KEY"/>
      <sheetName val="NC"/>
      <sheetName val="2TM"/>
      <sheetName val="1TM"/>
      <sheetName val="Tong hop 1TM"/>
      <sheetName val="WBS"/>
      <sheetName val="DMKH"/>
      <sheetName val="NS Lán trại"/>
      <sheetName val="Check cong no NC"/>
      <sheetName val="Prelims"/>
      <sheetName val="cong thuc tinh chi tiet"/>
      <sheetName val="00000000"/>
      <sheetName val="cong_thuc_tinh_chi_tiet"/>
      <sheetName val="cong_thuc_tinh_chi_tiet1"/>
      <sheetName val="장비분석"/>
      <sheetName val="외주대비 -석축_x0000__x0000__x0000__x"/>
      <sheetName val="_IL-3.XLSY갑지"/>
      <sheetName val="_IL-3_XLSY갑지"/>
      <sheetName val="외주대비_-석축_후다내역_XLS_견적표지_(3"/>
      <sheetName val="_IL-3_XLSY갑지1"/>
      <sheetName val="_IL-3_XLSY갑지2"/>
      <sheetName val="_IL-3_XLSY갑지3"/>
      <sheetName val="KET CAU- MJV2"/>
      <sheetName val="Ví dụ"/>
      <sheetName val="Gia VLNCMTC"/>
      <sheetName val="1_MV"/>
      <sheetName val="SEX"/>
      <sheetName val="IBASE"/>
      <sheetName val="MTC"/>
      <sheetName val="外構・目次"/>
      <sheetName val="工場棟・目次"/>
      <sheetName val="事務棟・目次"/>
      <sheetName val="GC산출"/>
      <sheetName val="cable산출"/>
      <sheetName val="동력부하계산"/>
      <sheetName val="서울대규장각(가시설흙막이)"/>
      <sheetName val="아파트급수지하PIT층평면도(평면도)"/>
      <sheetName val="CF_DT"/>
      <sheetName val="01. DATA"/>
      <sheetName val="실唉역서"/>
      <sheetName val="㶀하ረ성남)"/>
      <sheetName val="㶀대표지_(鰲)"/>
      <sheetName val="⳵사塄총ⴄ표"/>
      <sheetName val="배ⴀ단가조사䄜"/>
      <sheetName val="공䠅별산출뀴䃭서"/>
      <sheetName val="옹벽ꏨ면치수"/>
      <sheetName val="맨홀메우기"/>
      <sheetName val="1_설계기준倱"/>
      <sheetName val="수량산출서_x0000__x0000__x0005_"/>
      <sheetName val="chitiet"/>
      <sheetName val="Sikje_in_x0005__x0000_"/>
      <sheetName val="샌딩 에폭시 도장"/>
      <sheetName val="2련간지"/>
      <sheetName val="시험연구비상각"/>
      <sheetName val="Summary VO No.3"/>
      <sheetName val="Breakdown"/>
      <sheetName val="VO No.3.1"/>
      <sheetName val="VO No.3.2"/>
      <sheetName val="VO No.3.3"/>
      <sheetName val="VO No.3.4"/>
      <sheetName val="VO No.3.5"/>
      <sheetName val="VO No.3.6"/>
      <sheetName val="VO No.3.7"/>
      <sheetName val="VO No.3.8"/>
      <sheetName val="견적표지_(3"/>
      <sheetName val="SCOPE OF WORK"/>
      <sheetName val="BG"/>
      <sheetName val="대3류 "/>
      <sheetName val="외주대비 ᨀ晙ԯ"/>
      <sheetName val="入力作成表"/>
      <sheetName val="D_MUC"/>
      <sheetName val="내역서-설비"/>
      <sheetName val="전도금정산서(27)"/>
      <sheetName val="3.단가산출서"/>
      <sheetName val="4.단가산출기초"/>
      <sheetName val="오억미만"/>
      <sheetName val="투찰금액"/>
      <sheetName val="1공구_건정토건_토공7"/>
      <sheetName val="1공구_건정토건_철콘7"/>
      <sheetName val="도급표지_7"/>
      <sheetName val="도급표지__(4)7"/>
      <sheetName val="부대표지_(4)7"/>
      <sheetName val="도급표지__(3)7"/>
      <sheetName val="부대표지_(3)7"/>
      <sheetName val="도급표지__(2)7"/>
      <sheetName val="부대표지_(2)7"/>
      <sheetName val="토__목7"/>
      <sheetName val="조__경7"/>
      <sheetName val="전_기7"/>
      <sheetName val="건__축7"/>
      <sheetName val="보도내역_(3)7"/>
      <sheetName val="준검_내역서7"/>
      <sheetName val="2_대외공문7"/>
      <sheetName val="0_0ControlSheet7"/>
      <sheetName val="0_1keyAssumption7"/>
      <sheetName val="1_수인터널7"/>
      <sheetName val="6PILE__(돌출)7"/>
      <sheetName val="설_계7"/>
      <sheetName val="AS포장복구_7"/>
      <sheetName val="현장별계약현황('98_10_31)6"/>
      <sheetName val="Sheet1_(2)6"/>
      <sheetName val="입출재고현황_(2)6"/>
      <sheetName val="내역(최종본4_5)7"/>
      <sheetName val="96보완계획7_126"/>
      <sheetName val="전차선로_물량표6"/>
      <sheetName val="4_내진설계6"/>
      <sheetName val="BSD_(2)6"/>
      <sheetName val="1_취수장6"/>
      <sheetName val="_총괄표6"/>
      <sheetName val="실행내역서_6"/>
      <sheetName val="노원열병합__건축공사기성내역서6"/>
      <sheetName val="부대입찰_내역서6"/>
      <sheetName val="3BL공동구_수량6"/>
      <sheetName val="토공(우물통,기타)_6"/>
      <sheetName val="1__설계조건_2_단면가정_3__하중계산6"/>
      <sheetName val="DATA_입력란6"/>
      <sheetName val="1_설계조건6"/>
      <sheetName val="플랜트_설치6"/>
      <sheetName val="인건비_6"/>
      <sheetName val="제잡비_xls6"/>
      <sheetName val="2_고용보험료산출근거6"/>
      <sheetName val="원가계산_(2)6"/>
      <sheetName val="Eq__Mobilization6"/>
      <sheetName val="콤보박스와_리스트박스의_연결6"/>
      <sheetName val="설내역서_5"/>
      <sheetName val="97년_추정6"/>
      <sheetName val="현장관리비_산출내역6"/>
      <sheetName val="장비당단가_(1)5"/>
      <sheetName val="Sheet2_(2)5"/>
      <sheetName val="1_설계기준5"/>
      <sheetName val="내___역4"/>
      <sheetName val="집_계_표4"/>
      <sheetName val="프라임_강변역(4,236)4"/>
      <sheetName val="8_PILE__(돌출)5"/>
      <sheetName val="2000년_공정표4"/>
      <sheetName val="수_량_명_세_서_-_15"/>
      <sheetName val="2_건축5"/>
      <sheetName val="2_교량(신설)4"/>
      <sheetName val="5_2코핑4"/>
      <sheetName val="공정표_5"/>
      <sheetName val="P_M_별4"/>
      <sheetName val="배수공_시멘트_및_골재량_산출4"/>
      <sheetName val="7_PILE__(돌출)4"/>
      <sheetName val="DATA_입력부4"/>
      <sheetName val="수량산출서_갑지4"/>
      <sheetName val="별표_5"/>
      <sheetName val="CIP_공사5"/>
      <sheetName val="1_3_1절점좌표4"/>
      <sheetName val="1_1설계기준4"/>
      <sheetName val="표지_(2)6"/>
      <sheetName val="광통신_견적내역서14"/>
      <sheetName val="할증_4"/>
      <sheetName val="unit_44"/>
      <sheetName val="4_경비_5_영업외수지4"/>
      <sheetName val="_견적서4"/>
      <sheetName val="표지_(3)6"/>
      <sheetName val="교각집계_(2)6"/>
      <sheetName val="교각토공_(2)6"/>
      <sheetName val="교각철근_(2)6"/>
      <sheetName val="외주대비_-석축6"/>
      <sheetName val="1_본부별4"/>
      <sheetName val="2000_054"/>
      <sheetName val="외주대비-구조물_(2)6"/>
      <sheetName val="견적표지_(3)6"/>
      <sheetName val="_HIT-&gt;HMC_견적(3900)6"/>
      <sheetName val="일__위__대__가__목__록6"/>
      <sheetName val="교각토공__2_6"/>
      <sheetName val="HRSG_SMALL072206"/>
      <sheetName val="6__안전관리비10"/>
      <sheetName val="하도내역_(철콘)5"/>
      <sheetName val="3_공통공사대비6"/>
      <sheetName val="노무비_근거5"/>
      <sheetName val="조건표_(2)5"/>
      <sheetName val="임율_Data5"/>
      <sheetName val="2차전체변경예정_(2)5"/>
      <sheetName val="토공유동표(전체_당초)5"/>
      <sheetName val="목차_5"/>
      <sheetName val="단면_(2)5"/>
      <sheetName val="b_balju_(2)5"/>
      <sheetName val="8_현장관리비5"/>
      <sheetName val="7_안전관리비5"/>
      <sheetName val="7__현장관리비_5"/>
      <sheetName val="노무비_4"/>
      <sheetName val="내역서_제출4"/>
      <sheetName val="구조______4"/>
      <sheetName val="간_지14"/>
      <sheetName val="화재_탐지_설비4"/>
      <sheetName val="4_일위대가집계4"/>
      <sheetName val="5__현장관리비(new)_4"/>
      <sheetName val="Customer_Databas4"/>
      <sheetName val="방배동내역_(총괄)4"/>
      <sheetName val="기초입력_DATA4"/>
      <sheetName val="EQUIP_LIST4"/>
      <sheetName val="재활용_악취_먼지DUCT산출4"/>
      <sheetName val="남양시작동자105노65기1_3화1_23"/>
      <sheetName val="관음목장(제출용)자105인97_53"/>
      <sheetName val="전체내역_(2)3"/>
      <sheetName val="Hyundai_Unit_cost_xls3"/>
      <sheetName val="4_장비손료4"/>
      <sheetName val="단양_00_아파트-세부내역4"/>
      <sheetName val="원내역서_그대로3"/>
      <sheetName val="PROJECT_BRIEF3"/>
      <sheetName val="Sight_n_M_H3"/>
      <sheetName val="단가_3"/>
      <sheetName val="4_LINE4"/>
      <sheetName val="7_th4"/>
      <sheetName val="_갑지4"/>
      <sheetName val="A_LINE4"/>
      <sheetName val="5__현장관리비_new__4"/>
      <sheetName val="Temporary_Mooring4"/>
      <sheetName val="중기조종사_단위단가5"/>
      <sheetName val="총_원가계산4"/>
      <sheetName val="매출요약(월별)_-년간3"/>
      <sheetName val="Piping_Design_Data3"/>
      <sheetName val="4_&amp;_10-inch,_CO2_Combo_&amp;_Sweep3"/>
      <sheetName val="5_정산서4"/>
      <sheetName val="5호광장_(만점)4"/>
      <sheetName val="인천국제_(만점)_(2)4"/>
      <sheetName val="전선_및_전선관3"/>
      <sheetName val="VENDOR_LIST3"/>
      <sheetName val="설계기준_및_하중계산3"/>
      <sheetName val="수목데이타_3"/>
      <sheetName val="1062-X방향_3"/>
      <sheetName val="TABLE_DB3"/>
      <sheetName val="쌍용_data_base3"/>
      <sheetName val="제출내역_(2)4"/>
      <sheetName val="969910(_R)3"/>
      <sheetName val="2F_회의실견적(5_14_일대)3"/>
      <sheetName val="경비_(1)3"/>
      <sheetName val="2_2_오피스텔(12~32F)4"/>
      <sheetName val="일위대가_집계표4"/>
      <sheetName val="9_1지하2층하부보4"/>
      <sheetName val="단계별내역_(2)4"/>
      <sheetName val="4_일위대가4"/>
      <sheetName val="한성교회_신축공사(050713)_CheckList3"/>
      <sheetName val="단가_및_재료비3"/>
      <sheetName val="1_䷨수장3"/>
      <sheetName val="4_뀴진설Ⳅ3"/>
      <sheetName val="전䰨선로_물량표3"/>
      <sheetName val="㶀대입찰_내역서3"/>
      <sheetName val="내역서_(2)3"/>
      <sheetName val="strut_type3"/>
      <sheetName val="10_경제성분석2"/>
      <sheetName val="총괄집계_3"/>
      <sheetName val="2_12"/>
      <sheetName val="기계_도급내역서2"/>
      <sheetName val="kimre_scrubber3"/>
      <sheetName val="108_수선비3"/>
      <sheetName val="FRP_PIPING_일위대가3"/>
      <sheetName val="-15_02"/>
      <sheetName val="개인별_순위표4"/>
      <sheetName val="사__업__비__수__지__예__산__서2"/>
      <sheetName val="CM_14"/>
      <sheetName val="청_구1"/>
      <sheetName val="공내역_및_견적조건2"/>
      <sheetName val="STEEL_BOX_단면설계(SEC_8)3"/>
      <sheetName val="2_2_띠장의_설계4"/>
      <sheetName val="자__재4"/>
      <sheetName val="세골재__T2_변경_현황3"/>
      <sheetName val="6__안전관리비11"/>
      <sheetName val="기술부_VENDOR_LIST4"/>
      <sheetName val="4_2_1_마루높이_검토3"/>
      <sheetName val="내역서_(3)4"/>
      <sheetName val="산출양식_(2)4"/>
      <sheetName val="전체산출내역서갑(변경)_4"/>
      <sheetName val="A_터파기공4"/>
      <sheetName val="B_측·집4"/>
      <sheetName val="배(자·집)_(2)4"/>
      <sheetName val="2_01측·터·집4"/>
      <sheetName val="땅깍·수_(1-1)4"/>
      <sheetName val="0-52_4"/>
      <sheetName val="콘·다_(2)4"/>
      <sheetName val="기·집_(2)4"/>
      <sheetName val="콘·다_(3)4"/>
      <sheetName val="병원내역집계표_(2)4"/>
      <sheetName val="실행총괄_4"/>
      <sheetName val="[IL-3_XLSY갑지4"/>
      <sheetName val="4_일위대가목차4"/>
      <sheetName val="내역_ver1_04"/>
      <sheetName val="2000,9월_일위4"/>
      <sheetName val="1_노무비명세서(해동)4"/>
      <sheetName val="1_노무비명세서(토목)4"/>
      <sheetName val="2_노무비명세서(해동)4"/>
      <sheetName val="2_노무비명세서(수직보호망)4"/>
      <sheetName val="2_노무비명세서(난간대)4"/>
      <sheetName val="2_사진대지4"/>
      <sheetName val="3_사진대지4"/>
      <sheetName val="변압기_및_발전기_용량3"/>
      <sheetName val="조도계산서_(도서)3"/>
      <sheetName val="빌딩_안내3"/>
      <sheetName val="CABLE_(2)3"/>
      <sheetName val="G_R300경비3"/>
      <sheetName val="단가대비표_(3)3"/>
      <sheetName val="기성내역서(을)_(2)3"/>
      <sheetName val="1단계_(2)3"/>
      <sheetName val="2_1__노무비_평균단가산출3"/>
      <sheetName val="3_공사비(07년노임단가)3"/>
      <sheetName val="3_공사비(단가조사표)3"/>
      <sheetName val="3_공사비(물량산출표)3"/>
      <sheetName val="3_공사비(일위대가표목록)3"/>
      <sheetName val="3_공사비(일위대가표)3"/>
      <sheetName val="TRE_TABLE3"/>
      <sheetName val="Requirement(Work_Crew)3"/>
      <sheetName val="진입도로B_(2)3"/>
      <sheetName val="2_냉난방설비공사3"/>
      <sheetName val="7_자동제어공사3"/>
      <sheetName val="중강당_내역3"/>
      <sheetName val="기초자료입력및_K치_확인3"/>
      <sheetName val="실행내역_3"/>
      <sheetName val="자재_단가_비교표(견적)3"/>
      <sheetName val="자재_단가_비교표3"/>
      <sheetName val="Bid_Summary3"/>
      <sheetName val="이동시_예상비용3"/>
      <sheetName val="Seg_1DE비용3"/>
      <sheetName val="Transit_비용_감가상각미포함3"/>
      <sheetName val="전화공사_공량_및_집계표3"/>
      <sheetName val="참조_(2)3"/>
      <sheetName val="6__직접경비3"/>
      <sheetName val="대가_(보완)3"/>
      <sheetName val="3_자재비(총괄)3"/>
      <sheetName val="제조_경영3"/>
      <sheetName val="4_전기3"/>
      <sheetName val="노_무_비3"/>
      <sheetName val="미납품_현황3"/>
      <sheetName val="신설개소별_총집계표(동해-배전)3"/>
      <sheetName val="BOX_본체3"/>
      <sheetName val="MP_MOB3"/>
      <sheetName val="일위대가_(PM)3"/>
      <sheetName val="7_전산해석결과1"/>
      <sheetName val="4_하중1"/>
      <sheetName val="①idea_pipeline3"/>
      <sheetName val="IMP_통일양식3"/>
      <sheetName val="LYS_통일양식3"/>
      <sheetName val="Xunit_(단위환산)3"/>
      <sheetName val="유통기한_프로그램3"/>
      <sheetName val="1-1_현장정리3"/>
      <sheetName val="1-2_토공3"/>
      <sheetName val="1-3_WMM,GSB3"/>
      <sheetName val="1-4_BITUMINOUS_COURSE3"/>
      <sheetName val="1-5_BOX_CULVERTS3"/>
      <sheetName val="1-6_BRIDGE3"/>
      <sheetName val="1-7_DRAINAGE3"/>
      <sheetName val="1-8_TRAFFIC3"/>
      <sheetName val="1-9_MISCELLANEOUS3"/>
      <sheetName val="1-10_ELECTRICAL3"/>
      <sheetName val="1-12_도급외항목3"/>
      <sheetName val="명일작업계획_(3)3"/>
      <sheetName val="용선_C_L3"/>
      <sheetName val="전_체3"/>
      <sheetName val="흙막이B_(오산운암)3"/>
      <sheetName val="타이로드_흙막이3"/>
      <sheetName val="타이로드_흙막이(근입장2_5M)3"/>
      <sheetName val="타이로드(근입장2_5M)3"/>
      <sheetName val="pile_항타3"/>
      <sheetName val="pile_항타(디젤)3"/>
      <sheetName val="pile_항타_A3"/>
      <sheetName val="pile_항타_B3"/>
      <sheetName val="pile_항타_C3"/>
      <sheetName val="pile_인발3"/>
      <sheetName val="pile_인발_A3"/>
      <sheetName val="pile_인발_B3"/>
      <sheetName val="pile_인발_C3"/>
      <sheetName val="20TON_TRAILER3"/>
      <sheetName val="토류판_(2)3"/>
      <sheetName val="SHEET_PILE단가3"/>
      <sheetName val="6_이토처리시간3"/>
      <sheetName val="1차_내역서3"/>
      <sheetName val="울진항공등화_내역서3"/>
      <sheetName val="일_위_대_가_표3"/>
      <sheetName val="영흥TL(UP,DOWN)_3"/>
      <sheetName val="3련_BOX3"/>
      <sheetName val="내역서_2"/>
      <sheetName val="2_1외주3"/>
      <sheetName val="2_3노무3"/>
      <sheetName val="2_4자재3"/>
      <sheetName val="2_2장비3"/>
      <sheetName val="2_5경비3"/>
      <sheetName val="2_6수목대3"/>
      <sheetName val="모선자재_집계표2"/>
      <sheetName val="재료의_할증2"/>
      <sheetName val="D1_2_COF모듈자재_입출재고_(B급)2"/>
      <sheetName val="표__지2"/>
      <sheetName val="중기쥰종사_단위단가3"/>
      <sheetName val="함열량_db2"/>
      <sheetName val="고객사_관리_코드3"/>
      <sheetName val="PTVT_(MAU)3"/>
      <sheetName val="기존단가_(2)1"/>
      <sheetName val="D_B"/>
      <sheetName val="금회_청구사항(기계)"/>
      <sheetName val="기성갑지_(소방)"/>
      <sheetName val="금회_청구사항(소방)"/>
      <sheetName val="K2_site_Total_내역서"/>
      <sheetName val="1_청구서"/>
      <sheetName val="2_내역서"/>
      <sheetName val="일위대가56-1_"/>
      <sheetName val="일위대가71-1_"/>
      <sheetName val="일위대가74-1_"/>
      <sheetName val="일위대가76-1_"/>
      <sheetName val="일위대가77-1_"/>
      <sheetName val="일위대가78-1_"/>
      <sheetName val="Div26_-_Elect2"/>
      <sheetName val="Khoi_luong2"/>
      <sheetName val="Bảng_mã_VT2"/>
      <sheetName val="DonGia_chetao2"/>
      <sheetName val="DonGia_VatTuLK2"/>
      <sheetName val="Fr_Revit2"/>
      <sheetName val="NSA_Summary2"/>
      <sheetName val="chi_tiet1"/>
      <sheetName val="PPC_Summary1"/>
      <sheetName val="Tong_hop"/>
      <sheetName val="Phan_lap_dat"/>
      <sheetName val="Lắp_Ráp"/>
      <sheetName val="동강_배관"/>
      <sheetName val="WCR_외주"/>
      <sheetName val="ANILINE_-_OPTION"/>
      <sheetName val="MDI_-_OPTION"/>
      <sheetName val="총괄표_"/>
      <sheetName val="계약대비내역서_(부경)"/>
      <sheetName val="집행대비내역서_(부경)"/>
      <sheetName val="계약그라우팅_포장"/>
      <sheetName val="계약사무실조경_"/>
      <sheetName val="횡배수관_토공량_산출"/>
      <sheetName val="부대표지䥀"/>
      <sheetName val="Phieu_trinh_ky_cấu_tháp"/>
      <sheetName val="Phieu_trinh_ky_VTP"/>
      <sheetName val="KS-VL_rời"/>
      <sheetName val="Tai_san"/>
      <sheetName val="Check_dong_tien"/>
      <sheetName val="Chi_phí_SDTS"/>
      <sheetName val="Check_COST"/>
      <sheetName val="DATA_HD"/>
      <sheetName val="Tong_hop_1TM"/>
      <sheetName val="NS_Lán_trại"/>
      <sheetName val="Check_cong_no_NC"/>
      <sheetName val="cong_thuc_tinh_chi_tiet2"/>
      <sheetName val="외주대비_-석축_x"/>
      <sheetName val="_IL-3_XLSY갑지4"/>
      <sheetName val="KET_CAU-_MJV2"/>
      <sheetName val="Ví_dụ"/>
      <sheetName val="Gia_VLNCMTC"/>
      <sheetName val="06_일위대가목록"/>
      <sheetName val="1공구_건정토건_토공8"/>
      <sheetName val="1공구_건정토건_철콘8"/>
      <sheetName val="도급표지_8"/>
      <sheetName val="도급표지__(4)8"/>
      <sheetName val="부대표지_(4)8"/>
      <sheetName val="도급표지__(3)8"/>
      <sheetName val="부대표지_(3)8"/>
      <sheetName val="도급표지__(2)8"/>
      <sheetName val="부대표지_(2)8"/>
      <sheetName val="토__목8"/>
      <sheetName val="조__경8"/>
      <sheetName val="전_기8"/>
      <sheetName val="건__축8"/>
      <sheetName val="보도내역_(3)8"/>
      <sheetName val="준검_내역서8"/>
      <sheetName val="1_수인터널8"/>
      <sheetName val="2_대외공문8"/>
      <sheetName val="설_계8"/>
      <sheetName val="6PILE__(돌출)8"/>
      <sheetName val="AS포장복구_8"/>
      <sheetName val="입출재고현황_(2)7"/>
      <sheetName val="0_0ControlSheet8"/>
      <sheetName val="0_1keyAssumption8"/>
      <sheetName val="4_내진설계7"/>
      <sheetName val="내역(최종본4_5)8"/>
      <sheetName val="Sheet1_(2)7"/>
      <sheetName val="BSD_(2)7"/>
      <sheetName val="1_취수장7"/>
      <sheetName val="부대입찰_내역서7"/>
      <sheetName val="전차선로_물량표7"/>
      <sheetName val="토공(우물통,기타)_7"/>
      <sheetName val="_총괄표7"/>
      <sheetName val="현장관리비_산출내역7"/>
      <sheetName val="제잡비_xls7"/>
      <sheetName val="3BL공동구_수량7"/>
      <sheetName val="현장별계약현황('98_10_31)7"/>
      <sheetName val="96보완계획7_127"/>
      <sheetName val="97년_추정7"/>
      <sheetName val="인건비_7"/>
      <sheetName val="1__설계조건_2_단면가정_3__하중계산7"/>
      <sheetName val="DATA_입력란7"/>
      <sheetName val="실행내역서_7"/>
      <sheetName val="1_설계조건7"/>
      <sheetName val="2_고용보험료산출근거7"/>
      <sheetName val="노원열병합__건축공사기성내역서7"/>
      <sheetName val="Eq__Mobilization7"/>
      <sheetName val="원가계산_(2)7"/>
      <sheetName val="장비당단가_(1)6"/>
      <sheetName val="Sheet2_(2)6"/>
      <sheetName val="내___역5"/>
      <sheetName val="1_설계기준6"/>
      <sheetName val="프라임_강변역(4,236)5"/>
      <sheetName val="플랜트_설치7"/>
      <sheetName val="8_PILE__(돌출)6"/>
      <sheetName val="콤보박스와_리스트박스의_연결7"/>
      <sheetName val="2000년_공정표5"/>
      <sheetName val="수_량_명_세_서_-_16"/>
      <sheetName val="설내역서_6"/>
      <sheetName val="2_건축6"/>
      <sheetName val="집_계_표5"/>
      <sheetName val="2_교량(신설)5"/>
      <sheetName val="5_2코핑5"/>
      <sheetName val="공정표_6"/>
      <sheetName val="P_M_별5"/>
      <sheetName val="표지_(3)7"/>
      <sheetName val="표지_(2)7"/>
      <sheetName val="교각집계_(2)7"/>
      <sheetName val="교각토공_(2)7"/>
      <sheetName val="교각철근_(2)7"/>
      <sheetName val="외주대비_-석축7"/>
      <sheetName val="외주대비-구조물_(2)7"/>
      <sheetName val="견적표지_(3)7"/>
      <sheetName val="_HIT-&gt;HMC_견적(3900)7"/>
      <sheetName val="일__위__대__가__목__록7"/>
      <sheetName val="교각토공__2_7"/>
      <sheetName val="HRSG_SMALL072207"/>
      <sheetName val="6__안전관리비12"/>
      <sheetName val="하도내역_(철콘)6"/>
      <sheetName val="3_공통공사대비7"/>
      <sheetName val="노무비_근거6"/>
      <sheetName val="조건표_(2)6"/>
      <sheetName val="별표_6"/>
      <sheetName val="임율_Data6"/>
      <sheetName val="2차전체변경예정_(2)6"/>
      <sheetName val="토공유동표(전체_당초)6"/>
      <sheetName val="목차_6"/>
      <sheetName val="단면_(2)6"/>
      <sheetName val="b_balju_(2)6"/>
      <sheetName val="8_현장관리비6"/>
      <sheetName val="7_안전관리비6"/>
      <sheetName val="7__현장관리비_6"/>
      <sheetName val="노무비_5"/>
      <sheetName val="내역서_제출5"/>
      <sheetName val="구조______5"/>
      <sheetName val="간_지15"/>
      <sheetName val="화재_탐지_설비5"/>
      <sheetName val="4_일위대가집계5"/>
      <sheetName val="5__현장관리비(new)_5"/>
      <sheetName val="Customer_Databas5"/>
      <sheetName val="방배동내역_(총괄)5"/>
      <sheetName val="배수공_시멘트_및_골재량_산출5"/>
      <sheetName val="7_PILE__(돌출)5"/>
      <sheetName val="CIP_공사6"/>
      <sheetName val="광통신_견적내역서15"/>
      <sheetName val="할증_5"/>
      <sheetName val="unit_45"/>
      <sheetName val="DATA_입력부5"/>
      <sheetName val="수량산출서_갑지5"/>
      <sheetName val="남양시작동자105노65기1_3화1_24"/>
      <sheetName val="관음목장(제출용)자105인97_54"/>
      <sheetName val="1_본부별5"/>
      <sheetName val="1_3_1절점좌표5"/>
      <sheetName val="1_1설계기준5"/>
      <sheetName val="2000_055"/>
      <sheetName val="기초입력_DATA5"/>
      <sheetName val="단양_00_아파트-세부내역5"/>
      <sheetName val="4_경비_5_영업외수지5"/>
      <sheetName val="_견적서5"/>
      <sheetName val="EQUIP_LIST5"/>
      <sheetName val="Piping_Design_Data4"/>
      <sheetName val="4_&amp;_10-inch,_CO2_Combo_&amp;_Sweep4"/>
      <sheetName val="Sight_n_M_H4"/>
      <sheetName val="4_장비손료5"/>
      <sheetName val="2F_회의실견적(5_14_일대)4"/>
      <sheetName val="재활용_악취_먼지DUCT산출5"/>
      <sheetName val="전체내역_(2)4"/>
      <sheetName val="Hyundai_Unit_cost_xls4"/>
      <sheetName val="969910(_R)4"/>
      <sheetName val="원내역서_그대로4"/>
      <sheetName val="5_정산서5"/>
      <sheetName val="수목데이타_4"/>
      <sheetName val="1062-X방향_4"/>
      <sheetName val="TABLE_DB4"/>
      <sheetName val="쌍용_data_base4"/>
      <sheetName val="경비_(1)4"/>
      <sheetName val="설계기준_및_하중계산4"/>
      <sheetName val="PROJECT_BRIEF4"/>
      <sheetName val="5호광장_(만점)5"/>
      <sheetName val="인천국제_(만점)_(2)5"/>
      <sheetName val="전선_및_전선관4"/>
      <sheetName val="VENDOR_LIST4"/>
      <sheetName val="중기조종사_단위단가6"/>
      <sheetName val="5__현장관리비_new__5"/>
      <sheetName val="Temporary_Mooring5"/>
      <sheetName val="A_LINE5"/>
      <sheetName val="제출내역_(2)5"/>
      <sheetName val="2_2_오피스텔(12~32F)5"/>
      <sheetName val="_갑지5"/>
      <sheetName val="일위대가_집계표5"/>
      <sheetName val="9_1지하2층하부보5"/>
      <sheetName val="단계별내역_(2)5"/>
      <sheetName val="총_원가계산5"/>
      <sheetName val="4_일위대가5"/>
      <sheetName val="단가_4"/>
      <sheetName val="4_LINE5"/>
      <sheetName val="7_th5"/>
      <sheetName val="매출요약(월별)_-년간4"/>
      <sheetName val="한성교회_신축공사(050713)_CheckList4"/>
      <sheetName val="단가_및_재료비4"/>
      <sheetName val="1_䷨수장4"/>
      <sheetName val="4_뀴진설Ⳅ4"/>
      <sheetName val="전䰨선로_물량표4"/>
      <sheetName val="㶀대입찰_내역서4"/>
      <sheetName val="내역서_(2)4"/>
      <sheetName val="strut_type4"/>
      <sheetName val="10_경제성분석3"/>
      <sheetName val="총괄집계_4"/>
      <sheetName val="2_13"/>
      <sheetName val="기계_도급내역서3"/>
      <sheetName val="kimre_scrubber4"/>
      <sheetName val="108_수선비4"/>
      <sheetName val="FRP_PIPING_일위대가4"/>
      <sheetName val="-15_03"/>
      <sheetName val="개인별_순위표5"/>
      <sheetName val="사__업__비__수__지__예__산__서3"/>
      <sheetName val="CM_15"/>
      <sheetName val="청_구2"/>
      <sheetName val="공내역_및_견적조건3"/>
      <sheetName val="_ｹ-ﾌﾞﾙ1"/>
      <sheetName val="97_사업추정(WEKI)1"/>
      <sheetName val="STEEL_BOX_단면설계(SEC_8)4"/>
      <sheetName val="2_2_띠장의_설계5"/>
      <sheetName val="자__재5"/>
      <sheetName val="세골재__T2_변경_현황4"/>
      <sheetName val="6__안전관리비13"/>
      <sheetName val="기술부_VENDOR_LIST5"/>
      <sheetName val="4_2_1_마루높이_검토4"/>
      <sheetName val="내역서_(3)5"/>
      <sheetName val="산출양식_(2)5"/>
      <sheetName val="전체산출내역서갑(변경)_5"/>
      <sheetName val="A_터파기공5"/>
      <sheetName val="B_측·집5"/>
      <sheetName val="배(자·집)_(2)5"/>
      <sheetName val="2_01측·터·집5"/>
      <sheetName val="땅깍·수_(1-1)5"/>
      <sheetName val="0-52_5"/>
      <sheetName val="콘·다_(2)5"/>
      <sheetName val="기·집_(2)5"/>
      <sheetName val="콘·다_(3)5"/>
      <sheetName val="병원내역집계표_(2)5"/>
      <sheetName val="실행총괄_5"/>
      <sheetName val="[IL-3_XLSY갑지5"/>
      <sheetName val="4_일위대가목차5"/>
      <sheetName val="내역_ver1_05"/>
      <sheetName val="2000,9월_일위5"/>
      <sheetName val="1_노무비명세서(해동)5"/>
      <sheetName val="1_노무비명세서(토목)5"/>
      <sheetName val="2_노무비명세서(해동)5"/>
      <sheetName val="2_노무비명세서(수직보호망)5"/>
      <sheetName val="2_노무비명세서(난간대)5"/>
      <sheetName val="2_사진대지5"/>
      <sheetName val="3_사진대지5"/>
      <sheetName val="변압기_및_발전기_용량4"/>
      <sheetName val="조도계산서_(도서)4"/>
      <sheetName val="빌딩_안내4"/>
      <sheetName val="CABLE_(2)4"/>
      <sheetName val="G_R300경비4"/>
      <sheetName val="단가대비표_(3)4"/>
      <sheetName val="기성내역서(을)_(2)4"/>
      <sheetName val="1단계_(2)4"/>
      <sheetName val="2_1__노무비_평균단가산출4"/>
      <sheetName val="3_공사비(07년노임단가)4"/>
      <sheetName val="3_공사비(단가조사표)4"/>
      <sheetName val="3_공사비(물량산출표)4"/>
      <sheetName val="3_공사비(일위대가표목록)4"/>
      <sheetName val="3_공사비(일위대가표)4"/>
      <sheetName val="TRE_TABLE4"/>
      <sheetName val="Requirement(Work_Crew)4"/>
      <sheetName val="진입도로B_(2)4"/>
      <sheetName val="2_냉난방설비공사4"/>
      <sheetName val="7_자동제어공사4"/>
      <sheetName val="중강당_내역4"/>
      <sheetName val="기초자료입력및_K치_확인4"/>
      <sheetName val="실행내역_4"/>
      <sheetName val="자재_단가_비교표(견적)4"/>
      <sheetName val="자재_단가_비교표4"/>
      <sheetName val="Bid_Summary4"/>
      <sheetName val="이동시_예상비용4"/>
      <sheetName val="Seg_1DE비용4"/>
      <sheetName val="Transit_비용_감가상각미포함4"/>
      <sheetName val="전화공사_공량_및_집계표4"/>
      <sheetName val="참조_(2)4"/>
      <sheetName val="6__직접경비4"/>
      <sheetName val="대가_(보완)4"/>
      <sheetName val="3_자재비(총괄)4"/>
      <sheetName val="제조_경영4"/>
      <sheetName val="4_전기4"/>
      <sheetName val="노_무_비4"/>
      <sheetName val="미납품_현황4"/>
      <sheetName val="신설개소별_총집계표(동해-배전)4"/>
      <sheetName val="BOX_본체4"/>
      <sheetName val="MP_MOB4"/>
      <sheetName val="신평리_권리자명부1"/>
      <sheetName val="일위대가_(PM)4"/>
      <sheetName val="7_전산해석결과2"/>
      <sheetName val="4_하중2"/>
      <sheetName val="①idea_pipeline4"/>
      <sheetName val="IMP_통일양식4"/>
      <sheetName val="LYS_통일양식4"/>
      <sheetName val="Xunit_(단위환산)4"/>
      <sheetName val="유통기한_프로그램4"/>
      <sheetName val="1-1_현장정리4"/>
      <sheetName val="1-2_토공4"/>
      <sheetName val="1-3_WMM,GSB4"/>
      <sheetName val="1-4_BITUMINOUS_COURSE4"/>
      <sheetName val="1-5_BOX_CULVERTS4"/>
      <sheetName val="1-6_BRIDGE4"/>
      <sheetName val="1-7_DRAINAGE4"/>
      <sheetName val="1-8_TRAFFIC4"/>
      <sheetName val="1-9_MISCELLANEOUS4"/>
      <sheetName val="1-10_ELECTRICAL4"/>
      <sheetName val="1-12_도급외항목4"/>
      <sheetName val="명일작업계획_(3)4"/>
      <sheetName val="용선_C_L4"/>
      <sheetName val="전_체4"/>
      <sheetName val="흙막이B_(오산운암)4"/>
      <sheetName val="타이로드_흙막이4"/>
      <sheetName val="타이로드_흙막이(근입장2_5M)4"/>
      <sheetName val="타이로드(근입장2_5M)4"/>
      <sheetName val="pile_항타4"/>
      <sheetName val="pile_항타(디젤)4"/>
      <sheetName val="pile_항타_A4"/>
      <sheetName val="pile_항타_B4"/>
      <sheetName val="pile_항타_C4"/>
      <sheetName val="pile_인발4"/>
      <sheetName val="pile_인발_A4"/>
      <sheetName val="pile_인발_B4"/>
      <sheetName val="pile_인발_C4"/>
      <sheetName val="20TON_TRAILER4"/>
      <sheetName val="토류판_(2)4"/>
      <sheetName val="SHEET_PILE단가4"/>
      <sheetName val="6_이토처리시간4"/>
      <sheetName val="태화42_1"/>
      <sheetName val="외주현황_wq11"/>
      <sheetName val="1차_내역서4"/>
      <sheetName val="220_(2)1"/>
      <sheetName val="토__공1"/>
      <sheetName val="울진항공등화_내역서4"/>
      <sheetName val="일_위_대_가_표4"/>
      <sheetName val="영흥TL(UP,DOWN)_4"/>
      <sheetName val="3련_BOX4"/>
      <sheetName val="내역서_3"/>
      <sheetName val="2_1외주4"/>
      <sheetName val="2_3노무4"/>
      <sheetName val="2_4자재4"/>
      <sheetName val="2_2장비4"/>
      <sheetName val="2_5경비4"/>
      <sheetName val="2_6수목대4"/>
      <sheetName val="모선자재_집계표3"/>
      <sheetName val="재료의_할증3"/>
      <sheetName val="D1_2_COF모듈자재_입출재고_(B급)3"/>
      <sheetName val="BEND_LOSS1"/>
      <sheetName val="토공_total1"/>
      <sheetName val="3_관로전환기1"/>
      <sheetName val="F_월별기성수금현황_1"/>
      <sheetName val="내역서1999_8최종1"/>
      <sheetName val="3_전기산출기초1"/>
      <sheetName val="고객사_관리_코드4"/>
      <sheetName val="중기쥰종사_단위단가4"/>
      <sheetName val="_1"/>
      <sheetName val="금회_청구사항(기계)1"/>
      <sheetName val="기성갑지_(소방)1"/>
      <sheetName val="금회_청구사항(소방)1"/>
      <sheetName val="함열량_db3"/>
      <sheetName val="PTVT_(MAU)4"/>
      <sheetName val="99_조정금액1"/>
      <sheetName val="D_B1"/>
      <sheetName val="기존단가_(2)2"/>
      <sheetName val="TRAY_헹거산출1"/>
      <sheetName val="1_청구서1"/>
      <sheetName val="2_내역서1"/>
      <sheetName val="표__지3"/>
      <sheetName val="1_11"/>
      <sheetName val="K2_site_Total_내역서1"/>
      <sheetName val="Div26_-_Elect3"/>
      <sheetName val="Khoi_luong3"/>
      <sheetName val="Bảng_mã_VT3"/>
      <sheetName val="DonGia_chetao3"/>
      <sheetName val="DonGia_VatTuLK3"/>
      <sheetName val="Fr_Revit3"/>
      <sheetName val="NSA_Summary3"/>
      <sheetName val="일위대가56-1_1"/>
      <sheetName val="일위대가71-1_1"/>
      <sheetName val="일위대가74-1_1"/>
      <sheetName val="일위대가76-1_1"/>
      <sheetName val="일위대가77-1_1"/>
      <sheetName val="일위대가78-1_1"/>
      <sheetName val="chi_tiet2"/>
      <sheetName val="PPC_Summary2"/>
      <sheetName val="Tong_hop1"/>
      <sheetName val="Phan_lap_dat1"/>
      <sheetName val="Lắp_Ráp1"/>
      <sheetName val="동강_배관1"/>
      <sheetName val="WCR_외주1"/>
      <sheetName val="ANILINE_-_OPTION1"/>
      <sheetName val="MDI_-_OPTION1"/>
      <sheetName val="총괄표_1"/>
      <sheetName val="계약대비내역서_(부경)1"/>
      <sheetName val="집행대비내역서_(부경)1"/>
      <sheetName val="계약그라우팅_포장1"/>
      <sheetName val="계약사무실조경_1"/>
      <sheetName val="횡배수관_토공량_산출1"/>
      <sheetName val="Phieu_trinh_ky_cấu_tháp1"/>
      <sheetName val="Phieu_trinh_ky_VTP1"/>
      <sheetName val="KS-VL_rời1"/>
      <sheetName val="Tai_san1"/>
      <sheetName val="Check_dong_tien1"/>
      <sheetName val="Chi_phí_SDTS1"/>
      <sheetName val="Check_COST1"/>
      <sheetName val="DATA_HD1"/>
      <sheetName val="Tong_hop_1TM1"/>
      <sheetName val="NS_Lán_trại1"/>
      <sheetName val="Check_cong_no_NC1"/>
      <sheetName val="cong_thuc_tinh_chi_tiet3"/>
      <sheetName val="_IL-3_XLSY갑지5"/>
      <sheetName val="KET_CAU-_MJV21"/>
      <sheetName val="Ví_dụ1"/>
      <sheetName val="Gia_VLNCMTC1"/>
      <sheetName val="06_일위대가목록1"/>
      <sheetName val="부대표지⽠"/>
      <sheetName val="도시정비_"/>
      <sheetName val="3_1_6_전산처리결과"/>
      <sheetName val="1공구_건정토건_토공9"/>
      <sheetName val="1공구_건정토건_철콘9"/>
      <sheetName val="도급표지_9"/>
      <sheetName val="도급표지__(4)9"/>
      <sheetName val="부대표지_(4)9"/>
      <sheetName val="도급표지__(3)9"/>
      <sheetName val="부대표지_(3)9"/>
      <sheetName val="도급표지__(2)9"/>
      <sheetName val="부대표지_(2)9"/>
      <sheetName val="토__목9"/>
      <sheetName val="조__경9"/>
      <sheetName val="전_기9"/>
      <sheetName val="건__축9"/>
      <sheetName val="보도내역_(3)9"/>
      <sheetName val="준검_내역서9"/>
      <sheetName val="1_수인터널9"/>
      <sheetName val="2_대외공문9"/>
      <sheetName val="설_계9"/>
      <sheetName val="6PILE__(돌출)9"/>
      <sheetName val="AS포장복구_9"/>
      <sheetName val="입출재고현황_(2)8"/>
      <sheetName val="0_0ControlSheet9"/>
      <sheetName val="0_1keyAssumption9"/>
      <sheetName val="4_내진설계8"/>
      <sheetName val="내역(최종본4_5)9"/>
      <sheetName val="Sheet1_(2)8"/>
      <sheetName val="BSD_(2)8"/>
      <sheetName val="1_취수장8"/>
      <sheetName val="부대입찰_내역서8"/>
      <sheetName val="전차선로_물량표8"/>
      <sheetName val="토공(우물통,기타)_8"/>
      <sheetName val="_총괄표8"/>
      <sheetName val="현장관리비_산출내역8"/>
      <sheetName val="제잡비_xls8"/>
      <sheetName val="3BL공동구_수량8"/>
      <sheetName val="현장별계약현황('98_10_31)8"/>
      <sheetName val="96보완계획7_128"/>
      <sheetName val="97년_추정8"/>
      <sheetName val="인건비_8"/>
      <sheetName val="1__설계조건_2_단면가정_3__하중계산8"/>
      <sheetName val="DATA_입력란8"/>
      <sheetName val="실행내역서_8"/>
      <sheetName val="1_설계조건8"/>
      <sheetName val="2_고용보험료산출근거8"/>
      <sheetName val="노원열병합__건축공사기성내역서8"/>
      <sheetName val="Eq__Mobilization8"/>
      <sheetName val="원가계산_(2)8"/>
      <sheetName val="장비당단가_(1)7"/>
      <sheetName val="Sheet2_(2)7"/>
      <sheetName val="내___역6"/>
      <sheetName val="1_설계기준7"/>
      <sheetName val="프라임_강변역(4,236)6"/>
      <sheetName val="플랜트_설치8"/>
      <sheetName val="8_PILE__(돌출)7"/>
      <sheetName val="콤보박스와_리스트박스의_연결8"/>
      <sheetName val="2000년_공정표6"/>
      <sheetName val="수_량_명_세_서_-_17"/>
      <sheetName val="설내역서_7"/>
      <sheetName val="2_건축7"/>
      <sheetName val="집_계_표6"/>
      <sheetName val="2_교량(신설)6"/>
      <sheetName val="5_2코핑6"/>
      <sheetName val="공정표_7"/>
      <sheetName val="P_M_별6"/>
      <sheetName val="표지_(3)8"/>
      <sheetName val="표지_(2)8"/>
      <sheetName val="교각집계_(2)8"/>
      <sheetName val="교각토공_(2)8"/>
      <sheetName val="교각철근_(2)8"/>
      <sheetName val="외주대비_-석축8"/>
      <sheetName val="외주대비-구조물_(2)8"/>
      <sheetName val="견적표지_(3)8"/>
      <sheetName val="_HIT-&gt;HMC_견적(3900)8"/>
      <sheetName val="일__위__대__가__목__록8"/>
      <sheetName val="교각토공__2_8"/>
      <sheetName val="HRSG_SMALL072208"/>
      <sheetName val="6__안전관리비14"/>
      <sheetName val="하도내역_(철콘)7"/>
      <sheetName val="3_공통공사대비8"/>
      <sheetName val="노무비_근거7"/>
      <sheetName val="조건표_(2)7"/>
      <sheetName val="별표_7"/>
      <sheetName val="임율_Data7"/>
      <sheetName val="2차전체변경예정_(2)7"/>
      <sheetName val="토공유동표(전체_당초)7"/>
      <sheetName val="목차_7"/>
      <sheetName val="단면_(2)7"/>
      <sheetName val="b_balju_(2)7"/>
      <sheetName val="8_현장관리비7"/>
      <sheetName val="7_안전관리비7"/>
      <sheetName val="7__현장관리비_7"/>
      <sheetName val="노무비_6"/>
      <sheetName val="내역서_제출6"/>
      <sheetName val="구조______6"/>
      <sheetName val="간_지16"/>
      <sheetName val="화재_탐지_설비6"/>
      <sheetName val="4_일위대가집계6"/>
      <sheetName val="5__현장관리비(new)_6"/>
      <sheetName val="Customer_Databas6"/>
      <sheetName val="방배동내역_(총괄)6"/>
      <sheetName val="배수공_시멘트_및_골재량_산출6"/>
      <sheetName val="7_PILE__(돌출)6"/>
      <sheetName val="CIP_공사7"/>
      <sheetName val="광통신_견적내역서16"/>
      <sheetName val="할증_6"/>
      <sheetName val="unit_46"/>
      <sheetName val="DATA_입력부6"/>
      <sheetName val="수량산출서_갑지6"/>
      <sheetName val="남양시작동자105노65기1_3화1_25"/>
      <sheetName val="관음목장(제출용)자105인97_55"/>
      <sheetName val="1_본부별6"/>
      <sheetName val="1_3_1절점좌표6"/>
      <sheetName val="1_1설계기준6"/>
      <sheetName val="2000_056"/>
      <sheetName val="기초입력_DATA6"/>
      <sheetName val="단양_00_아파트-세부내역6"/>
      <sheetName val="4_경비_5_영업외수지6"/>
      <sheetName val="_견적서6"/>
      <sheetName val="EQUIP_LIST6"/>
      <sheetName val="Piping_Design_Data5"/>
      <sheetName val="4_&amp;_10-inch,_CO2_Combo_&amp;_Sweep5"/>
      <sheetName val="Sight_n_M_H5"/>
      <sheetName val="4_장비손료6"/>
      <sheetName val="2F_회의실견적(5_14_일대)5"/>
      <sheetName val="재활용_악취_먼지DUCT산출6"/>
      <sheetName val="전체내역_(2)5"/>
      <sheetName val="Hyundai_Unit_cost_xls5"/>
      <sheetName val="969910(_R)5"/>
      <sheetName val="원내역서_그대로5"/>
      <sheetName val="5_정산서6"/>
      <sheetName val="수목데이타_5"/>
      <sheetName val="1062-X방향_5"/>
      <sheetName val="TABLE_DB5"/>
      <sheetName val="쌍용_data_base5"/>
      <sheetName val="경비_(1)5"/>
      <sheetName val="설계기준_및_하중계산5"/>
      <sheetName val="PROJECT_BRIEF5"/>
      <sheetName val="5호광장_(만점)6"/>
      <sheetName val="인천국제_(만점)_(2)6"/>
      <sheetName val="전선_및_전선관5"/>
      <sheetName val="VENDOR_LIST5"/>
      <sheetName val="중기조종사_단위단가7"/>
      <sheetName val="5__현장관리비_new__6"/>
      <sheetName val="Temporary_Mooring6"/>
      <sheetName val="A_LINE6"/>
      <sheetName val="제출내역_(2)6"/>
      <sheetName val="2_2_오피스텔(12~32F)6"/>
      <sheetName val="_갑지6"/>
      <sheetName val="일위대가_집계표6"/>
      <sheetName val="9_1지하2층하부보6"/>
      <sheetName val="단계별내역_(2)6"/>
      <sheetName val="총_원가계산6"/>
      <sheetName val="4_일위대가6"/>
      <sheetName val="단가_5"/>
      <sheetName val="4_LINE6"/>
      <sheetName val="7_th6"/>
      <sheetName val="매출요약(월별)_-년간5"/>
      <sheetName val="한성교회_신축공사(050713)_CheckList5"/>
      <sheetName val="단가_및_재료비5"/>
      <sheetName val="1_䷨수장5"/>
      <sheetName val="4_뀴진설Ⳅ5"/>
      <sheetName val="전䰨선로_물량표5"/>
      <sheetName val="㶀대입찰_내역서5"/>
      <sheetName val="내역서_(2)5"/>
      <sheetName val="strut_type5"/>
      <sheetName val="10_경제성분석4"/>
      <sheetName val="총괄집계_5"/>
      <sheetName val="2_14"/>
      <sheetName val="기계_도급내역서4"/>
      <sheetName val="kimre_scrubber5"/>
      <sheetName val="108_수선비5"/>
      <sheetName val="FRP_PIPING_일위대가5"/>
      <sheetName val="-15_04"/>
      <sheetName val="개인별_순위표6"/>
      <sheetName val="사__업__비__수__지__예__산__서4"/>
      <sheetName val="CM_16"/>
      <sheetName val="청_구3"/>
      <sheetName val="공내역_및_견적조건4"/>
      <sheetName val="_ｹ-ﾌﾞﾙ2"/>
      <sheetName val="97_사업추정(WEKI)2"/>
      <sheetName val="STEEL_BOX_단면설계(SEC_8)5"/>
      <sheetName val="2_2_띠장의_설계6"/>
      <sheetName val="자__재6"/>
      <sheetName val="세골재__T2_변경_현황5"/>
      <sheetName val="6__안전관리비15"/>
      <sheetName val="기술부_VENDOR_LIST6"/>
      <sheetName val="4_2_1_마루높이_검토5"/>
      <sheetName val="내역서_(3)6"/>
      <sheetName val="산출양식_(2)6"/>
      <sheetName val="전체산출내역서갑(변경)_6"/>
      <sheetName val="A_터파기공6"/>
      <sheetName val="B_측·집6"/>
      <sheetName val="배(자·집)_(2)6"/>
      <sheetName val="2_01측·터·집6"/>
      <sheetName val="땅깍·수_(1-1)6"/>
      <sheetName val="0-52_6"/>
      <sheetName val="콘·다_(2)6"/>
      <sheetName val="기·집_(2)6"/>
      <sheetName val="콘·다_(3)6"/>
      <sheetName val="병원내역집계표_(2)6"/>
      <sheetName val="실행총괄_6"/>
      <sheetName val="[IL-3_XLSY갑지6"/>
      <sheetName val="4_일위대가목차6"/>
      <sheetName val="내역_ver1_06"/>
      <sheetName val="2000,9월_일위6"/>
      <sheetName val="1_노무비명세서(해동)6"/>
      <sheetName val="1_노무비명세서(토목)6"/>
      <sheetName val="2_노무비명세서(해동)6"/>
      <sheetName val="2_노무비명세서(수직보호망)6"/>
      <sheetName val="2_노무비명세서(난간대)6"/>
      <sheetName val="2_사진대지6"/>
      <sheetName val="3_사진대지6"/>
      <sheetName val="변압기_및_발전기_용량5"/>
      <sheetName val="조도계산서_(도서)5"/>
      <sheetName val="빌딩_안내5"/>
      <sheetName val="CABLE_(2)5"/>
      <sheetName val="G_R300경비5"/>
      <sheetName val="단가대비표_(3)5"/>
      <sheetName val="기성내역서(을)_(2)5"/>
      <sheetName val="1단계_(2)5"/>
      <sheetName val="2_1__노무비_평균단가산출5"/>
      <sheetName val="3_공사비(07년노임단가)5"/>
      <sheetName val="3_공사비(단가조사표)5"/>
      <sheetName val="3_공사비(물량산출표)5"/>
      <sheetName val="3_공사비(일위대가표목록)5"/>
      <sheetName val="3_공사비(일위대가표)5"/>
      <sheetName val="TRE_TABLE5"/>
      <sheetName val="Requirement(Work_Crew)5"/>
      <sheetName val="진입도로B_(2)5"/>
      <sheetName val="2_냉난방설비공사5"/>
      <sheetName val="7_자동제어공사5"/>
      <sheetName val="중강당_내역5"/>
      <sheetName val="기초자료입력및_K치_확인5"/>
      <sheetName val="실행내역_5"/>
      <sheetName val="자재_단가_비교표(견적)5"/>
      <sheetName val="자재_단가_비교표5"/>
      <sheetName val="Bid_Summary5"/>
      <sheetName val="이동시_예상비용5"/>
      <sheetName val="Seg_1DE비용5"/>
      <sheetName val="Transit_비용_감가상각미포함5"/>
      <sheetName val="전화공사_공량_및_집계표5"/>
      <sheetName val="참조_(2)5"/>
      <sheetName val="6__직접경비5"/>
      <sheetName val="대가_(보완)5"/>
      <sheetName val="3_자재비(총괄)5"/>
      <sheetName val="제조_경영5"/>
      <sheetName val="4_전기5"/>
      <sheetName val="노_무_비5"/>
      <sheetName val="미납품_현황5"/>
      <sheetName val="신설개소별_총집계표(동해-배전)5"/>
      <sheetName val="BOX_본체5"/>
      <sheetName val="MP_MOB5"/>
      <sheetName val="신평리_권리자명부2"/>
      <sheetName val="일위대가_(PM)5"/>
      <sheetName val="7_전산해석결과3"/>
      <sheetName val="4_하중3"/>
      <sheetName val="①idea_pipeline5"/>
      <sheetName val="IMP_통일양식5"/>
      <sheetName val="LYS_통일양식5"/>
      <sheetName val="Xunit_(단위환산)5"/>
      <sheetName val="유통기한_프로그램5"/>
      <sheetName val="1-1_현장정리5"/>
      <sheetName val="1-2_토공5"/>
      <sheetName val="1-3_WMM,GSB5"/>
      <sheetName val="1-4_BITUMINOUS_COURSE5"/>
      <sheetName val="1-5_BOX_CULVERTS5"/>
      <sheetName val="1-6_BRIDGE5"/>
      <sheetName val="1-7_DRAINAGE5"/>
      <sheetName val="1-8_TRAFFIC5"/>
      <sheetName val="1-9_MISCELLANEOUS5"/>
      <sheetName val="1-10_ELECTRICAL5"/>
      <sheetName val="1-12_도급외항목5"/>
      <sheetName val="명일작업계획_(3)5"/>
      <sheetName val="용선_C_L5"/>
      <sheetName val="전_체5"/>
      <sheetName val="흙막이B_(오산운암)5"/>
      <sheetName val="타이로드_흙막이5"/>
      <sheetName val="타이로드_흙막이(근입장2_5M)5"/>
      <sheetName val="타이로드(근입장2_5M)5"/>
      <sheetName val="pile_항타5"/>
      <sheetName val="pile_항타(디젤)5"/>
      <sheetName val="pile_항타_A5"/>
      <sheetName val="pile_항타_B5"/>
      <sheetName val="pile_항타_C5"/>
      <sheetName val="pile_인발5"/>
      <sheetName val="pile_인발_A5"/>
      <sheetName val="pile_인발_B5"/>
      <sheetName val="pile_인발_C5"/>
      <sheetName val="20TON_TRAILER5"/>
      <sheetName val="토류판_(2)5"/>
      <sheetName val="SHEET_PILE단가5"/>
      <sheetName val="6_이토처리시간5"/>
      <sheetName val="태화42_2"/>
      <sheetName val="외주현황_wq12"/>
      <sheetName val="1차_내역서5"/>
      <sheetName val="220_(2)2"/>
      <sheetName val="토__공2"/>
      <sheetName val="울진항공등화_내역서5"/>
      <sheetName val="일_위_대_가_표5"/>
      <sheetName val="영흥TL(UP,DOWN)_5"/>
      <sheetName val="3련_BOX5"/>
      <sheetName val="내역서_4"/>
      <sheetName val="2_1외주5"/>
      <sheetName val="2_3노무5"/>
      <sheetName val="2_4자재5"/>
      <sheetName val="2_2장비5"/>
      <sheetName val="2_5경비5"/>
      <sheetName val="2_6수목대5"/>
      <sheetName val="모선자재_집계표4"/>
      <sheetName val="재료의_할증4"/>
      <sheetName val="D1_2_COF모듈자재_입출재고_(B급)4"/>
      <sheetName val="BEND_LOSS2"/>
      <sheetName val="토공_total2"/>
      <sheetName val="3_관로전환기2"/>
      <sheetName val="F_월별기성수금현황_2"/>
      <sheetName val="내역서1999_8최종2"/>
      <sheetName val="3_전기산출기초2"/>
      <sheetName val="고객사_관리_코드5"/>
      <sheetName val="중기쥰종사_단위단가5"/>
      <sheetName val="_2"/>
      <sheetName val="금회_청구사항(기계)2"/>
      <sheetName val="기성갑지_(소방)2"/>
      <sheetName val="금회_청구사항(소방)2"/>
      <sheetName val="함열량_db4"/>
      <sheetName val="PTVT_(MAU)5"/>
      <sheetName val="99_조정금액2"/>
      <sheetName val="D_B2"/>
      <sheetName val="기존단가_(2)3"/>
      <sheetName val="TRAY_헹거산출2"/>
      <sheetName val="1_청구서2"/>
      <sheetName val="2_내역서2"/>
      <sheetName val="표__지4"/>
      <sheetName val="1_12"/>
      <sheetName val="K2_site_Total_내역서2"/>
      <sheetName val="Div26_-_Elect4"/>
      <sheetName val="Khoi_luong4"/>
      <sheetName val="Bảng_mã_VT4"/>
      <sheetName val="DonGia_chetao4"/>
      <sheetName val="DonGia_VatTuLK4"/>
      <sheetName val="Fr_Revit4"/>
      <sheetName val="NSA_Summary4"/>
      <sheetName val="일위대가56-1_2"/>
      <sheetName val="일위대가71-1_2"/>
      <sheetName val="일위대가74-1_2"/>
      <sheetName val="일위대가76-1_2"/>
      <sheetName val="일위대가77-1_2"/>
      <sheetName val="일위대가78-1_2"/>
      <sheetName val="chi_tiet3"/>
      <sheetName val="PPC_Summary3"/>
      <sheetName val="Tong_hop2"/>
      <sheetName val="Phan_lap_dat2"/>
      <sheetName val="Lắp_Ráp2"/>
      <sheetName val="동강_배관2"/>
      <sheetName val="WCR_외주2"/>
      <sheetName val="ANILINE_-_OPTION2"/>
      <sheetName val="MDI_-_OPTION2"/>
      <sheetName val="총괄표_2"/>
      <sheetName val="계약대비내역서_(부경)2"/>
      <sheetName val="집행대비내역서_(부경)2"/>
      <sheetName val="계약그라우팅_포장2"/>
      <sheetName val="계약사무실조경_2"/>
      <sheetName val="횡배수관_토공량_산출2"/>
      <sheetName val="Phieu_trinh_ky_cấu_tháp2"/>
      <sheetName val="Phieu_trinh_ky_VTP2"/>
      <sheetName val="KS-VL_rời2"/>
      <sheetName val="Tai_san2"/>
      <sheetName val="Check_dong_tien2"/>
      <sheetName val="Chi_phí_SDTS2"/>
      <sheetName val="Check_COST2"/>
      <sheetName val="DATA_HD2"/>
      <sheetName val="Tong_hop_1TM2"/>
      <sheetName val="NS_Lán_trại2"/>
      <sheetName val="Check_cong_no_NC2"/>
      <sheetName val="cong_thuc_tinh_chi_tiet4"/>
      <sheetName val="_IL-3_XLSY갑지6"/>
      <sheetName val="KET_CAU-_MJV22"/>
      <sheetName val="Ví_dụ2"/>
      <sheetName val="Gia_VLNCMTC2"/>
      <sheetName val="06_일위대가목록2"/>
      <sheetName val="도시정비_1"/>
      <sheetName val="3_1_6_전산처리결과1"/>
      <sheetName val="갑지 1회"/>
      <sheetName val="표지1회"/>
      <sheetName val="18.07"/>
      <sheetName val="갑지 2회"/>
      <sheetName val="표지2회"/>
      <sheetName val="18.08"/>
      <sheetName val="갑지 3회"/>
      <sheetName val="표지3회"/>
      <sheetName val="18.09"/>
      <sheetName val="갑지 4회"/>
      <sheetName val="표지4회"/>
      <sheetName val="18.10"/>
      <sheetName val="갑지 5회"/>
      <sheetName val="표지5회"/>
      <sheetName val="18.11"/>
      <sheetName val="갑지 6회"/>
      <sheetName val="표지6회"/>
      <sheetName val="18.12"/>
      <sheetName val="갑지 7회"/>
      <sheetName val="표지7회"/>
      <sheetName val="19.01"/>
      <sheetName val="갑지 8회"/>
      <sheetName val="표지8회"/>
      <sheetName val="19.02"/>
      <sheetName val="갑지 9회"/>
      <sheetName val="표지 9회"/>
      <sheetName val="19.03"/>
      <sheetName val="갑지 10회"/>
      <sheetName val="표지 10회"/>
      <sheetName val="19.04"/>
      <sheetName val="갑지 11회"/>
      <sheetName val="표지 11회"/>
      <sheetName val="19.05"/>
      <sheetName val="갑지 12회"/>
      <sheetName val="표지 12회"/>
      <sheetName val="19.06"/>
      <sheetName val="갑지 13회"/>
      <sheetName val="표지 13회"/>
      <sheetName val="19.07"/>
      <sheetName val="갑지 14회"/>
      <sheetName val="표지 14회"/>
      <sheetName val="19.08"/>
      <sheetName val="BREAKDOW_x0000__x0000_Ԁ_x0000_瀀㄂ᗖ"/>
      <sheetName val="BREAKDOW_x0000__x0000_Ԁ_x0000_　柳ᤍ"/>
      <sheetName val="BREAKDOW頀ᵛ瀞囏_x001c__x0000_攀"/>
      <sheetName val="BREAKDOW_x0000__x0000_Ԁ_x0000_ 횱_xd9c1_"/>
      <sheetName val="1차설계逷≙?≙"/>
      <sheetName val="견적_x0005_"/>
      <sheetName val="NOM³"/>
      <sheetName val="NOMֳ"/>
      <sheetName val="CԀ"/>
      <sheetName val="외주대비x"/>
      <sheetName val="기초입력ԯ"/>
      <sheetName val="수량산출서_x0010_"/>
      <sheetName val="총공사"/>
      <sheetName val="부대표지츀 "/>
      <sheetName val="건_ê"/>
      <sheetName val="코드일람표"/>
      <sheetName val="수정_x0000__x0000_"/>
      <sheetName val="재무가정"/>
      <sheetName val="사전공사"/>
      <sheetName val="현장´_x0000_Ԁ_x0000_"/>
      <sheetName val="SIL98"/>
      <sheetName val="건_裪选"/>
      <sheetName val="건_䃪氼᠝"/>
      <sheetName val="Rect. 10"/>
      <sheetName val="중사"/>
      <sheetName val="연령현황"/>
      <sheetName val="BD운반거리"/>
      <sheetName val="목창호"/>
      <sheetName val="일위(열차무선)"/>
      <sheetName val="GI-LIST"/>
      <sheetName val="중기사용료 (2)"/>
      <sheetName val="유통간부"/>
      <sheetName val="장기"/>
      <sheetName val="(A)내역서"/>
      <sheetName val="분뇨"/>
      <sheetName val="구의동공내역서"/>
      <sheetName val="__"/>
      <sheetName val="운동장 (2)"/>
      <sheetName val="일대목록표"/>
      <sheetName val="99년원가"/>
      <sheetName val="산출(1~20)"/>
      <sheetName val="신고조서"/>
      <sheetName val="판정1교토공"/>
      <sheetName val="특별땅고르기"/>
      <sheetName val="직접공사비"/>
      <sheetName val="수정계획3"/>
      <sheetName val="조인트"/>
      <sheetName val="데리네И̏䨸ɟ"/>
      <sheetName val="동업계매출속보"/>
      <sheetName val="주공 갑지"/>
      <sheetName val="마스터02"/>
      <sheetName val="Summary"/>
      <sheetName val="H. MECHANICAL"/>
      <sheetName val="J. FIRE FIGHTING"/>
      <sheetName val="MECHANICAL"/>
      <sheetName val="O＆P"/>
      <sheetName val="데리네鶈㇨ᓣ"/>
      <sheetName val="입력데이타(비É"/>
      <sheetName val="외주대비 -석É"/>
      <sheetName val="5.2.6~7공사요율"/>
      <sheetName val="내역(최종본浳き_x0000__x0000_"/>
      <sheetName val="내역(최종본浳⿢_x0000__x0000_"/>
      <sheetName val="내역(최종본浳ぁ_x0000__x0000_"/>
      <sheetName val="5월건강보험(일용직)"/>
      <sheetName val="04.12월건강보험(일용직)"/>
      <sheetName val="inputdata"/>
      <sheetName val="도수로수량산출"/>
      <sheetName val="관급현황"/>
      <sheetName val="기술조건"/>
      <sheetName val="1.내역(청.하역장전등)"/>
      <sheetName val="정화조"/>
      <sheetName val="공사개요-C"/>
      <sheetName val="입찰견적보고서"/>
      <sheetName val="안전장치"/>
      <sheetName val="투자효율분석"/>
      <sheetName val="설원"/>
      <sheetName val="일위목록-기"/>
      <sheetName val="리스트"/>
      <sheetName val="보도내 _x0000__x0000_䪾"/>
      <sheetName val="2.원가집계"/>
      <sheetName val="FAX"/>
      <sheetName val="정산내역"/>
      <sheetName val="기본자료(실행)"/>
      <sheetName val="제품현황"/>
      <sheetName val="05 유류비자금청구(완)"/>
      <sheetName val="인건蠉"/>
      <sheetName val="비용"/>
      <sheetName val="6월세계"/>
      <sheetName val="19.07월.세.계"/>
      <sheetName val="19.07항목별(시트복사금지100번쓰기)"/>
      <sheetName val="7월정리"/>
      <sheetName val="카드전표"/>
      <sheetName val="05월"/>
      <sheetName val="05월정리"/>
      <sheetName val="4월항목별"/>
      <sheetName val="19.05월"/>
      <sheetName val="용역식대명세"/>
      <sheetName val="공사비예산서"/>
      <sheetName val="배수관연장조서"/>
      <sheetName val="산출"/>
      <sheetName val="예산조서(전송)"/>
      <sheetName val="투자예산"/>
      <sheetName val="점ᥰ@띘"/>
      <sheetName val="점ᤠ@띘"/>
      <sheetName val="점៰2띘"/>
      <sheetName val="여흥"/>
      <sheetName val="grid (1)"/>
      <sheetName val="Macro4"/>
      <sheetName val="기성"/>
      <sheetName val="경율산정.XLS"/>
      <sheetName val="PAD TR보호대기초"/>
      <sheetName val="RD제품개발투자비(매가)"/>
      <sheetName val="예산"/>
      <sheetName val="ELECTR蔨ũ"/>
      <sheetName val="계림(함평)"/>
      <sheetName val="계림(장성)"/>
      <sheetName val="직재"/>
      <sheetName val="Sikje_in"/>
      <sheetName val="샌딩_에폭시_도장"/>
      <sheetName val="외주대비_ᨀ晙ԯ"/>
      <sheetName val="BOQFinishing"/>
      <sheetName val="[후다_x0001_ _x0010__x0000__x0003_ _x0010__x0000__x0001__x0000__x0010__x0000__x0001_ _x0010__x0000__x0003_"/>
      <sheetName val="Sàn T1"/>
      <sheetName val="Lỗ thông gió"/>
      <sheetName val="CodeSheet"/>
      <sheetName val="Thống kê"/>
      <sheetName val="시작"/>
      <sheetName val="받을어음"/>
      <sheetName val="유가증권"/>
      <sheetName val="대손상각"/>
      <sheetName val="일반전기"/>
      <sheetName val="HS"/>
      <sheetName val="Tai khoan"/>
      <sheetName val="Index"/>
      <sheetName val="출장㺎Ă"/>
      <sheetName val="교대(A1-A2)"/>
      <sheetName val="별표총괄"/>
      <sheetName val="사용성검토"/>
      <sheetName val="물가변동 총괄서"/>
      <sheetName val="수량조서(신)"/>
      <sheetName val="EUL"/>
      <sheetName val="해평견적"/>
      <sheetName val="공종별"/>
      <sheetName val="취수탑"/>
      <sheetName val="부속동"/>
      <sheetName val="도시가스현황"/>
      <sheetName val="7.1유효폭"/>
      <sheetName val="Sheet17"/>
      <sheetName val="허용전류-IEC"/>
      <sheetName val="허용전류-IEC DATA"/>
      <sheetName val="방배동내역(한영)"/>
      <sheetName val="노무비계"/>
      <sheetName val="36+45-113-18+19+20I"/>
      <sheetName val="본선 토공 분배표"/>
      <sheetName val="출자한도"/>
      <sheetName val="변경내역대비표(2)"/>
      <sheetName val="침하계"/>
      <sheetName val="을 2"/>
      <sheetName val="을 1"/>
      <sheetName val="토공 갑지"/>
      <sheetName val="구조물견적"/>
      <sheetName val="실적"/>
      <sheetName val="입력(K0)"/>
      <sheetName val="물량"/>
      <sheetName val="장비내역서"/>
      <sheetName val="D01"/>
      <sheetName val="D02"/>
      <sheetName val="CIVIL"/>
      <sheetName val="단가조사표"/>
      <sheetName val="붙임5"/>
      <sheetName val="작업방"/>
      <sheetName val="총괄k"/>
      <sheetName val="MAT"/>
      <sheetName val="각사별공사비분개 "/>
      <sheetName val="1,2,3,4,5단위수량"/>
      <sheetName val="별표"/>
      <sheetName val="자재조사표"/>
      <sheetName val="변수데이타"/>
      <sheetName val="설계개요"/>
      <sheetName val="터널전기"/>
      <sheetName val="해외법인"/>
      <sheetName val="물가변동_총괄서"/>
      <sheetName val="허용전류-IEC_DATA"/>
      <sheetName val="7_1유효폭"/>
      <sheetName val="본선_토공_분배표"/>
      <sheetName val="설계흐름도"/>
      <sheetName val="발생토"/>
      <sheetName val="정SW_원_"/>
      <sheetName val="안전건강연금"/>
      <sheetName val="건축실적"/>
      <sheetName val="고용퇴직"/>
      <sheetName val="기계실적"/>
      <sheetName val="물가기준년"/>
      <sheetName val="노임산재"/>
      <sheetName val="장비기준"/>
      <sheetName val="조경수목"/>
      <sheetName val="토목실적"/>
      <sheetName val="계수시트"/>
      <sheetName val="일년TOTAL"/>
      <sheetName val="유기공정"/>
      <sheetName val="공내역서"/>
      <sheetName val="적용률"/>
      <sheetName val="자바라1"/>
      <sheetName val="해외 연수비용 계산-삭제"/>
      <sheetName val="해외 기술훈련비 (합계)"/>
      <sheetName val="D-3109"/>
      <sheetName val="Pier 3"/>
      <sheetName val="기성집계"/>
      <sheetName val="와동25-3(변경)"/>
      <sheetName val="관로토공"/>
      <sheetName val="기초"/>
      <sheetName val="공종별수량집계"/>
      <sheetName val="2006납품"/>
      <sheetName val="신천교(음성)"/>
      <sheetName val="암거날개벽"/>
      <sheetName val="S1"/>
      <sheetName val="옹벽(수량)"/>
      <sheetName val="Tender"/>
      <sheetName val="BOX(1.5X1.5)"/>
      <sheetName val="결재갑지"/>
      <sheetName val="외자배분"/>
      <sheetName val="외자내역"/>
      <sheetName val="가제당공사비"/>
      <sheetName val="기초처리공사비"/>
      <sheetName val="복통공사비"/>
      <sheetName val="본제당공사비"/>
      <sheetName val="시험비"/>
      <sheetName val="중기운반비"/>
      <sheetName val="진입도로공사비"/>
      <sheetName val="취수탑공사비"/>
      <sheetName val="토취장복구"/>
      <sheetName val="시설일위"/>
      <sheetName val="소요자재"/>
      <sheetName val="노무산출서"/>
      <sheetName val="맨홀토공산출"/>
      <sheetName val="7-3단면_상시"/>
      <sheetName val="12호기내역서(건축분)"/>
      <sheetName val="TYPE A"/>
      <sheetName val="옹벽수량집계"/>
      <sheetName val="1SPAN"/>
      <sheetName val="국공유지및사유지"/>
      <sheetName val="K55수출"/>
      <sheetName val="변경원가서갑"/>
      <sheetName val="기경집계"/>
      <sheetName val="물가변동_총괄서1"/>
      <sheetName val="허용전류-IEC_DATA1"/>
      <sheetName val="7_1유효폭1"/>
      <sheetName val="본선_토공_분배표1"/>
      <sheetName val="을_2"/>
      <sheetName val="을_1"/>
      <sheetName val="토공_갑지"/>
      <sheetName val="Pier_3"/>
      <sheetName val="각사별공사비분개_"/>
      <sheetName val="해외_연수비용_계산-삭제"/>
      <sheetName val="해외_기술훈련비_(합계)"/>
      <sheetName val="구성비"/>
      <sheetName val="포장물량집계"/>
      <sheetName val="WEON"/>
      <sheetName val="NM2"/>
      <sheetName val="NW1"/>
      <sheetName val="NW2"/>
      <sheetName val="PW3"/>
      <sheetName val="PW4"/>
      <sheetName val="SC1"/>
      <sheetName val="DNW"/>
      <sheetName val="N+"/>
      <sheetName val="NE"/>
      <sheetName val="P+"/>
      <sheetName val="PE"/>
      <sheetName val="PM"/>
      <sheetName val="TR"/>
      <sheetName val="매립"/>
      <sheetName val="1안98Billing"/>
      <sheetName val="설비원가"/>
      <sheetName val="장비투입 (2)"/>
      <sheetName val="CC16-내역서"/>
      <sheetName val="시설물일위"/>
      <sheetName val="1ST"/>
      <sheetName val="96까지"/>
      <sheetName val="97년"/>
      <sheetName val="98이후"/>
      <sheetName val="#10거푸집유로폼(0~7m)"/>
      <sheetName val="상부하중"/>
      <sheetName val="풍하중1"/>
      <sheetName val="L형옹벽단위수량(35)"/>
      <sheetName val="L형옹벽단위수량(25)"/>
      <sheetName val="영업2"/>
      <sheetName val="C &amp; G RHS"/>
      <sheetName val="건축공사요약표"/>
      <sheetName val="집계내역서(가압장)"/>
      <sheetName val="흐름도"/>
      <sheetName val="5.3 단면가정"/>
      <sheetName val="원가1(기계)"/>
      <sheetName val="단기차입금"/>
      <sheetName val="유용원석량소요시기검토안"/>
      <sheetName val="공사수행방안"/>
      <sheetName val="토공사(단지)"/>
      <sheetName val="EKOG10건축"/>
      <sheetName val="시추주상도"/>
      <sheetName val="지질조사분석"/>
      <sheetName val="ITB COST"/>
      <sheetName val="공내역"/>
      <sheetName val="제품"/>
      <sheetName val="CLAUSE"/>
      <sheetName val="CATCH BASIN"/>
      <sheetName val="SLAB&quot;1&quot;"/>
      <sheetName val="단가산출2"/>
      <sheetName val="기지국"/>
      <sheetName val="jobhist"/>
      <sheetName val="신림자금"/>
      <sheetName val="수질정화시설"/>
      <sheetName val="목표세부명세"/>
      <sheetName val="실시공"/>
      <sheetName val="Man Hole"/>
      <sheetName val="°©Áö"/>
      <sheetName val="선로정수계산"/>
      <sheetName val="CON포장수량"/>
      <sheetName val="ACUNIT"/>
      <sheetName val="CONUNIT"/>
      <sheetName val="L_type"/>
      <sheetName val="40단가산출서"/>
      <sheetName val="40집계"/>
      <sheetName val="증가분"/>
      <sheetName val="증가수정"/>
      <sheetName val="문의사항"/>
      <sheetName val="수수료율표"/>
      <sheetName val="토공산출(주차장)"/>
      <sheetName val="STRA2"/>
      <sheetName val="관로토공집계표"/>
      <sheetName val="WEIGHT LIST"/>
      <sheetName val="POL6차-PIPING"/>
      <sheetName val="산#2-1 (2)"/>
      <sheetName val="산#3-1"/>
      <sheetName val="설산1.나"/>
      <sheetName val="본사S"/>
      <sheetName val="교대시점"/>
      <sheetName val="1.토공"/>
      <sheetName val="부대공사"/>
      <sheetName val="구역화물"/>
      <sheetName val="차도조도계산"/>
      <sheetName val="공통비(전체)"/>
      <sheetName val="2연BOX"/>
      <sheetName val="DC-2303"/>
      <sheetName val="결재판(삭제하지말아주세요)"/>
      <sheetName val="Process Piping"/>
      <sheetName val="산출2-기기동력"/>
      <sheetName val="관급자재집계표"/>
      <sheetName val="배수유공블럭"/>
      <sheetName val="40총괄"/>
      <sheetName val="SCHEDULE"/>
      <sheetName val="C-직노1"/>
      <sheetName val="data2"/>
      <sheetName val="S003031"/>
      <sheetName val="기성내역서"/>
      <sheetName val="하수BOX이설"/>
      <sheetName val="할증"/>
      <sheetName val="방조제+선착장+배수갑문+부대공+1-2방조제"/>
      <sheetName val="계산근거"/>
      <sheetName val="plan&amp;section of foundation"/>
      <sheetName val="design criteria"/>
      <sheetName val="산출3-유도등"/>
      <sheetName val="산출2-동력"/>
      <sheetName val="산출2-피뢰침"/>
      <sheetName val="덤프"/>
      <sheetName val="견적990322"/>
      <sheetName val="원형맨홀수량"/>
      <sheetName val="woo(mac)"/>
      <sheetName val="archi(본사)"/>
      <sheetName val="교통신호등"/>
      <sheetName val="CAL"/>
      <sheetName val="성곽내역서"/>
      <sheetName val="수량산출서-2"/>
      <sheetName val="Koreasea"/>
      <sheetName val="중동공구"/>
      <sheetName val="예가대비"/>
      <sheetName val="집1"/>
      <sheetName val="철근총괄집계표"/>
      <sheetName val="개화1교"/>
      <sheetName val="3차설계"/>
      <sheetName val="106C0300"/>
      <sheetName val="산출내역(K2)"/>
      <sheetName val="투찰"/>
      <sheetName val="전체제잡비"/>
      <sheetName val="공종별집계표"/>
      <sheetName val="자재 집계표"/>
      <sheetName val="Raw Data"/>
      <sheetName val="S9"/>
      <sheetName val="S14"/>
      <sheetName val="물가변동_총괄서2"/>
      <sheetName val="허용전류-IEC_DATA2"/>
      <sheetName val="본선_토공_분배표2"/>
      <sheetName val="7_1유효폭2"/>
      <sheetName val="토공_갑지1"/>
      <sheetName val="각사별공사비분개_1"/>
      <sheetName val="을_21"/>
      <sheetName val="을_11"/>
      <sheetName val="Pier_31"/>
      <sheetName val="해외_연수비용_계산-삭제1"/>
      <sheetName val="해외_기술훈련비_(합계)1"/>
      <sheetName val="TYPE_A"/>
      <sheetName val="BOX(1_5X1_5)"/>
      <sheetName val="장비투입_(2)"/>
      <sheetName val="C_&amp;_G_RHS"/>
      <sheetName val="5_3_단면가정"/>
      <sheetName val="ITB_COST"/>
      <sheetName val="CATCH_BASIN"/>
      <sheetName val="Man_Hole"/>
      <sheetName val="Process_Piping"/>
      <sheetName val="도장수량(하1)"/>
      <sheetName val="주형"/>
      <sheetName val="PILE"/>
      <sheetName val="배관내역"/>
      <sheetName val="산출서양식01"/>
      <sheetName val="내역서(기성청구)"/>
      <sheetName val="960318-1"/>
      <sheetName val="PHC파일 천공 및 항타"/>
      <sheetName val="COA-17"/>
      <sheetName val="C-18"/>
      <sheetName val="FLA"/>
      <sheetName val="원가 (2)"/>
      <sheetName val="수정시산표"/>
      <sheetName val="외Å_x0000_"/>
      <sheetName val="외Å_x0000_退"/>
      <sheetName val="변경갑지"/>
      <sheetName val="증감(갑지)"/>
      <sheetName val="[회다내역,X켊楳켎攳嶪剃嶮布쵌섌)"/>
      <sheetName val="외Å_x0000_怀"/>
      <sheetName val="피벗테이블데이터분석"/>
      <sheetName val="제품목록"/>
      <sheetName val="DI-ESTI"/>
      <sheetName val="Bang gia 2011.10.12"/>
      <sheetName val="Sikje_in_x0005_"/>
      <sheetName val="Summary_VO_No_3"/>
      <sheetName val="VO_No_3_1"/>
      <sheetName val="VO_No_3_2"/>
      <sheetName val="VO_No_3_3"/>
      <sheetName val="VO_No_3_4"/>
      <sheetName val="VO_No_3_5"/>
      <sheetName val="VO_No_3_6"/>
      <sheetName val="VO_No_3_7"/>
      <sheetName val="VO_No_3_8"/>
      <sheetName val="SCOPE_OF_WORK"/>
      <sheetName val="대3류_"/>
      <sheetName val="Sàn_T1"/>
      <sheetName val="Lỗ_thông_gió"/>
      <sheetName val="샌딩_에폭시_도장1"/>
      <sheetName val="외주대비_ᨀ晙ԯ1"/>
      <sheetName val="[후다___"/>
      <sheetName val="Thống_kê"/>
      <sheetName val="3_단가산출서"/>
      <sheetName val="4_단가산출기초"/>
      <sheetName val="H__MECHANICAL"/>
      <sheetName val="J__FIRE_FIGHTING"/>
      <sheetName val="총물량"/>
      <sheetName val="投标材料清单 "/>
      <sheetName val="ጳ_x0000__x0000_Ⴔጳ_x0000__x0000_Lጴ_x0000__x0000_ ጵ_x0000__x0000_ ጶ_x0000__x0000_ఀጷ_x0000__x0000_ ጸ_x0000_"/>
      <sheetName val="ጷ_x0000__x0000_Ⴔጸ_x0000__x0000_Lጿ_x0000__x0000_Rጿ_x0000__x0000_Sጊ_x0000__x0000_Lጊ_x0000__x0000_2ጱ"/>
      <sheetName val="ጳ_x0000__x0000_Ⴔጳ_x0000__x0000_Lጴ_x0000__x0000__ጵ_x0000__x0000__ጶ_x0000__x0000_ఀጷ_x0000__x0000__ጸ_x0000_"/>
      <sheetName val="ጳ_x0000__x0000_Ⴔጳ_x0000__x0000_Lጴ_x0000__x0000_Rጳ_x0000__x0000_Sጳ_x0000__x0000_Lጴ_x0000__x0000_2ጵ"/>
      <sheetName val="ጳ_x0000__x0000_Ⴔጴ_x0000__x0000_Lጳ_x0000__x0000_0ጳ_x0000__x0000_Șጴ_x0000__x0000_Șጵ_x0000__x0000_"/>
      <sheetName val="ጱ_x0000__x0000_Ⴔጲ_x0000__x0000_Lፍ_x0000__x0000_uጳ_x0000__x0000_mጳ_x0000__x0000_Dጴ_x0000__x0000_bጳ_x0000_"/>
      <sheetName val="ጊ_x0000__x0000_Ⴔጱ_x0000__x0000_Lጲ_x0000__x0000_.ድ_x0000__x0000_nጳ_x0000__x0000_lጳ_x0000__x0000_eጴ"/>
      <sheetName val="ጵ_x0000__x0000_Ⴔጶ_x0000__x0000_Lጷ_x0000__x0000_.ጸ_x0000__x0000_yጿ_x0000__x0000_uጿ_x0000__x0000_iጊ_x0000_"/>
      <sheetName val="ጊ_x0000__x0000_Ⴔጱ_x0000__x0000_Lጲ_x0000__x0000_-ድ_x0000__x0000_Lጳ_x0000__x0000_(ጳ_x0000__x0000_"/>
      <sheetName val="ጿ_x0000__x0000_Ⴔጿ_x0000__x0000_Lጊ_x0000__x0000_ېጱ_x0000__x0000_ ጲ_x0000__x0000_೵ድ_x0000__x0000_Ⴔጳ_x0000_"/>
      <sheetName val="ጊ_x0000__x0000_Ⴔጊ_x0000__x0000_Lጱ_x0000__x0000_᳴ጲ_x0000__x0000_ ድ_x0000__x0000_ᰕጳ_x0000__x0000_װጳ"/>
      <sheetName val="ጸ_x0000__x0000_Ⴔጿ_x0000__x0000_Lጿ_x0000__x0000_qጊ_x0000__x0000_oጊ_x0000__x0000_iጱ_x0000__x0000_iጲ_x0000_"/>
      <sheetName val="ጳ_x0000__x0000_Ⴔጴ_x0000__x0000_Lጳ_x0000__x0000__ጳ_x0000__x0000_nጴ_x0000__x0000_lጵ_x0000__x0000_eጶ"/>
      <sheetName val="ጿ_x0000__x0000_Ⴔጿ_x0000__x0000_Lጊ_x0000__x0000__ጊ_x0000__x0000_yጱ_x0000__x0000_uጲ_x0000__x0000_iድ_x0000_"/>
      <sheetName val="ፍ_x0000__x0000_Ⴔጳ_x0000__x0000_Lጳ_x0000__x0000_Nጴ_x0000__x0000_(ጳ_x0000__x0000_ᖥጳ_x0000__x0000_)"/>
      <sheetName val="ጿ_x0000__x0000_Ⴔጿ_x0000__x0000_Lጊ_x0000__x0000_Cጱ_x0000__x0000_4ጲ_x0000__x0000_Ĥፍ_x0000__x0000_"/>
      <sheetName val="ጳ_x0000__x0000_Ⴔጳ_x0000__x0000_Lጴ_x0000__x0000_෠ጳ_x0000__x0000_ೠጳ_x0000__x0000_2ጴ_x0000__x0000_Pጵ"/>
      <sheetName val="ጶ_x0000__x0000_Ⴔጷ_x0000__x0000_Lጸ_x0000__x0000_ ጿ_x0000__x0000_ ጿ_x0000__x0000_ ጊ_x0000__x0000_"/>
      <sheetName val="ጳ_x0000__x0000_Ⴔጴ_x0000__x0000_Lጳ_x0000__x0000_ބጳ_x0000__x0000_کጴ_x0000__x0000_ឌጵ_x0000__x0000_"/>
      <sheetName val="ጊ_x0000__x0000_Ⴔጊ_x0000__x0000_Lጱ_x0000__x0000_ބጲ_x0000__x0000_کድ_x0000__x0000_ឌጳ_x0000__x0000_"/>
      <sheetName val="ጳ_x0000__x0000_Ⴔጳ_x0000__x0000_Lጴ_x0000__x0000_᝼ጵ_x0000__x0000_᳀ጶ_x0000__x0000_,ጷ_x0000__x0000_)"/>
      <sheetName val="ጿ_x0000__x0000_Ⴔጊ_x0000__x0000_Lጱ_x0000__x0000_Șጲ_x0000__x0000_ᩘድ_x0000__x0000_ ጳ_x0000__x0000_ ጳ_x0000_"/>
      <sheetName val="ድ_x0000__x0000_Ⴔጳ_x0000__x0000_Lጳ_x0000__x0000_.ጴ_x0000__x0000_ഀጳ_x0000__x0000_nጳ_x0000__x0000_ "/>
      <sheetName val="ጴ_x0000__x0000_Ⴔጵ_x0000__x0000_Lጶ_x0000__x0000__ጷ_x0000__x0000_ഀጸ_x0000__x0000_nጿ_x0000__x0000_ "/>
      <sheetName val="ጳ_x0000__x0000_Ⴔጴ_x0000__x0000_Lጵ_x0000__x0000_.ጶ_x0000__x0000_ᔼጷ_x0000__x0000_1ጸ_x0000__x0000_2ጿ_x0000_"/>
      <sheetName val="ጲ_x0000__x0000_Ⴔድ_x0000__x0000_Lጳ_x0000__x0000_Rጳ_x0000__x0000_aጴ_x0000__x0000_lጳ_x0000__x0000_oጳ"/>
      <sheetName val="ጊ_x0000__x0000_Ⴔጱ_x0000__x0000_Lጲ_x0000__x0000_Rድ_x0000__x0000_Dጳ_x0000__x0000_(ጳ_x0000__x0000_๘ጴ"/>
      <sheetName val="ጴ_x0000__x0000_Ⴔጵ_x0000__x0000_Lጶ_x0000__x0000_֑ጷ_x0000__x0000_0ጸ_x0000__x0000_1ጿ_x0000__x0000_0ጿ"/>
      <sheetName val="ጸ_x0000__x0000_Ⴔጿ_x0000__x0000_Lጿ_x0000__x0000_Ƞጊ_x0000__x0000_Eጱ_x0000__x0000_Rጲ_x0000__x0000_Sፍ"/>
      <sheetName val="ጵ_x0000__x0000_Ⴔጶ_x0000__x0000_Lጷ_x0000__x0000_-ጸ_x0000__x0000_Oጿ_x0000__x0000_Uጿ_x0000__x0000_Rጊ_x0000_"/>
      <sheetName val="ጳ_x0000__x0000_Ⴔጴ_x0000__x0000_Lጵ_x0000__x0000_-ጶ_x0000__x0000_Eጷ_x0000__x0000_Tጸ_x0000__x0000_Aጿ"/>
      <sheetName val="ጸ_x0000__x0000_Ⴔጿ_x0000__x0000_Lጿ_x0000__x0000_.ጊ_x0000__x0000_ ጱ_x0000__x0000_ݴጲ_x0000__x0000_"/>
      <sheetName val="ጱ_x0000__x0000_Ⴔጲ_x0000__x0000_Lድ_x0000__x0000_ࣼጳ_x0000__x0000_൬ጳ_x0000__x0000_(ጴ_x0000__x0000_"/>
      <sheetName val="ጴ_x0000__x0000_Ⴔጳ_x0000__x0000_Lጳ_x0000__x0000_Rጴ_x0000__x0000_Sጵ_x0000__x0000_Lጶ_x0000__x0000_2ጷ_x0000_"/>
      <sheetName val="ጿ_x0000__x0000_Ⴔጿ_x0000__x0000_Lጊ_x0000__x0000_uጱ_x0000__x0000_mጲ_x0000__x0000_Dድ_x0000__x0000_bጳ_x0000_"/>
      <sheetName val="ጴ_x0000__x0000_Ⴔጳ_x0000__x0000_Lጳ_x0000__x0000__ጴ_x0000__x0000_nጵ_x0000__x0000_lጶ_x0000__x0000_eጷ_x0000_"/>
      <sheetName val="ጶ_x0000__x0000_Ⴔጷ_x0000__x0000_Lጸ_x0000__x0000_ېጿ_x0000__x0000__ጿ_x0000__x0000_೵ጊ_x0000__x0000_Ⴔጱ_x0000_"/>
      <sheetName val="ጳ_x0000__x0000_Ⴔጳ_x0000__x0000_Lጴ_x0000__x0000__ጳ_x0000__x0000_ഀጳ_x0000__x0000_nጴ_x0000__x0000__"/>
      <sheetName val="ጿ_x0000__x0000_Ⴔጊ_x0000__x0000_Lጊ_x0000__x0000__ጱ_x0000__x0000_ഀጲ_x0000__x0000_nድ_x0000__x0000__"/>
      <sheetName val="ጵ_x0000__x0000_Ⴔጶ_x0000__x0000_Lጷ_x0000__x0000_qጸ_x0000__x0000_oጿ_x0000__x0000_iጿ_x0000__x0000_iጊ_x0000_"/>
      <sheetName val="ጲ_x0000__x0000_Ⴔድ_x0000__x0000_Lጳ_x0000__x0000_᳴ጳ_x0000__x0000__ጴ_x0000__x0000_ᰕጳ_x0000__x0000_װጳ"/>
      <sheetName val="ጶ_x0000__x0000_Ⴔጷ_x0000__x0000_Lጸ_x0000__x0000__ጿ_x0000__x0000__ጿ_x0000__x0000__ጊ_x0000__x0000_"/>
      <sheetName val="ጱ_x0000__x0000_Ⴔጲ_x0000__x0000_Lድ_x0000__x0000_᝼ጳ_x0000__x0000_᳀ጳ_x0000__x0000_,ጴ_x0000__x0000_)"/>
      <sheetName val="ጷ_x0000__x0000_Ⴔጸ_x0000__x0000_Lጿ_x0000__x0000_Șጿ_x0000__x0000_ᩘጊ_x0000__x0000__ጱ_x0000__x0000__ጲ_x0000_"/>
      <sheetName val="ድ_x0000__x0000_Ⴔጳ_x0000__x0000_Lጳ_x0000__x0000_ᰘጴ_x0000__x0000_ࠄጳ_x0000__x0000_ഈጳ_x0000__x0000_Ṅጴ"/>
      <sheetName val="ጲ_x0000__x0000_Ⴔድ_x0000__x0000_Lጳ_x0000__x0000__ጳ_x0000__x0000_nጴ_x0000__x0000_lጳ_x0000__x0000_eጳ_x0000_"/>
      <sheetName val="ጳ_x0000__x0000_Ⴔጳ_x0000__x0000_Lጴ_x0000__x0000_᳴ጵ_x0000__x0000__ጶ_x0000__x0000_ᰕጷ_x0000__x0000_װጸ_x0000_"/>
      <sheetName val="ጊ_x0000__x0000_Ⴔጱ_x0000__x0000_Lጲ_x0000__x0000_ࠑድ_x0000__x0000_°ጳ_x0000__x0000_2ጳ_x0000__x0000_0"/>
      <sheetName val="ጿ_x0000__x0000_Ⴔጊ_x0000__x0000_Lጱ_x0000__x0000_ᙜጲ_x0000__x0000_෨ድ_x0000__x0000_Dጳ_x0000__x0000_°ጳ"/>
      <sheetName val="ጿ_x0000__x0000_Ⴔጊ_x0000__x0000_Lጱ_x0000__x0000_Rጲ_x0000__x0000_Cድ_x0000__x0000_Rጳ_x0000__x0000_"/>
      <sheetName val="ጴ_x0000__x0000_Ⴔጳ_x0000__x0000_Lጳ_x0000__x0000_iጴ_x0000__x0000_ ጵ_x0000__x0000_eጶ_x0000__x0000_e"/>
      <sheetName val="ጵ_x0000__x0000_Ⴔጶ_x0000__x0000_Lጷ_x0000__x0000_ᝥጸ_x0000__x0000_Uጿ_x0000__x0000_Oጿ_x0000__x0000_ "/>
      <sheetName val="ጳ_x0000__x0000_Ⴔጴ_x0000__x0000_Lጵ_x0000__x0000_֑ጶ_x0000__x0000_ ጷ_x0000__x0000_-ጸ_x0000__x0000_׭"/>
      <sheetName val="ጳ_x0000__x0000_Ⴔጳ_x0000__x0000_Lጴ_x0000__x0000_಴ጵ_x0000__x0000_׭ጶ_x0000__x0000_᳀ጷ_x0000__x0000_"/>
      <sheetName val="ጴ_x0000__x0000_Ⴔጵ_x0000__x0000_Lጶ_x0000__x0000_ඕጷ_x0000__x0000_ఐጸ_x0000__x0000_սጿ_x0000__x0000_"/>
      <sheetName val="ጲ_x0000__x0000_Ⴔድ_x0000__x0000_Lጳ_x0000__x0000_.ጳ_x0000__x0000_᪅ጴ_x0000__x0000_Șጳ_x0000__x0000_᧝ጳ"/>
      <sheetName val="ጸ_x0000__x0000_Ⴔጿ_x0000__x0000_Lጿ_x0000__x0000_.ጊ_x0000__x0000_᪅ጊ_x0000__x0000_ႜጱ_x0000__x0000_"/>
      <sheetName val="ጴ_x0000__x0000_Ⴔጵ_x0000__x0000_Lጶ_x0000__x0000_.ጷ_x0000__x0000_ᅸጸ_x0000__x0000_Ꮙጿ_x0000__x0000_°ጿ"/>
      <sheetName val="ጶ_x0000__x0000_Ⴔጷ_x0000__x0000_Lጸ_x0000__x0000_.ጿ_x0000__x0000_(ጿ_x0000__x0000_ᅸጊ_x0000__x0000_)"/>
      <sheetName val="ጳ_x0000__x0000_Ⴔጴ_x0000__x0000_Lጴ_x0000__x0000_.ፊ_x0000__x0000_(ጵ_x0000__x0000_ఀፋ_x0000__x0000_)"/>
      <sheetName val="ጊ_x0000__x0000_Ⴔጱ_x0000__x0000_Lጲ_x0000__x0000_ഈድ_x0000__x0000_ᠥጳ_x0000__x0000_๘ጳ_x0000__x0000_"/>
      <sheetName val="ጊ_x0000__x0000_Ⴔጱ_x0000__x0000_Lጲ_x0000__x0000_Tድ_x0000__x0000_(ጳ_x0000__x0000_Eጳ_x0000__x0000_"/>
      <sheetName val="ጱ_x0000__x0000_Ⴔጲ_x0000__x0000_Lድ_x0000__x0000_ެጳ_x0000__x0000_ ጳ_x0000__x0000_(ጴ_x0000__x0000_"/>
      <sheetName val="ጷ_x0000__x0000_Ⴔጸ_x0000__x0000_Lጿ_x0000__x0000_೨ጿ_x0000__x0000_Tጊ_x0000__x0000_ಽጊ_x0000__x0000_"/>
      <sheetName val="ጿ_x0000__x0000_Ⴔጿ_x0000__x0000_Lጊ_x0000__x0000_ᙔጱ_x0000__x0000_೵ጲ_x0000__x0000_ ድ_x0000__x0000_"/>
      <sheetName val="ጴ_x0000__x0000_Ⴔጳ_x0000__x0000_Lጳ_x0000__x0000_ᆠጴ_x0000__x0000_Aጵ_x0000__x0000_Iጶ_x0000__x0000_"/>
      <sheetName val="ድ_x0000__x0000_Ⴔጳ_x0000__x0000_Lጳ_x0000__x0000_಴ጴ_x0000__x0000_׭ጳ_x0000__x0000_᳀ጳ_x0000__x0000_"/>
      <sheetName val="ጱ_x0000__x0000_Ⴔጲ_x0000__x0000_Lድ_x0000__x0000_ಜጳ_x0000__x0000_(ጳ_x0000__x0000_ ጴ_x0000__x0000_"/>
      <sheetName val="ጷ_x0000__x0000_Ⴔጸ_x0000__x0000_Lጿ_x0000__x0000_ݸጿ_x0000__x0000_ၬጊ_x0000__x0000_2ጊ_x0000__x0000_ರጱ"/>
      <sheetName val="ጵ_x0000__x0000_Ⴔጶ_x0000__x0000_Lጷ_x0000__x0000__ጸ_x0000__x0000_᪅ጿ_x0000__x0000_Șጿ_x0000__x0000_᧝ጊ"/>
      <sheetName val="ጳ_x0000__x0000_Ⴔጴ_x0000__x0000_Lጳ_x0000__x0000__ጳ_x0000__x0000_᪅ጴ_x0000__x0000_ႜጵ_x0000__x0000_"/>
      <sheetName val="ጳ_x0000__x0000_Ⴔጳ_x0000__x0000_Lጴ_x0000__x0000_ࣼጳ_x0000__x0000_൬ጳ_x0000__x0000_(ጴ_x0000__x0000_"/>
      <sheetName val="ጳ_x0000__x0000_Ⴔጴ_x0000__x0000_Lጳ_x0000__x0000_Rጳ_x0000__x0000_Sጴ_x0000__x0000_Lጵ_x0000__x0000_2ጶ_x0000_"/>
      <sheetName val="ጿ_x0000__x0000_Ⴔጿ_x0000__x0000_Lጊ_x0000__x0000_నጊ_x0000__x0000_ಽጱ_x0000__x0000_(ጲ_x0000__x0000_"/>
      <sheetName val="ጿ_x0000__x0000_Ⴔጊ_x0000__x0000_Lጊ_x0000__x0000_೵ጱ_x0000__x0000_(ጲ_x0000__x0000_ዹድ_x0000__x0000_"/>
      <sheetName val="ጳ_x0000__x0000_Ⴔጳ_x0000__x0000_Lጴ_x0000__x0000__ጳ_x0000__x0000_Eጳ_x0000__x0000_Ꮜጴ_x0000__x0000_"/>
      <sheetName val="ጷ_x0000__x0000_Ⴔጸ_x0000__x0000_Lጿ_x0000__x0000__ጿ_x0000__x0000_ᔼጊ_x0000__x0000_1ጱ_x0000__x0000_2ጲ_x0000_"/>
      <sheetName val="ጳ_x0000__x0000_Ⴔጳ_x0000__x0000_Lጴ_x0000__x0000_Ƞጴ_x0000__x0000_Eፊ_x0000__x0000_Rጵ_x0000__x0000_Sፋ"/>
      <sheetName val="ጸ_x0000__x0000_Ⴔጿ_x0000__x0000_Lጿ_x0000__x0000_ݴጊ_x0000__x0000_෼ጱ_x0000__x0000_.ጲ_x0000__x0000_"/>
      <sheetName val="ድ_x0000__x0000_Ⴔጳ_x0000__x0000_Lጳ_x0000__x0000_0ጴ_x0000__x0000_ ጳ_x0000__x0000_Iጳ_x0000__x0000_"/>
      <sheetName val="ጊ_x0000__x0000_Ⴔጱ_x0000__x0000_Lጲ_x0000__x0000_ಜድ_x0000__x0000_(ጳ_x0000__x0000__ጳ_x0000__x0000_"/>
      <sheetName val="ጿ_x0000__x0000_Ⴔጊ_x0000__x0000_Lጱ_x0000__x0000_rጲ_x0000__x0000_(ድ_x0000__x0000_tጳ_x0000__x0000_rጳ"/>
      <sheetName val="ጴ_x0000__x0000_Ⴔጵ_x0000__x0000_Lጶ_x0000__x0000_᚝ጷ_x0000__x0000_Ոጸ_x0000__x0000_)ጿ_x0000__x0000_"/>
      <sheetName val="ጸ_x0000__x0000_Ⴔጿ_x0000__x0000_Lጿ_x0000__x0000_iጊ_x0000__x0000_ ጱ_x0000__x0000_uጲ_x0000__x0000_r"/>
      <sheetName val="ጊ후다내역.XLS]0_0ControlSheet3"/>
      <sheetName val="ጳ_x0000__x0000_Ⴔጴ_x0000__x0000_Lጳ_x0000__x0000_᳴ጳ_x0000__x0000__ጴ_x0000__x0000_ᰕጵ_x0000__x0000_װጶ_x0000_"/>
      <sheetName val="ጴ_x0000__x0000_Ⴔጳ_x0000__x0000_Lጳ_x0000__x0000_֑ጴ_x0000__x0000__ጵ_x0000__x0000_-ጶ_x0000__x0000_׭"/>
      <sheetName val="ጳ_x0000__x0000_Ⴔጳ_x0000__x0000_Lጴ_x0000__x0000_ᙜጵ_x0000__x0000_෨ጶ_x0000__x0000_Dጷ_x0000__x0000_°ጸ"/>
      <sheetName val="ጿ_x0000__x0000_ゴጊ_x0000__x0000_Lዷ_x0000__x0000_R፞_x0000__x0000_I፟_x0000__x0000_G፠_x0000__x0000_ጀ፠"/>
      <sheetName val="ጶ_x0000__x0000_Ⴔጷ_x0000__x0000_Lጸ_x0000__x0000__ጿ_x0000__x0000_ഀጿ_x0000__x0000_nጊ_x0000__x0000__ጱ"/>
      <sheetName val="ጵ_x0000__x0000_Ⴔጶ_x0000__x0000_Lጷ_x0000__x0000__ጸ_x0000__x0000_ഀጿ_x0000__x0000_nጿ_x0000__x0000__ጊ"/>
      <sheetName val="ጳ_x0000__x0000_Ⴔጴ_x0000__x0000_Lጵ_x0000__x0000__ጶ_x0000__x0000_Eጷ_x0000__x0000_Ꮜጸ_x0000__x0000_"/>
      <sheetName val="ጱ_x0000__x0000_Ⴔጲ_x0000__x0000_Lድ_x0000__x0000__ጳ_x0000__x0000__ጳ_x0000__x0000__ጴ_x0000__x0000_1"/>
      <sheetName val="ድ_x0000__x0000_Ⴔጳ_x0000__x0000_Lጳ_x0000__x0000_᝼ጴ_x0000__x0000_᳀ጳ_x0000__x0000_,ጳ_x0000__x0000_)ጴ"/>
      <sheetName val="ጶ_x0000__x0000_Ⴔጷ_x0000__x0000_Lጸ_x0000__x0000_-ጿ_x0000__x0000_Oጿ_x0000__x0000_Uጊ_x0000__x0000_Rፕ_x0000_"/>
      <sheetName val="ጿ_x0000__x0000_Ⴔጿ_x0000__x0000_Lጊ_x0000__x0000_-ጱ_x0000__x0000_Eጲ_x0000__x0000_Tድ_x0000__x0000_Aጳ"/>
      <sheetName val="ጷ_x0000__x0000_Ⴔጸ_x0000__x0000_Lጿ_x0000__x0000__ጿ_x0000__x0000__ጊ_x0000__x0000_ݴጱ_x0000__x0000_"/>
      <sheetName val="ጲ_x0000__x0000_Ⴔድ_x0000__x0000_Lጳ_x0000__x0000_ᝥጳ_x0000__x0000_Uጴ_x0000__x0000_Oጳ_x0000__x0000__"/>
      <sheetName val="ፘ_x0000__x0000_Ⴔፘ_x0000__x0000_Lፙ_x0000__x0000_Rፘ_x0000__x0000_Cፘ_x0000__x0000_Rፙ_x0000__x0000_"/>
      <sheetName val="፝_x0000__x0000_Ⴔጿ_x0000__x0000_Lጿ_x0000__x0000_iጊ_x0000__x0000__ዷ_x0000__x0000_e፞_x0000__x0000_e"/>
      <sheetName val="፡_x0000__x0000_Ⴔ፠_x0000__x0000_L፠_x0000__x0000_ࣼ፡_x0000__x0000_൬።_x0000__x0000_(፣_x0000__x0000_"/>
      <sheetName val="፠_x0000__x0000_Ⴔ፡_x0000__x0000_L።_x0000__x0000_R፣_x0000__x0000_S፤_x0000__x0000_Lጿ_x0000__x0000_2ጿ_x0000_"/>
      <sheetName val="ጊ_x0000__x0000_Ⴔጊ_x0000__x0000_Lጊ_x0000__x0000_నጊ_x0000__x0000_ಽጊ_x0000__x0000_(፥_x0000__x0000_"/>
      <sheetName val="፥_x0000__x0000_Ⴔ፦_x0000__x0000_L፥_x0000__x0000__ጊ_x0000__x0000_Eጊ_x0000__x0000_Ꮜጊ_x0000__x0000_"/>
      <sheetName val="ጲ_x0000__x0000_Ⴔድ_x0000__x0000_Lጳ_x0000__x0000_Iጳ_x0000__x0000__ጴ_x0000__x0000_Yጳ_x0000__x0000_"/>
      <sheetName val="ጳ_x0000__x0000_Ⴔጳ_x0000__x0000_Lጴ_x0000__x0000__ጳ_x0000__x0000_᪅ጳ_x0000__x0000_ᕴጴ_x0000__x0000_"/>
      <sheetName val="Dầm 1"/>
      <sheetName val="Unit Rate(non print)"/>
      <sheetName val="Bang TH"/>
      <sheetName val="Shelves"/>
      <sheetName val="0"/>
      <sheetName val="Cọc nhồi"/>
      <sheetName val="MTL(AG)"/>
      <sheetName val="Notes"/>
      <sheetName val="5.NKTC"/>
      <sheetName val="4.BBNT-LĐ"/>
      <sheetName val="01__DATA"/>
      <sheetName val="Tai_khoan"/>
      <sheetName val="중기사용료_(2)"/>
      <sheetName val="BTRA"/>
      <sheetName val="[후다_x0001_ _x0010_"/>
      <sheetName val="외주대비 -석축?????_x0012_[후다내역.XLS]견적표지 (3"/>
      <sheetName val="䣐??갑쥀)"/>
      <sheetName val="48_x0005_?"/>
      <sheetName val="1차설계Ꮗԯ?"/>
      <sheetName val="Sikje_inĴ¾?"/>
      <sheetName val="eq_dat?"/>
      <sheetName val="3BL공동구??Ԁ"/>
      <sheetName val="외주대비 -석축???_x"/>
      <sheetName val="Sikje_in_x0005_?"/>
      <sheetName val="CԀ?缀"/>
      <sheetName val="_후다_x0001_ _x0010__x0000__x0003"/>
      <sheetName val="5.6 NTKL ĐHKK "/>
      <sheetName val="5.12 NTKL PCCC"/>
      <sheetName val="ThongSo"/>
      <sheetName val="ጳ"/>
      <sheetName val="ጷ"/>
      <sheetName val="ጱ"/>
      <sheetName val="ጊ"/>
      <sheetName val="ጵ"/>
      <sheetName val="ጿ"/>
      <sheetName val="ጸ"/>
      <sheetName val="ፍ"/>
      <sheetName val="ጶ"/>
      <sheetName val="ድ"/>
      <sheetName val="ጴ"/>
      <sheetName val="ጲ"/>
      <sheetName val="ፘ"/>
      <sheetName val="፡"/>
      <sheetName val="፠"/>
      <sheetName val="፥"/>
      <sheetName val="新规"/>
      <sheetName val="D &amp; W sizes"/>
      <sheetName val="Package1"/>
      <sheetName val="tra_vat_lieu"/>
      <sheetName val="ptvt"/>
      <sheetName val="_후다_x0001_ _x0010_"/>
      <sheetName val="Goc CC"/>
      <sheetName val="Gtvl"/>
      <sheetName val="Thkp"/>
      <sheetName val="Gia_THKP"/>
      <sheetName val="GiaTH_PT2"/>
      <sheetName val="Sàn tầng 01 ( old )"/>
      <sheetName val="Gia thanh chuoi su"/>
      <sheetName val="Tiep dia"/>
      <sheetName val="Don gia vung III-Can Tho"/>
      <sheetName val="TH MEP"/>
      <sheetName val=" DATA"/>
      <sheetName val="0.Bìa"/>
      <sheetName val="1.Mục lục"/>
      <sheetName val="2.Phiếu kiểm tra"/>
      <sheetName val="BM-06a Mẫu chứng chỉ thanh toán"/>
      <sheetName val="3.Bảng TT giá trị thực hiện"/>
      <sheetName val="4.Bảng TT KL thực hiện"/>
      <sheetName val="6.KL DD chi tiết"/>
      <sheetName val="5.công nhật"/>
      <sheetName val="ROW 3a-chi tiết"/>
      <sheetName val="ROW 5- chi tiết"/>
      <sheetName val="ROW 6- chi tiết"/>
      <sheetName val="KL khoán đổ bê tông T7"/>
      <sheetName val="6. Bảng TT giá trị giảm trừ HĐ"/>
      <sheetName val="6. Hồ sơ đính kèm"/>
      <sheetName val="금속및금속창호"/>
      <sheetName val="장비명"/>
      <sheetName val="2.입력sheet"/>
      <sheetName val="전_x0000_"/>
      <sheetName val="교각怀"/>
      <sheetName val="3BL공동구__x0000__x0000_"/>
      <sheetName val="위생䲀æ"/>
      <sheetName val="1공구_건정토건_토_x0000__x0000_"/>
      <sheetName val="자재단가표"/>
      <sheetName val="수⋜Ɇ녈"/>
      <sheetName val="기본데이타입력"/>
      <sheetName val="2.교_x0000__x0000__xdd08_̚벝"/>
      <sheetName val="벽체면적당일위Á_x0000_"/>
      <sheetName val="HVAC"/>
      <sheetName val="Pag_hal"/>
      <sheetName val="THMAVT"/>
      <sheetName val="IMF Code"/>
      <sheetName val="샌딩_에폭시_도장2"/>
      <sheetName val="Summary_VO_No_31"/>
      <sheetName val="VO_No_3_11"/>
      <sheetName val="VO_No_3_21"/>
      <sheetName val="VO_No_3_31"/>
      <sheetName val="VO_No_3_41"/>
      <sheetName val="VO_No_3_51"/>
      <sheetName val="VO_No_3_61"/>
      <sheetName val="VO_No_3_71"/>
      <sheetName val="VO_No_3_81"/>
      <sheetName val="대3류_1"/>
      <sheetName val="SCOPE_OF_WORK1"/>
      <sheetName val="Sàn_T11"/>
      <sheetName val="Lỗ_thông_gió1"/>
      <sheetName val="외주대비_ᨀ晙ԯ2"/>
      <sheetName val="Thống_kê1"/>
      <sheetName val="3_단가산출서1"/>
      <sheetName val="4_단가산출기초1"/>
      <sheetName val="H__MECHANICAL1"/>
      <sheetName val="J__FIRE_FIGHTING1"/>
      <sheetName val="01__DATA1"/>
      <sheetName val="Sikje_in"/>
      <sheetName val="Tai_khoan1"/>
      <sheetName val="Bang_gia_2011_10_12"/>
      <sheetName val="중기사용료_(2)1"/>
      <sheetName val="投标材料清单_"/>
      <sheetName val="ጳႴጳLጴ_ጵ_ጶఀጷ_ጸ1"/>
      <sheetName val="ጊႴጱLጲ_ድnጳlጳeጴ"/>
      <sheetName val="ጵႴጶLጷ_ጸyጿuጿiጊ"/>
      <sheetName val="ጿႴጿLጊېጱ_ጲ೵ድႴጳ"/>
      <sheetName val="ጊႴጊLጱ᳴ጲ_ድᰕጳװጳ"/>
      <sheetName val="ጶႴጷLጸ_ጿ_ጿ_ጊ1"/>
      <sheetName val="ጿႴጊLጱȘጲᩘድ_ጳ_ጳ"/>
      <sheetName val="ድႴጳLጳ_ጴഀጳnጳ_"/>
      <sheetName val="ጴႴጵLጶ_ጷഀጸnጿ_"/>
      <sheetName val="ጳႴጴLጵ_ጶᔼጷ1ጸ2ጿ"/>
      <sheetName val="ጸႴጿLጿ_ጊ_ጱݴጲ"/>
      <sheetName val="ጴႴጳLጳiጴ_ጵeጶe"/>
      <sheetName val="ጵႴጶLጷᝥጸUጿOጿ_"/>
      <sheetName val="ጳႴጴLጵ֑ጶ_ጷ-ጸ׭"/>
      <sheetName val="ጲႴድLጳ_ጳ᪅ጴȘጳ᧝ጳ"/>
      <sheetName val="ጸႴጿLጿ_ጊ᪅ጊႜጱ"/>
      <sheetName val="ጴႴጵLጶ_ጷᅸጸᏉጿ°ጿ"/>
      <sheetName val="ጶႴጷLጸ_ጿ(ጿᅸጊ)"/>
      <sheetName val="ጳႴጴLጴ_ፊ(ጵఀፋ)"/>
      <sheetName val="ጱႴጲLድެጳ_ጳ(ጴ"/>
      <sheetName val="ጿႴጿLጊᙔጱ೵ጲ_ድ"/>
      <sheetName val="ጱႴጲLድಜጳ(ጳ_ጴ"/>
      <sheetName val="ጸႴጿLጿݴጊ෼ጱ_ጲ"/>
      <sheetName val="ድႴጳLጳ0ጴ_ጳIጳ"/>
      <sheetName val="ጸႴጿLጿiጊ_ጱuጲr"/>
      <sheetName val="ጊ후다내역_XLS]0_0ControlSheet3"/>
      <sheetName val="Dầm_1"/>
      <sheetName val="Unit_Rate(non_print)"/>
      <sheetName val="Cọc_nhồi"/>
      <sheetName val="Bang_TH"/>
      <sheetName val="5_6_NTKL_ĐHKK_"/>
      <sheetName val="5_12_NTKL_PCCC"/>
      <sheetName val="_후다__x0003"/>
      <sheetName val="[후다_"/>
      <sheetName val="_후다_"/>
      <sheetName val="5_NKTC"/>
      <sheetName val="4_BBNT-LĐ"/>
      <sheetName val="_DATA"/>
      <sheetName val="0_Bìa"/>
      <sheetName val="1_Mục_lục"/>
      <sheetName val="2_Phiếu_kiểm_tra"/>
      <sheetName val="BM-06a_Mẫu_chứng_chỉ_thanh_toán"/>
      <sheetName val="3_Bảng_TT_giá_trị_thực_hiện"/>
      <sheetName val="4_Bảng_TT_KL_thực_hiện"/>
      <sheetName val="6_KL_DD_chi_tiết"/>
      <sheetName val="5_công_nhật"/>
      <sheetName val="ROW_3a-chi_tiết"/>
      <sheetName val="ROW_5-_chi_tiết"/>
      <sheetName val="ROW_6-_chi_tiết"/>
      <sheetName val="KL_khoán_đổ_bê_tông_T7"/>
      <sheetName val="6__Bảng_TT_giá_trị_giảm_trừ_HĐ"/>
      <sheetName val="6__Hồ_sơ_đính_kèm"/>
      <sheetName val="Sàn_tầng_01_(_old_)"/>
      <sheetName val="Gia_thanh_chuoi_su"/>
      <sheetName val="Tiep_dia"/>
      <sheetName val="Don_gia_vung_III-Can_Tho"/>
      <sheetName val="TH_MEP"/>
      <sheetName val="D_&amp;_W_sizes"/>
      <sheetName val="Goc_CC"/>
      <sheetName val="외주대비_-석축?????[후다내역_XLS]견적표지_(3"/>
      <sheetName val="48?"/>
      <sheetName val="외주대비_-석축???_x"/>
      <sheetName val="Sikje_in?"/>
      <sheetName val="IMF_Code"/>
      <sheetName val="electrical"/>
      <sheetName val="Gia"/>
      <sheetName val="Elec LG"/>
      <sheetName val="Ref"/>
      <sheetName val="운동장_(2)"/>
      <sheetName val="외주대비_-석É"/>
      <sheetName val="ESTI."/>
      <sheetName val="1.Requisition(E)"/>
      <sheetName val="dtct cong"/>
      <sheetName val="単価表"/>
      <sheetName val="SLCONG"/>
      <sheetName val="SLGA"/>
      <sheetName val="DG"/>
      <sheetName val="NHÀ NHẬP LIỆU"/>
      <sheetName val="MÓNG SILO"/>
      <sheetName val="電気設備表"/>
      <sheetName val="DI_ESTI"/>
      <sheetName val="위생悱"/>
      <sheetName val="3.1"/>
      <sheetName val="3.10"/>
      <sheetName val="3.2"/>
      <sheetName val="3.3"/>
      <sheetName val="3.4"/>
      <sheetName val="3.5"/>
      <sheetName val="3.6"/>
      <sheetName val="3.7"/>
      <sheetName val="3.8"/>
      <sheetName val="3.9"/>
      <sheetName val="Doi so"/>
      <sheetName val="手动计画"/>
      <sheetName val="DTCT"/>
      <sheetName val="TL rieng"/>
      <sheetName val="8월차잔"/>
      <sheetName val="시설이용권명세서"/>
      <sheetName val="전기일위목록"/>
      <sheetName val="Kihon-Jiko"/>
      <sheetName val="보안등"/>
      <sheetName val="근생APT-신마감"/>
      <sheetName val="복지관_FIART"/>
      <sheetName val="근생APT-FIART"/>
      <sheetName val="근생-FIART"/>
      <sheetName val="PL Vua"/>
      <sheetName val="조선용암면"/>
      <sheetName val="CODE-LIST"/>
      <sheetName val="Basic Wage"/>
      <sheetName val="Menber List"/>
      <sheetName val="보도내 "/>
      <sheetName val="Measure 1306"/>
      <sheetName val="DAF-2"/>
      <sheetName val="DM.ChiPhi"/>
      <sheetName val="GIAVLIEU"/>
      <sheetName val="표지 ¬_x0000__x0000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refreshError="1"/>
      <sheetData sheetId="35" refreshError="1"/>
      <sheetData sheetId="36" refreshError="1"/>
      <sheetData sheetId="37"/>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refreshError="1"/>
      <sheetData sheetId="835" refreshError="1"/>
      <sheetData sheetId="836" refreshError="1"/>
      <sheetData sheetId="837" refreshError="1"/>
      <sheetData sheetId="838" refreshError="1"/>
      <sheetData sheetId="839" refreshError="1"/>
      <sheetData sheetId="840" refreshError="1"/>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refreshError="1"/>
      <sheetData sheetId="1080" refreshError="1"/>
      <sheetData sheetId="1081" refreshError="1"/>
      <sheetData sheetId="1082" refreshError="1"/>
      <sheetData sheetId="1083" refreshError="1"/>
      <sheetData sheetId="1084" refreshError="1"/>
      <sheetData sheetId="1085" refreshError="1"/>
      <sheetData sheetId="1086" refreshError="1"/>
      <sheetData sheetId="1087" refreshError="1"/>
      <sheetData sheetId="1088" refreshError="1"/>
      <sheetData sheetId="1089" refreshError="1"/>
      <sheetData sheetId="1090" refreshError="1"/>
      <sheetData sheetId="1091" refreshError="1"/>
      <sheetData sheetId="1092" refreshError="1"/>
      <sheetData sheetId="1093" refreshError="1"/>
      <sheetData sheetId="1094" refreshError="1"/>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refreshError="1"/>
      <sheetData sheetId="1117" refreshError="1"/>
      <sheetData sheetId="1118" refreshError="1"/>
      <sheetData sheetId="1119" refreshError="1"/>
      <sheetData sheetId="1120" refreshError="1"/>
      <sheetData sheetId="1121" refreshError="1"/>
      <sheetData sheetId="1122" refreshError="1"/>
      <sheetData sheetId="1123" refreshError="1"/>
      <sheetData sheetId="1124" refreshError="1"/>
      <sheetData sheetId="1125" refreshError="1"/>
      <sheetData sheetId="1126" refreshError="1"/>
      <sheetData sheetId="1127" refreshError="1"/>
      <sheetData sheetId="1128" refreshError="1"/>
      <sheetData sheetId="1129" refreshError="1"/>
      <sheetData sheetId="1130" refreshError="1"/>
      <sheetData sheetId="1131" refreshError="1"/>
      <sheetData sheetId="1132" refreshError="1"/>
      <sheetData sheetId="1133" refreshError="1"/>
      <sheetData sheetId="1134" refreshError="1"/>
      <sheetData sheetId="1135" refreshError="1"/>
      <sheetData sheetId="1136" refreshError="1"/>
      <sheetData sheetId="1137" refreshError="1"/>
      <sheetData sheetId="1138" refreshError="1"/>
      <sheetData sheetId="1139" refreshError="1"/>
      <sheetData sheetId="1140" refreshError="1"/>
      <sheetData sheetId="1141" refreshError="1"/>
      <sheetData sheetId="1142" refreshError="1"/>
      <sheetData sheetId="1143" refreshError="1"/>
      <sheetData sheetId="1144" refreshError="1"/>
      <sheetData sheetId="1145" refreshError="1"/>
      <sheetData sheetId="1146" refreshError="1"/>
      <sheetData sheetId="1147" refreshError="1"/>
      <sheetData sheetId="1148" refreshError="1"/>
      <sheetData sheetId="1149" refreshError="1"/>
      <sheetData sheetId="1150" refreshError="1"/>
      <sheetData sheetId="1151" refreshError="1"/>
      <sheetData sheetId="1152" refreshError="1"/>
      <sheetData sheetId="1153" refreshError="1"/>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refreshError="1"/>
      <sheetData sheetId="1225" refreshError="1"/>
      <sheetData sheetId="1226" refreshError="1"/>
      <sheetData sheetId="1227" refreshError="1"/>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refreshError="1"/>
      <sheetData sheetId="1331" refreshError="1"/>
      <sheetData sheetId="1332" refreshError="1"/>
      <sheetData sheetId="1333" refreshError="1"/>
      <sheetData sheetId="1334" refreshError="1"/>
      <sheetData sheetId="1335" refreshError="1"/>
      <sheetData sheetId="1336" refreshError="1"/>
      <sheetData sheetId="1337" refreshError="1"/>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refreshError="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refreshError="1"/>
      <sheetData sheetId="1376" refreshError="1"/>
      <sheetData sheetId="1377"/>
      <sheetData sheetId="1378"/>
      <sheetData sheetId="1379"/>
      <sheetData sheetId="1380"/>
      <sheetData sheetId="1381"/>
      <sheetData sheetId="1382"/>
      <sheetData sheetId="1383"/>
      <sheetData sheetId="1384"/>
      <sheetData sheetId="1385"/>
      <sheetData sheetId="1386"/>
      <sheetData sheetId="1387"/>
      <sheetData sheetId="1388"/>
      <sheetData sheetId="1389"/>
      <sheetData sheetId="1390"/>
      <sheetData sheetId="1391"/>
      <sheetData sheetId="1392"/>
      <sheetData sheetId="1393"/>
      <sheetData sheetId="1394"/>
      <sheetData sheetId="1395"/>
      <sheetData sheetId="1396"/>
      <sheetData sheetId="1397"/>
      <sheetData sheetId="1398"/>
      <sheetData sheetId="1399"/>
      <sheetData sheetId="1400"/>
      <sheetData sheetId="1401"/>
      <sheetData sheetId="1402"/>
      <sheetData sheetId="1403"/>
      <sheetData sheetId="1404"/>
      <sheetData sheetId="1405"/>
      <sheetData sheetId="1406"/>
      <sheetData sheetId="1407"/>
      <sheetData sheetId="1408"/>
      <sheetData sheetId="1409"/>
      <sheetData sheetId="1410"/>
      <sheetData sheetId="1411"/>
      <sheetData sheetId="1412"/>
      <sheetData sheetId="1413"/>
      <sheetData sheetId="1414"/>
      <sheetData sheetId="1415"/>
      <sheetData sheetId="1416"/>
      <sheetData sheetId="1417"/>
      <sheetData sheetId="1418"/>
      <sheetData sheetId="1419"/>
      <sheetData sheetId="1420"/>
      <sheetData sheetId="1421"/>
      <sheetData sheetId="1422"/>
      <sheetData sheetId="1423"/>
      <sheetData sheetId="1424"/>
      <sheetData sheetId="1425"/>
      <sheetData sheetId="1426"/>
      <sheetData sheetId="1427"/>
      <sheetData sheetId="1428"/>
      <sheetData sheetId="1429"/>
      <sheetData sheetId="1430"/>
      <sheetData sheetId="1431"/>
      <sheetData sheetId="1432"/>
      <sheetData sheetId="1433"/>
      <sheetData sheetId="1434"/>
      <sheetData sheetId="1435"/>
      <sheetData sheetId="1436"/>
      <sheetData sheetId="1437"/>
      <sheetData sheetId="1438"/>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sheetData sheetId="1454"/>
      <sheetData sheetId="1455"/>
      <sheetData sheetId="1456"/>
      <sheetData sheetId="1457"/>
      <sheetData sheetId="1458"/>
      <sheetData sheetId="1459"/>
      <sheetData sheetId="1460"/>
      <sheetData sheetId="1461"/>
      <sheetData sheetId="1462"/>
      <sheetData sheetId="1463"/>
      <sheetData sheetId="1464"/>
      <sheetData sheetId="1465"/>
      <sheetData sheetId="1466"/>
      <sheetData sheetId="1467"/>
      <sheetData sheetId="1468"/>
      <sheetData sheetId="1469"/>
      <sheetData sheetId="1470"/>
      <sheetData sheetId="1471"/>
      <sheetData sheetId="1472"/>
      <sheetData sheetId="1473"/>
      <sheetData sheetId="1474"/>
      <sheetData sheetId="1475"/>
      <sheetData sheetId="1476"/>
      <sheetData sheetId="1477"/>
      <sheetData sheetId="1478"/>
      <sheetData sheetId="1479"/>
      <sheetData sheetId="1480"/>
      <sheetData sheetId="1481"/>
      <sheetData sheetId="1482"/>
      <sheetData sheetId="1483"/>
      <sheetData sheetId="1484"/>
      <sheetData sheetId="1485"/>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efreshError="1"/>
      <sheetData sheetId="1546" refreshError="1"/>
      <sheetData sheetId="1547" refreshError="1"/>
      <sheetData sheetId="1548" refreshError="1"/>
      <sheetData sheetId="1549" refreshError="1"/>
      <sheetData sheetId="1550" refreshError="1"/>
      <sheetData sheetId="1551" refreshError="1"/>
      <sheetData sheetId="1552" refreshError="1"/>
      <sheetData sheetId="1553" refreshError="1"/>
      <sheetData sheetId="1554" refreshError="1"/>
      <sheetData sheetId="1555" refreshError="1"/>
      <sheetData sheetId="1556" refreshError="1"/>
      <sheetData sheetId="1557" refreshError="1"/>
      <sheetData sheetId="1558" refreshError="1"/>
      <sheetData sheetId="1559" refreshError="1"/>
      <sheetData sheetId="1560" refreshError="1"/>
      <sheetData sheetId="1561" refreshError="1"/>
      <sheetData sheetId="1562" refreshError="1"/>
      <sheetData sheetId="1563" refreshError="1"/>
      <sheetData sheetId="1564" refreshError="1"/>
      <sheetData sheetId="1565" refreshError="1"/>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refreshError="1"/>
      <sheetData sheetId="1643" refreshError="1"/>
      <sheetData sheetId="1644" refreshError="1"/>
      <sheetData sheetId="1645" refreshError="1"/>
      <sheetData sheetId="1646" refreshError="1"/>
      <sheetData sheetId="1647" refreshError="1"/>
      <sheetData sheetId="1648" refreshError="1"/>
      <sheetData sheetId="1649" refreshError="1"/>
      <sheetData sheetId="1650" refreshError="1"/>
      <sheetData sheetId="1651" refreshError="1"/>
      <sheetData sheetId="1652" refreshError="1"/>
      <sheetData sheetId="1653" refreshError="1"/>
      <sheetData sheetId="1654" refreshError="1"/>
      <sheetData sheetId="1655" refreshError="1"/>
      <sheetData sheetId="1656" refreshError="1"/>
      <sheetData sheetId="1657" refreshError="1"/>
      <sheetData sheetId="1658" refreshError="1"/>
      <sheetData sheetId="1659" refreshError="1"/>
      <sheetData sheetId="1660" refreshError="1"/>
      <sheetData sheetId="1661" refreshError="1"/>
      <sheetData sheetId="1662" refreshError="1"/>
      <sheetData sheetId="1663" refreshError="1"/>
      <sheetData sheetId="1664" refreshError="1"/>
      <sheetData sheetId="1665" refreshError="1"/>
      <sheetData sheetId="1666" refreshError="1"/>
      <sheetData sheetId="1667" refreshError="1"/>
      <sheetData sheetId="1668" refreshError="1"/>
      <sheetData sheetId="1669" refreshError="1"/>
      <sheetData sheetId="1670" refreshError="1"/>
      <sheetData sheetId="1671" refreshError="1"/>
      <sheetData sheetId="1672" refreshError="1"/>
      <sheetData sheetId="1673" refreshError="1"/>
      <sheetData sheetId="1674" refreshError="1"/>
      <sheetData sheetId="1675" refreshError="1"/>
      <sheetData sheetId="1676" refreshError="1"/>
      <sheetData sheetId="1677" refreshError="1"/>
      <sheetData sheetId="1678" refreshError="1"/>
      <sheetData sheetId="1679" refreshError="1"/>
      <sheetData sheetId="1680" refreshError="1"/>
      <sheetData sheetId="1681" refreshError="1"/>
      <sheetData sheetId="1682" refreshError="1"/>
      <sheetData sheetId="1683" refreshError="1"/>
      <sheetData sheetId="1684" refreshError="1"/>
      <sheetData sheetId="1685" refreshError="1"/>
      <sheetData sheetId="1686" refreshError="1"/>
      <sheetData sheetId="1687" refreshError="1"/>
      <sheetData sheetId="1688" refreshError="1"/>
      <sheetData sheetId="1689" refreshError="1"/>
      <sheetData sheetId="1690" refreshError="1"/>
      <sheetData sheetId="1691" refreshError="1"/>
      <sheetData sheetId="1692" refreshError="1"/>
      <sheetData sheetId="1693" refreshError="1"/>
      <sheetData sheetId="1694" refreshError="1"/>
      <sheetData sheetId="1695" refreshError="1"/>
      <sheetData sheetId="1696" refreshError="1"/>
      <sheetData sheetId="1697" refreshError="1"/>
      <sheetData sheetId="1698" refreshError="1"/>
      <sheetData sheetId="1699" refreshError="1"/>
      <sheetData sheetId="1700" refreshError="1"/>
      <sheetData sheetId="1701" refreshError="1"/>
      <sheetData sheetId="1702" refreshError="1"/>
      <sheetData sheetId="1703" refreshError="1"/>
      <sheetData sheetId="1704" refreshError="1"/>
      <sheetData sheetId="1705" refreshError="1"/>
      <sheetData sheetId="1706" refreshError="1"/>
      <sheetData sheetId="1707" refreshError="1"/>
      <sheetData sheetId="1708" refreshError="1"/>
      <sheetData sheetId="1709" refreshError="1"/>
      <sheetData sheetId="1710" refreshError="1"/>
      <sheetData sheetId="1711" refreshError="1"/>
      <sheetData sheetId="1712" refreshError="1"/>
      <sheetData sheetId="1713" refreshError="1"/>
      <sheetData sheetId="1714" refreshError="1"/>
      <sheetData sheetId="1715" refreshError="1"/>
      <sheetData sheetId="1716" refreshError="1"/>
      <sheetData sheetId="1717" refreshError="1"/>
      <sheetData sheetId="1718" refreshError="1"/>
      <sheetData sheetId="1719" refreshError="1"/>
      <sheetData sheetId="1720" refreshError="1"/>
      <sheetData sheetId="1721" refreshError="1"/>
      <sheetData sheetId="1722" refreshError="1"/>
      <sheetData sheetId="1723" refreshError="1"/>
      <sheetData sheetId="1724" refreshError="1"/>
      <sheetData sheetId="1725" refreshError="1"/>
      <sheetData sheetId="1726" refreshError="1"/>
      <sheetData sheetId="1727" refreshError="1"/>
      <sheetData sheetId="1728" refreshError="1"/>
      <sheetData sheetId="1729" refreshError="1"/>
      <sheetData sheetId="1730" refreshError="1"/>
      <sheetData sheetId="1731" refreshError="1"/>
      <sheetData sheetId="1732" refreshError="1"/>
      <sheetData sheetId="1733" refreshError="1"/>
      <sheetData sheetId="1734" refreshError="1"/>
      <sheetData sheetId="1735" refreshError="1"/>
      <sheetData sheetId="1736" refreshError="1"/>
      <sheetData sheetId="1737" refreshError="1"/>
      <sheetData sheetId="1738" refreshError="1"/>
      <sheetData sheetId="1739" refreshError="1"/>
      <sheetData sheetId="1740" refreshError="1"/>
      <sheetData sheetId="1741" refreshError="1"/>
      <sheetData sheetId="1742" refreshError="1"/>
      <sheetData sheetId="1743" refreshError="1"/>
      <sheetData sheetId="1744" refreshError="1"/>
      <sheetData sheetId="1745" refreshError="1"/>
      <sheetData sheetId="1746" refreshError="1"/>
      <sheetData sheetId="1747" refreshError="1"/>
      <sheetData sheetId="1748" refreshError="1"/>
      <sheetData sheetId="1749" refreshError="1"/>
      <sheetData sheetId="1750" refreshError="1"/>
      <sheetData sheetId="1751" refreshError="1"/>
      <sheetData sheetId="1752" refreshError="1"/>
      <sheetData sheetId="1753" refreshError="1"/>
      <sheetData sheetId="1754" refreshError="1"/>
      <sheetData sheetId="1755" refreshError="1"/>
      <sheetData sheetId="1756" refreshError="1"/>
      <sheetData sheetId="1757" refreshError="1"/>
      <sheetData sheetId="1758" refreshError="1"/>
      <sheetData sheetId="1759" refreshError="1"/>
      <sheetData sheetId="1760" refreshError="1"/>
      <sheetData sheetId="1761" refreshError="1"/>
      <sheetData sheetId="1762" refreshError="1"/>
      <sheetData sheetId="1763" refreshError="1"/>
      <sheetData sheetId="1764" refreshError="1"/>
      <sheetData sheetId="1765" refreshError="1"/>
      <sheetData sheetId="1766" refreshError="1"/>
      <sheetData sheetId="1767" refreshError="1"/>
      <sheetData sheetId="1768" refreshError="1"/>
      <sheetData sheetId="1769" refreshError="1"/>
      <sheetData sheetId="1770" refreshError="1"/>
      <sheetData sheetId="1771" refreshError="1"/>
      <sheetData sheetId="1772" refreshError="1"/>
      <sheetData sheetId="1773" refreshError="1"/>
      <sheetData sheetId="1774" refreshError="1"/>
      <sheetData sheetId="1775" refreshError="1"/>
      <sheetData sheetId="1776" refreshError="1"/>
      <sheetData sheetId="1777" refreshError="1"/>
      <sheetData sheetId="1778" refreshError="1"/>
      <sheetData sheetId="1779" refreshError="1"/>
      <sheetData sheetId="1780" refreshError="1"/>
      <sheetData sheetId="1781" refreshError="1"/>
      <sheetData sheetId="1782" refreshError="1"/>
      <sheetData sheetId="1783" refreshError="1"/>
      <sheetData sheetId="1784" refreshError="1"/>
      <sheetData sheetId="1785" refreshError="1"/>
      <sheetData sheetId="1786" refreshError="1"/>
      <sheetData sheetId="1787" refreshError="1"/>
      <sheetData sheetId="1788" refreshError="1"/>
      <sheetData sheetId="1789" refreshError="1"/>
      <sheetData sheetId="1790" refreshError="1"/>
      <sheetData sheetId="1791" refreshError="1"/>
      <sheetData sheetId="1792" refreshError="1"/>
      <sheetData sheetId="1793" refreshError="1"/>
      <sheetData sheetId="1794" refreshError="1"/>
      <sheetData sheetId="1795" refreshError="1"/>
      <sheetData sheetId="1796" refreshError="1"/>
      <sheetData sheetId="1797" refreshError="1"/>
      <sheetData sheetId="1798" refreshError="1"/>
      <sheetData sheetId="1799" refreshError="1"/>
      <sheetData sheetId="1800" refreshError="1"/>
      <sheetData sheetId="1801" refreshError="1"/>
      <sheetData sheetId="1802" refreshError="1"/>
      <sheetData sheetId="1803" refreshError="1"/>
      <sheetData sheetId="1804" refreshError="1"/>
      <sheetData sheetId="1805" refreshError="1"/>
      <sheetData sheetId="1806" refreshError="1"/>
      <sheetData sheetId="1807" refreshError="1"/>
      <sheetData sheetId="1808" refreshError="1"/>
      <sheetData sheetId="1809" refreshError="1"/>
      <sheetData sheetId="1810" refreshError="1"/>
      <sheetData sheetId="1811" refreshError="1"/>
      <sheetData sheetId="1812" refreshError="1"/>
      <sheetData sheetId="1813" refreshError="1"/>
      <sheetData sheetId="1814" refreshError="1"/>
      <sheetData sheetId="1815" refreshError="1"/>
      <sheetData sheetId="1816" refreshError="1"/>
      <sheetData sheetId="1817" refreshError="1"/>
      <sheetData sheetId="1818" refreshError="1"/>
      <sheetData sheetId="1819" refreshError="1"/>
      <sheetData sheetId="1820" refreshError="1"/>
      <sheetData sheetId="1821" refreshError="1"/>
      <sheetData sheetId="1822" refreshError="1"/>
      <sheetData sheetId="1823" refreshError="1"/>
      <sheetData sheetId="1824" refreshError="1"/>
      <sheetData sheetId="1825" refreshError="1"/>
      <sheetData sheetId="1826" refreshError="1"/>
      <sheetData sheetId="1827" refreshError="1"/>
      <sheetData sheetId="1828" refreshError="1"/>
      <sheetData sheetId="1829" refreshError="1"/>
      <sheetData sheetId="1830" refreshError="1"/>
      <sheetData sheetId="1831" refreshError="1"/>
      <sheetData sheetId="1832" refreshError="1"/>
      <sheetData sheetId="1833" refreshError="1"/>
      <sheetData sheetId="1834" refreshError="1"/>
      <sheetData sheetId="1835" refreshError="1"/>
      <sheetData sheetId="1836" refreshError="1"/>
      <sheetData sheetId="1837" refreshError="1"/>
      <sheetData sheetId="1838" refreshError="1"/>
      <sheetData sheetId="1839" refreshError="1"/>
      <sheetData sheetId="1840" refreshError="1"/>
      <sheetData sheetId="1841" refreshError="1"/>
      <sheetData sheetId="1842" refreshError="1"/>
      <sheetData sheetId="1843" refreshError="1"/>
      <sheetData sheetId="1844" refreshError="1"/>
      <sheetData sheetId="1845" refreshError="1"/>
      <sheetData sheetId="1846" refreshError="1"/>
      <sheetData sheetId="1847" refreshError="1"/>
      <sheetData sheetId="1848" refreshError="1"/>
      <sheetData sheetId="1849" refreshError="1"/>
      <sheetData sheetId="1850" refreshError="1"/>
      <sheetData sheetId="1851" refreshError="1"/>
      <sheetData sheetId="1852" refreshError="1"/>
      <sheetData sheetId="1853" refreshError="1"/>
      <sheetData sheetId="1854" refreshError="1"/>
      <sheetData sheetId="1855" refreshError="1"/>
      <sheetData sheetId="1856" refreshError="1"/>
      <sheetData sheetId="1857" refreshError="1"/>
      <sheetData sheetId="1858" refreshError="1"/>
      <sheetData sheetId="1859" refreshError="1"/>
      <sheetData sheetId="1860" refreshError="1"/>
      <sheetData sheetId="1861" refreshError="1"/>
      <sheetData sheetId="1862" refreshError="1"/>
      <sheetData sheetId="1863" refreshError="1"/>
      <sheetData sheetId="1864" refreshError="1"/>
      <sheetData sheetId="1865" refreshError="1"/>
      <sheetData sheetId="1866" refreshError="1"/>
      <sheetData sheetId="1867" refreshError="1"/>
      <sheetData sheetId="1868" refreshError="1"/>
      <sheetData sheetId="1869" refreshError="1"/>
      <sheetData sheetId="1870" refreshError="1"/>
      <sheetData sheetId="1871" refreshError="1"/>
      <sheetData sheetId="1872" refreshError="1"/>
      <sheetData sheetId="1873" refreshError="1"/>
      <sheetData sheetId="1874" refreshError="1"/>
      <sheetData sheetId="1875" refreshError="1"/>
      <sheetData sheetId="1876" refreshError="1"/>
      <sheetData sheetId="1877" refreshError="1"/>
      <sheetData sheetId="1878" refreshError="1"/>
      <sheetData sheetId="1879" refreshError="1"/>
      <sheetData sheetId="1880" refreshError="1"/>
      <sheetData sheetId="1881" refreshError="1"/>
      <sheetData sheetId="1882" refreshError="1"/>
      <sheetData sheetId="1883" refreshError="1"/>
      <sheetData sheetId="1884" refreshError="1"/>
      <sheetData sheetId="1885" refreshError="1"/>
      <sheetData sheetId="1886" refreshError="1"/>
      <sheetData sheetId="1887" refreshError="1"/>
      <sheetData sheetId="1888" refreshError="1"/>
      <sheetData sheetId="1889" refreshError="1"/>
      <sheetData sheetId="1890" refreshError="1"/>
      <sheetData sheetId="1891" refreshError="1"/>
      <sheetData sheetId="1892" refreshError="1"/>
      <sheetData sheetId="1893" refreshError="1"/>
      <sheetData sheetId="1894" refreshError="1"/>
      <sheetData sheetId="1895" refreshError="1"/>
      <sheetData sheetId="1896" refreshError="1"/>
      <sheetData sheetId="1897" refreshError="1"/>
      <sheetData sheetId="1898" refreshError="1"/>
      <sheetData sheetId="1899" refreshError="1"/>
      <sheetData sheetId="1900" refreshError="1"/>
      <sheetData sheetId="1901" refreshError="1"/>
      <sheetData sheetId="1902" refreshError="1"/>
      <sheetData sheetId="1903" refreshError="1"/>
      <sheetData sheetId="1904" refreshError="1"/>
      <sheetData sheetId="1905" refreshError="1"/>
      <sheetData sheetId="1906" refreshError="1"/>
      <sheetData sheetId="1907" refreshError="1"/>
      <sheetData sheetId="1908" refreshError="1"/>
      <sheetData sheetId="1909" refreshError="1"/>
      <sheetData sheetId="1910" refreshError="1"/>
      <sheetData sheetId="1911" refreshError="1"/>
      <sheetData sheetId="1912" refreshError="1"/>
      <sheetData sheetId="1913" refreshError="1"/>
      <sheetData sheetId="1914" refreshError="1"/>
      <sheetData sheetId="1915" refreshError="1"/>
      <sheetData sheetId="1916" refreshError="1"/>
      <sheetData sheetId="1917" refreshError="1"/>
      <sheetData sheetId="1918" refreshError="1"/>
      <sheetData sheetId="1919" refreshError="1"/>
      <sheetData sheetId="1920" refreshError="1"/>
      <sheetData sheetId="1921" refreshError="1"/>
      <sheetData sheetId="1922" refreshError="1"/>
      <sheetData sheetId="1923" refreshError="1"/>
      <sheetData sheetId="1924" refreshError="1"/>
      <sheetData sheetId="1925" refreshError="1"/>
      <sheetData sheetId="1926" refreshError="1"/>
      <sheetData sheetId="1927" refreshError="1"/>
      <sheetData sheetId="1928" refreshError="1"/>
      <sheetData sheetId="1929" refreshError="1"/>
      <sheetData sheetId="1930" refreshError="1"/>
      <sheetData sheetId="1931" refreshError="1"/>
      <sheetData sheetId="1932" refreshError="1"/>
      <sheetData sheetId="1933" refreshError="1"/>
      <sheetData sheetId="1934" refreshError="1"/>
      <sheetData sheetId="1935" refreshError="1"/>
      <sheetData sheetId="1936" refreshError="1"/>
      <sheetData sheetId="1937" refreshError="1"/>
      <sheetData sheetId="1938" refreshError="1"/>
      <sheetData sheetId="1939" refreshError="1"/>
      <sheetData sheetId="1940" refreshError="1"/>
      <sheetData sheetId="1941" refreshError="1"/>
      <sheetData sheetId="1942" refreshError="1"/>
      <sheetData sheetId="1943" refreshError="1"/>
      <sheetData sheetId="1944" refreshError="1"/>
      <sheetData sheetId="1945" refreshError="1"/>
      <sheetData sheetId="1946" refreshError="1"/>
      <sheetData sheetId="1947" refreshError="1"/>
      <sheetData sheetId="1948" refreshError="1"/>
      <sheetData sheetId="1949" refreshError="1"/>
      <sheetData sheetId="1950" refreshError="1"/>
      <sheetData sheetId="1951" refreshError="1"/>
      <sheetData sheetId="1952" refreshError="1"/>
      <sheetData sheetId="1953" refreshError="1"/>
      <sheetData sheetId="1954" refreshError="1"/>
      <sheetData sheetId="1955" refreshError="1"/>
      <sheetData sheetId="1956" refreshError="1"/>
      <sheetData sheetId="1957" refreshError="1"/>
      <sheetData sheetId="1958" refreshError="1"/>
      <sheetData sheetId="1959" refreshError="1"/>
      <sheetData sheetId="1960" refreshError="1"/>
      <sheetData sheetId="1961" refreshError="1"/>
      <sheetData sheetId="1962" refreshError="1"/>
      <sheetData sheetId="1963" refreshError="1"/>
      <sheetData sheetId="1964" refreshError="1"/>
      <sheetData sheetId="1965" refreshError="1"/>
      <sheetData sheetId="1966" refreshError="1"/>
      <sheetData sheetId="1967" refreshError="1"/>
      <sheetData sheetId="1968" refreshError="1"/>
      <sheetData sheetId="1969" refreshError="1"/>
      <sheetData sheetId="1970" refreshError="1"/>
      <sheetData sheetId="1971" refreshError="1"/>
      <sheetData sheetId="1972" refreshError="1"/>
      <sheetData sheetId="1973" refreshError="1"/>
      <sheetData sheetId="1974" refreshError="1"/>
      <sheetData sheetId="1975" refreshError="1"/>
      <sheetData sheetId="1976" refreshError="1"/>
      <sheetData sheetId="1977" refreshError="1"/>
      <sheetData sheetId="1978" refreshError="1"/>
      <sheetData sheetId="1979" refreshError="1"/>
      <sheetData sheetId="1980" refreshError="1"/>
      <sheetData sheetId="1981" refreshError="1"/>
      <sheetData sheetId="1982" refreshError="1"/>
      <sheetData sheetId="1983" refreshError="1"/>
      <sheetData sheetId="1984" refreshError="1"/>
      <sheetData sheetId="1985" refreshError="1"/>
      <sheetData sheetId="1986" refreshError="1"/>
      <sheetData sheetId="1987" refreshError="1"/>
      <sheetData sheetId="1988" refreshError="1"/>
      <sheetData sheetId="1989" refreshError="1"/>
      <sheetData sheetId="1990" refreshError="1"/>
      <sheetData sheetId="1991" refreshError="1"/>
      <sheetData sheetId="1992" refreshError="1"/>
      <sheetData sheetId="1993" refreshError="1"/>
      <sheetData sheetId="1994" refreshError="1"/>
      <sheetData sheetId="1995" refreshError="1"/>
      <sheetData sheetId="1996" refreshError="1"/>
      <sheetData sheetId="1997" refreshError="1"/>
      <sheetData sheetId="1998" refreshError="1"/>
      <sheetData sheetId="1999" refreshError="1"/>
      <sheetData sheetId="2000" refreshError="1"/>
      <sheetData sheetId="2001" refreshError="1"/>
      <sheetData sheetId="2002" refreshError="1"/>
      <sheetData sheetId="2003" refreshError="1"/>
      <sheetData sheetId="2004" refreshError="1"/>
      <sheetData sheetId="2005" refreshError="1"/>
      <sheetData sheetId="2006" refreshError="1"/>
      <sheetData sheetId="2007" refreshError="1"/>
      <sheetData sheetId="2008" refreshError="1"/>
      <sheetData sheetId="2009" refreshError="1"/>
      <sheetData sheetId="2010" refreshError="1"/>
      <sheetData sheetId="2011" refreshError="1"/>
      <sheetData sheetId="2012" refreshError="1"/>
      <sheetData sheetId="2013" refreshError="1"/>
      <sheetData sheetId="2014" refreshError="1"/>
      <sheetData sheetId="2015" refreshError="1"/>
      <sheetData sheetId="2016" refreshError="1"/>
      <sheetData sheetId="2017" refreshError="1"/>
      <sheetData sheetId="2018" refreshError="1"/>
      <sheetData sheetId="2019" refreshError="1"/>
      <sheetData sheetId="2020" refreshError="1"/>
      <sheetData sheetId="2021" refreshError="1"/>
      <sheetData sheetId="2022" refreshError="1"/>
      <sheetData sheetId="2023" refreshError="1"/>
      <sheetData sheetId="2024" refreshError="1"/>
      <sheetData sheetId="2025" refreshError="1"/>
      <sheetData sheetId="2026" refreshError="1"/>
      <sheetData sheetId="2027" refreshError="1"/>
      <sheetData sheetId="2028" refreshError="1"/>
      <sheetData sheetId="2029" refreshError="1"/>
      <sheetData sheetId="2030" refreshError="1"/>
      <sheetData sheetId="2031" refreshError="1"/>
      <sheetData sheetId="2032" refreshError="1"/>
      <sheetData sheetId="2033" refreshError="1"/>
      <sheetData sheetId="2034" refreshError="1"/>
      <sheetData sheetId="2035" refreshError="1"/>
      <sheetData sheetId="2036" refreshError="1"/>
      <sheetData sheetId="2037" refreshError="1"/>
      <sheetData sheetId="2038" refreshError="1"/>
      <sheetData sheetId="2039" refreshError="1"/>
      <sheetData sheetId="2040" refreshError="1"/>
      <sheetData sheetId="2041" refreshError="1"/>
      <sheetData sheetId="2042" refreshError="1"/>
      <sheetData sheetId="2043" refreshError="1"/>
      <sheetData sheetId="2044" refreshError="1"/>
      <sheetData sheetId="2045" refreshError="1"/>
      <sheetData sheetId="2046" refreshError="1"/>
      <sheetData sheetId="2047" refreshError="1"/>
      <sheetData sheetId="2048" refreshError="1"/>
      <sheetData sheetId="2049" refreshError="1"/>
      <sheetData sheetId="2050" refreshError="1"/>
      <sheetData sheetId="2051" refreshError="1"/>
      <sheetData sheetId="2052" refreshError="1"/>
      <sheetData sheetId="2053" refreshError="1"/>
      <sheetData sheetId="2054" refreshError="1"/>
      <sheetData sheetId="2055" refreshError="1"/>
      <sheetData sheetId="2056" refreshError="1"/>
      <sheetData sheetId="2057" refreshError="1"/>
      <sheetData sheetId="2058" refreshError="1"/>
      <sheetData sheetId="2059" refreshError="1"/>
      <sheetData sheetId="2060" refreshError="1"/>
      <sheetData sheetId="2061" refreshError="1"/>
      <sheetData sheetId="2062" refreshError="1"/>
      <sheetData sheetId="2063" refreshError="1"/>
      <sheetData sheetId="2064" refreshError="1"/>
      <sheetData sheetId="2065" refreshError="1"/>
      <sheetData sheetId="2066" refreshError="1"/>
      <sheetData sheetId="2067" refreshError="1"/>
      <sheetData sheetId="2068" refreshError="1"/>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refreshError="1"/>
      <sheetData sheetId="2080" refreshError="1"/>
      <sheetData sheetId="2081" refreshError="1"/>
      <sheetData sheetId="2082" refreshError="1"/>
      <sheetData sheetId="2083" refreshError="1"/>
      <sheetData sheetId="2084" refreshError="1"/>
      <sheetData sheetId="2085" refreshError="1"/>
      <sheetData sheetId="2086" refreshError="1"/>
      <sheetData sheetId="2087" refreshError="1"/>
      <sheetData sheetId="2088" refreshError="1"/>
      <sheetData sheetId="2089" refreshError="1"/>
      <sheetData sheetId="2090" refreshError="1"/>
      <sheetData sheetId="2091" refreshError="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refreshError="1"/>
      <sheetData sheetId="2103" refreshError="1"/>
      <sheetData sheetId="2104" refreshError="1"/>
      <sheetData sheetId="2105" refreshError="1"/>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refreshError="1"/>
      <sheetData sheetId="2188" refreshError="1"/>
      <sheetData sheetId="2189" refreshError="1"/>
      <sheetData sheetId="2190" refreshError="1"/>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efreshError="1"/>
      <sheetData sheetId="2281" refreshError="1"/>
      <sheetData sheetId="2282" refreshError="1"/>
      <sheetData sheetId="2283" refreshError="1"/>
      <sheetData sheetId="2284" refreshError="1"/>
      <sheetData sheetId="2285" refreshError="1"/>
      <sheetData sheetId="2286" refreshError="1"/>
      <sheetData sheetId="2287" refreshError="1"/>
      <sheetData sheetId="2288" refreshError="1"/>
      <sheetData sheetId="2289" refreshError="1"/>
      <sheetData sheetId="2290" refreshError="1"/>
      <sheetData sheetId="2291" refreshError="1"/>
      <sheetData sheetId="2292" refreshError="1"/>
      <sheetData sheetId="2293" refreshError="1"/>
      <sheetData sheetId="2294" refreshError="1"/>
      <sheetData sheetId="2295" refreshError="1"/>
      <sheetData sheetId="2296" refreshError="1"/>
      <sheetData sheetId="2297" refreshError="1"/>
      <sheetData sheetId="2298" refreshError="1"/>
      <sheetData sheetId="2299" refreshError="1"/>
      <sheetData sheetId="2300" refreshError="1"/>
      <sheetData sheetId="2301" refreshError="1"/>
      <sheetData sheetId="2302" refreshError="1"/>
      <sheetData sheetId="2303" refreshError="1"/>
      <sheetData sheetId="2304" refreshError="1"/>
      <sheetData sheetId="2305" refreshError="1"/>
      <sheetData sheetId="2306" refreshError="1"/>
      <sheetData sheetId="2307" refreshError="1"/>
      <sheetData sheetId="2308" refreshError="1"/>
      <sheetData sheetId="2309" refreshError="1"/>
      <sheetData sheetId="2310" refreshError="1"/>
      <sheetData sheetId="2311" refreshError="1"/>
      <sheetData sheetId="2312" refreshError="1"/>
      <sheetData sheetId="2313" refreshError="1"/>
      <sheetData sheetId="2314" refreshError="1"/>
      <sheetData sheetId="2315" refreshError="1"/>
      <sheetData sheetId="2316" refreshError="1"/>
      <sheetData sheetId="2317" refreshError="1"/>
      <sheetData sheetId="2318" refreshError="1"/>
      <sheetData sheetId="2319" refreshError="1"/>
      <sheetData sheetId="2320" refreshError="1"/>
      <sheetData sheetId="2321" refreshError="1"/>
      <sheetData sheetId="2322" refreshError="1"/>
      <sheetData sheetId="2323" refreshError="1"/>
      <sheetData sheetId="2324" refreshError="1"/>
      <sheetData sheetId="2325" refreshError="1"/>
      <sheetData sheetId="2326" refreshError="1"/>
      <sheetData sheetId="2327" refreshError="1"/>
      <sheetData sheetId="2328" refreshError="1"/>
      <sheetData sheetId="2329" refreshError="1"/>
      <sheetData sheetId="2330" refreshError="1"/>
      <sheetData sheetId="2331" refreshError="1"/>
      <sheetData sheetId="2332" refreshError="1"/>
      <sheetData sheetId="2333" refreshError="1"/>
      <sheetData sheetId="2334" refreshError="1"/>
      <sheetData sheetId="2335" refreshError="1"/>
      <sheetData sheetId="2336" refreshError="1"/>
      <sheetData sheetId="2337" refreshError="1"/>
      <sheetData sheetId="2338" refreshError="1"/>
      <sheetData sheetId="2339" refreshError="1"/>
      <sheetData sheetId="2340" refreshError="1"/>
      <sheetData sheetId="2341" refreshError="1"/>
      <sheetData sheetId="2342" refreshError="1"/>
      <sheetData sheetId="2343" refreshError="1"/>
      <sheetData sheetId="2344" refreshError="1"/>
      <sheetData sheetId="2345" refreshError="1"/>
      <sheetData sheetId="2346" refreshError="1"/>
      <sheetData sheetId="2347" refreshError="1"/>
      <sheetData sheetId="2348" refreshError="1"/>
      <sheetData sheetId="2349" refreshError="1"/>
      <sheetData sheetId="2350" refreshError="1"/>
      <sheetData sheetId="2351" refreshError="1"/>
      <sheetData sheetId="2352" refreshError="1"/>
      <sheetData sheetId="2353" refreshError="1"/>
      <sheetData sheetId="2354" refreshError="1"/>
      <sheetData sheetId="2355" refreshError="1"/>
      <sheetData sheetId="2356" refreshError="1"/>
      <sheetData sheetId="2357" refreshError="1"/>
      <sheetData sheetId="2358" refreshError="1"/>
      <sheetData sheetId="2359" refreshError="1"/>
      <sheetData sheetId="2360" refreshError="1"/>
      <sheetData sheetId="2361" refreshError="1"/>
      <sheetData sheetId="2362" refreshError="1"/>
      <sheetData sheetId="2363" refreshError="1"/>
      <sheetData sheetId="2364" refreshError="1"/>
      <sheetData sheetId="2365" refreshError="1"/>
      <sheetData sheetId="2366" refreshError="1"/>
      <sheetData sheetId="2367" refreshError="1"/>
      <sheetData sheetId="2368" refreshError="1"/>
      <sheetData sheetId="2369" refreshError="1"/>
      <sheetData sheetId="2370" refreshError="1"/>
      <sheetData sheetId="2371" refreshError="1"/>
      <sheetData sheetId="2372" refreshError="1"/>
      <sheetData sheetId="2373" refreshError="1"/>
      <sheetData sheetId="2374" refreshError="1"/>
      <sheetData sheetId="2375" refreshError="1"/>
      <sheetData sheetId="2376" refreshError="1"/>
      <sheetData sheetId="2377" refreshError="1"/>
      <sheetData sheetId="2378" refreshError="1"/>
      <sheetData sheetId="2379" refreshError="1"/>
      <sheetData sheetId="2380" refreshError="1"/>
      <sheetData sheetId="2381" refreshError="1"/>
      <sheetData sheetId="2382" refreshError="1"/>
      <sheetData sheetId="2383" refreshError="1"/>
      <sheetData sheetId="2384" refreshError="1"/>
      <sheetData sheetId="2385" refreshError="1"/>
      <sheetData sheetId="2386" refreshError="1"/>
      <sheetData sheetId="2387" refreshError="1"/>
      <sheetData sheetId="2388" refreshError="1"/>
      <sheetData sheetId="2389" refreshError="1"/>
      <sheetData sheetId="2390" refreshError="1"/>
      <sheetData sheetId="2391" refreshError="1"/>
      <sheetData sheetId="2392" refreshError="1"/>
      <sheetData sheetId="2393" refreshError="1"/>
      <sheetData sheetId="2394" refreshError="1"/>
      <sheetData sheetId="2395" refreshError="1"/>
      <sheetData sheetId="2396" refreshError="1"/>
      <sheetData sheetId="2397" refreshError="1"/>
      <sheetData sheetId="2398" refreshError="1"/>
      <sheetData sheetId="2399" refreshError="1"/>
      <sheetData sheetId="2400" refreshError="1"/>
      <sheetData sheetId="2401" refreshError="1"/>
      <sheetData sheetId="2402" refreshError="1"/>
      <sheetData sheetId="2403" refreshError="1"/>
      <sheetData sheetId="2404" refreshError="1"/>
      <sheetData sheetId="2405" refreshError="1"/>
      <sheetData sheetId="2406" refreshError="1"/>
      <sheetData sheetId="2407" refreshError="1"/>
      <sheetData sheetId="2408" refreshError="1"/>
      <sheetData sheetId="2409" refreshError="1"/>
      <sheetData sheetId="2410" refreshError="1"/>
      <sheetData sheetId="2411" refreshError="1"/>
      <sheetData sheetId="2412" refreshError="1"/>
      <sheetData sheetId="2413" refreshError="1"/>
      <sheetData sheetId="2414" refreshError="1"/>
      <sheetData sheetId="2415" refreshError="1"/>
      <sheetData sheetId="2416" refreshError="1"/>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refreshError="1"/>
      <sheetData sheetId="2427" refreshError="1"/>
      <sheetData sheetId="2428" refreshError="1"/>
      <sheetData sheetId="2429" refreshError="1"/>
      <sheetData sheetId="2430" refreshError="1"/>
      <sheetData sheetId="2431" refreshError="1"/>
      <sheetData sheetId="2432" refreshError="1"/>
      <sheetData sheetId="2433" refreshError="1"/>
      <sheetData sheetId="2434" refreshError="1"/>
      <sheetData sheetId="2435" refreshError="1"/>
      <sheetData sheetId="2436" refreshError="1"/>
      <sheetData sheetId="2437" refreshError="1"/>
      <sheetData sheetId="2438" refreshError="1"/>
      <sheetData sheetId="2439" refreshError="1"/>
      <sheetData sheetId="2440" refreshError="1"/>
      <sheetData sheetId="2441" refreshError="1"/>
      <sheetData sheetId="2442" refreshError="1"/>
      <sheetData sheetId="2443" refreshError="1"/>
      <sheetData sheetId="2444" refreshError="1"/>
      <sheetData sheetId="2445" refreshError="1"/>
      <sheetData sheetId="2446" refreshError="1"/>
      <sheetData sheetId="2447" refreshError="1"/>
      <sheetData sheetId="2448" refreshError="1"/>
      <sheetData sheetId="2449" refreshError="1"/>
      <sheetData sheetId="2450" refreshError="1"/>
      <sheetData sheetId="2451" refreshError="1"/>
      <sheetData sheetId="2452" refreshError="1"/>
      <sheetData sheetId="2453" refreshError="1"/>
      <sheetData sheetId="2454" refreshError="1"/>
      <sheetData sheetId="2455" refreshError="1"/>
      <sheetData sheetId="2456" refreshError="1"/>
      <sheetData sheetId="2457" refreshError="1"/>
      <sheetData sheetId="2458" refreshError="1"/>
      <sheetData sheetId="2459" refreshError="1"/>
      <sheetData sheetId="2460" refreshError="1"/>
      <sheetData sheetId="2461" refreshError="1"/>
      <sheetData sheetId="2462" refreshError="1"/>
      <sheetData sheetId="2463" refreshError="1"/>
      <sheetData sheetId="2464" refreshError="1"/>
      <sheetData sheetId="2465" refreshError="1"/>
      <sheetData sheetId="2466" refreshError="1"/>
      <sheetData sheetId="2467" refreshError="1"/>
      <sheetData sheetId="2468" refreshError="1"/>
      <sheetData sheetId="2469" refreshError="1"/>
      <sheetData sheetId="2470" refreshError="1"/>
      <sheetData sheetId="2471" refreshError="1"/>
      <sheetData sheetId="2472" refreshError="1"/>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refreshError="1"/>
      <sheetData sheetId="2495" refreshError="1"/>
      <sheetData sheetId="2496" refreshError="1"/>
      <sheetData sheetId="2497" refreshError="1"/>
      <sheetData sheetId="2498" refreshError="1"/>
      <sheetData sheetId="2499" refreshError="1"/>
      <sheetData sheetId="2500" refreshError="1"/>
      <sheetData sheetId="2501" refreshError="1"/>
      <sheetData sheetId="2502" refreshError="1"/>
      <sheetData sheetId="2503" refreshError="1"/>
      <sheetData sheetId="2504" refreshError="1"/>
      <sheetData sheetId="2505" refreshError="1"/>
      <sheetData sheetId="2506"/>
      <sheetData sheetId="2507"/>
      <sheetData sheetId="2508"/>
      <sheetData sheetId="2509"/>
      <sheetData sheetId="2510"/>
      <sheetData sheetId="2511"/>
      <sheetData sheetId="2512"/>
      <sheetData sheetId="2513"/>
      <sheetData sheetId="2514"/>
      <sheetData sheetId="2515"/>
      <sheetData sheetId="2516"/>
      <sheetData sheetId="2517"/>
      <sheetData sheetId="2518"/>
      <sheetData sheetId="2519"/>
      <sheetData sheetId="2520"/>
      <sheetData sheetId="2521"/>
      <sheetData sheetId="2522"/>
      <sheetData sheetId="2523"/>
      <sheetData sheetId="2524"/>
      <sheetData sheetId="2525"/>
      <sheetData sheetId="2526"/>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sheetData sheetId="2588"/>
      <sheetData sheetId="2589"/>
      <sheetData sheetId="2590"/>
      <sheetData sheetId="2591"/>
      <sheetData sheetId="2592"/>
      <sheetData sheetId="2593"/>
      <sheetData sheetId="2594"/>
      <sheetData sheetId="2595"/>
      <sheetData sheetId="2596"/>
      <sheetData sheetId="2597"/>
      <sheetData sheetId="2598"/>
      <sheetData sheetId="2599"/>
      <sheetData sheetId="2600"/>
      <sheetData sheetId="2601"/>
      <sheetData sheetId="2602"/>
      <sheetData sheetId="2603"/>
      <sheetData sheetId="2604"/>
      <sheetData sheetId="2605"/>
      <sheetData sheetId="2606"/>
      <sheetData sheetId="2607"/>
      <sheetData sheetId="2608"/>
      <sheetData sheetId="2609"/>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refreshError="1"/>
      <sheetData sheetId="2628" refreshError="1"/>
      <sheetData sheetId="2629" refreshError="1"/>
      <sheetData sheetId="2630" refreshError="1"/>
      <sheetData sheetId="2631" refreshError="1"/>
      <sheetData sheetId="2632" refreshError="1"/>
      <sheetData sheetId="2633" refreshError="1"/>
      <sheetData sheetId="2634" refreshError="1"/>
      <sheetData sheetId="2635" refreshError="1"/>
      <sheetData sheetId="2636">
        <row r="1">
          <cell r="A1" t="str">
            <v>PHIẾU XỬ LÝ HỒ SƠ THANH TOÁN VƯỢT THẨM QUYỀN PD</v>
          </cell>
        </row>
      </sheetData>
      <sheetData sheetId="2637">
        <row r="1">
          <cell r="A1" t="str">
            <v>PHIẾU XỬ LÝ HỒ SƠ THANH TOÁN VƯỢT THẨM QUYỀN PD</v>
          </cell>
        </row>
      </sheetData>
      <sheetData sheetId="2638">
        <row r="1">
          <cell r="A1" t="str">
            <v>PHIẾU XỬ LÝ HỒ SƠ THANH TOÁN VƯỢT THẨM QUYỀN PD</v>
          </cell>
        </row>
      </sheetData>
      <sheetData sheetId="2639">
        <row r="1">
          <cell r="A1" t="str">
            <v>PHIẾU XỬ LÝ HỒ SƠ THANH TOÁN VƯỢT THẨM QUYỀN PD</v>
          </cell>
        </row>
      </sheetData>
      <sheetData sheetId="2640">
        <row r="1">
          <cell r="A1" t="str">
            <v>PHIẾU XỬ LÝ HỒ SƠ THANH TOÁN VƯỢT THẨM QUYỀN PD</v>
          </cell>
        </row>
      </sheetData>
      <sheetData sheetId="2641">
        <row r="1">
          <cell r="A1" t="str">
            <v>PHIẾU XỬ LÝ HỒ SƠ THANH TOÁN VƯỢT THẨM QUYỀN PD</v>
          </cell>
        </row>
      </sheetData>
      <sheetData sheetId="2642">
        <row r="1">
          <cell r="A1" t="str">
            <v>PHIẾU XỬ LÝ HỒ SƠ THANH TOÁN VƯỢT THẨM QUYỀN PD</v>
          </cell>
        </row>
      </sheetData>
      <sheetData sheetId="2643">
        <row r="1">
          <cell r="A1" t="str">
            <v>PHIẾU XỬ LÝ HỒ SƠ THANH TOÁN VƯỢT THẨM QUYỀN PD</v>
          </cell>
        </row>
      </sheetData>
      <sheetData sheetId="2644">
        <row r="1">
          <cell r="A1" t="str">
            <v>PHIẾU XỬ LÝ HỒ SƠ THANH TOÁN VƯỢT THẨM QUYỀN PD</v>
          </cell>
        </row>
      </sheetData>
      <sheetData sheetId="2645">
        <row r="1">
          <cell r="A1" t="str">
            <v>PHIẾU XỬ LÝ HỒ SƠ THANH TOÁN VƯỢT THẨM QUYỀN PD</v>
          </cell>
        </row>
      </sheetData>
      <sheetData sheetId="2646">
        <row r="1">
          <cell r="A1" t="str">
            <v>PHIẾU XỬ LÝ HỒ SƠ THANH TOÁN VƯỢT THẨM QUYỀN PD</v>
          </cell>
        </row>
      </sheetData>
      <sheetData sheetId="2647">
        <row r="1">
          <cell r="A1" t="str">
            <v>PHIẾU XỬ LÝ HỒ SƠ THANH TOÁN VƯỢT THẨM QUYỀN PD</v>
          </cell>
        </row>
      </sheetData>
      <sheetData sheetId="2648">
        <row r="1">
          <cell r="A1" t="str">
            <v>PHIẾU XỬ LÝ HỒ SƠ THANH TOÁN VƯỢT THẨM QUYỀN PD</v>
          </cell>
        </row>
      </sheetData>
      <sheetData sheetId="2649">
        <row r="1">
          <cell r="A1" t="str">
            <v>PHIẾU XỬ LÝ HỒ SƠ THANH TOÁN VƯỢT THẨM QUYỀN PD</v>
          </cell>
        </row>
      </sheetData>
      <sheetData sheetId="2650">
        <row r="1">
          <cell r="A1" t="str">
            <v>PHIẾU XỬ LÝ HỒ SƠ THANH TOÁN VƯỢT THẨM QUYỀN PD</v>
          </cell>
        </row>
      </sheetData>
      <sheetData sheetId="2651">
        <row r="1">
          <cell r="A1" t="str">
            <v>PHIẾU XỬ LÝ HỒ SƠ THANH TOÁN VƯỢT THẨM QUYỀN PD</v>
          </cell>
        </row>
      </sheetData>
      <sheetData sheetId="2652">
        <row r="1">
          <cell r="A1" t="str">
            <v>PHIẾU XỬ LÝ HỒ SƠ THANH TOÁN VƯỢT THẨM QUYỀN PD</v>
          </cell>
        </row>
      </sheetData>
      <sheetData sheetId="2653">
        <row r="1">
          <cell r="A1" t="str">
            <v>PHIẾU XỬ LÝ HỒ SƠ THANH TOÁN VƯỢT THẨM QUYỀN PD</v>
          </cell>
        </row>
      </sheetData>
      <sheetData sheetId="2654">
        <row r="1">
          <cell r="A1" t="str">
            <v>PHIẾU XỬ LÝ HỒ SƠ THANH TOÁN VƯỢT THẨM QUYỀN PD</v>
          </cell>
        </row>
      </sheetData>
      <sheetData sheetId="2655">
        <row r="1">
          <cell r="A1" t="str">
            <v>PHIẾU XỬ LÝ HỒ SƠ THANH TOÁN VƯỢT THẨM QUYỀN PD</v>
          </cell>
        </row>
      </sheetData>
      <sheetData sheetId="2656">
        <row r="1">
          <cell r="A1" t="str">
            <v>PHIẾU XỬ LÝ HỒ SƠ THANH TOÁN VƯỢT THẨM QUYỀN PD</v>
          </cell>
        </row>
      </sheetData>
      <sheetData sheetId="2657">
        <row r="1">
          <cell r="A1" t="str">
            <v>PHIẾU XỬ LÝ HỒ SƠ THANH TOÁN VƯỢT THẨM QUYỀN PD</v>
          </cell>
        </row>
      </sheetData>
      <sheetData sheetId="2658">
        <row r="1">
          <cell r="A1" t="str">
            <v>PHIẾU XỬ LÝ HỒ SƠ THANH TOÁN VƯỢT THẨM QUYỀN PD</v>
          </cell>
        </row>
      </sheetData>
      <sheetData sheetId="2659">
        <row r="1">
          <cell r="A1" t="str">
            <v>PHIẾU XỬ LÝ HỒ SƠ THANH TOÁN VƯỢT THẨM QUYỀN PD</v>
          </cell>
        </row>
      </sheetData>
      <sheetData sheetId="2660">
        <row r="1">
          <cell r="A1" t="str">
            <v>PHIẾU XỬ LÝ HỒ SƠ THANH TOÁN VƯỢT THẨM QUYỀN PD</v>
          </cell>
        </row>
      </sheetData>
      <sheetData sheetId="2661">
        <row r="1">
          <cell r="A1" t="str">
            <v>PHIẾU XỬ LÝ HỒ SƠ THANH TOÁN VƯỢT THẨM QUYỀN PD</v>
          </cell>
        </row>
      </sheetData>
      <sheetData sheetId="2662"/>
      <sheetData sheetId="2663"/>
      <sheetData sheetId="2664">
        <row r="1">
          <cell r="A1" t="str">
            <v>PHIẾU XỬ LÝ HỒ SƠ THANH TOÁN VƯỢT THẨM QUYỀN PD</v>
          </cell>
        </row>
      </sheetData>
      <sheetData sheetId="2665">
        <row r="1">
          <cell r="A1" t="str">
            <v>PHIẾU XỬ LÝ HỒ SƠ THANH TOÁN VƯỢT THẨM QUYỀN PD</v>
          </cell>
        </row>
      </sheetData>
      <sheetData sheetId="2666"/>
      <sheetData sheetId="2667">
        <row r="1">
          <cell r="A1" t="str">
            <v>PHIẾU XỬ LÝ HỒ SƠ THANH TOÁN VƯỢT THẨM QUYỀN PD</v>
          </cell>
        </row>
      </sheetData>
      <sheetData sheetId="2668">
        <row r="1">
          <cell r="A1" t="str">
            <v>PHIẾU XỬ LÝ HỒ SƠ THANH TOÁN VƯỢT THẨM QUYỀN PD</v>
          </cell>
        </row>
      </sheetData>
      <sheetData sheetId="2669"/>
      <sheetData sheetId="2670">
        <row r="1">
          <cell r="A1" t="str">
            <v>PHIẾU XỬ LÝ HỒ SƠ THANH TOÁN VƯỢT THẨM QUYỀN PD</v>
          </cell>
        </row>
      </sheetData>
      <sheetData sheetId="2671"/>
      <sheetData sheetId="2672" refreshError="1"/>
      <sheetData sheetId="2673" refreshError="1"/>
      <sheetData sheetId="2674" refreshError="1"/>
      <sheetData sheetId="2675" refreshError="1"/>
      <sheetData sheetId="2676" refreshError="1"/>
      <sheetData sheetId="2677" refreshError="1"/>
      <sheetData sheetId="2678" refreshError="1"/>
      <sheetData sheetId="2679" refreshError="1"/>
      <sheetData sheetId="2680" refreshError="1"/>
      <sheetData sheetId="2681" refreshError="1"/>
      <sheetData sheetId="2682" refreshError="1"/>
      <sheetData sheetId="2683" refreshError="1"/>
      <sheetData sheetId="2684" refreshError="1"/>
      <sheetData sheetId="2685" refreshError="1"/>
      <sheetData sheetId="2686" refreshError="1"/>
      <sheetData sheetId="2687" refreshError="1"/>
      <sheetData sheetId="2688" refreshError="1"/>
      <sheetData sheetId="2689" refreshError="1"/>
      <sheetData sheetId="2690" refreshError="1"/>
      <sheetData sheetId="2691" refreshError="1"/>
      <sheetData sheetId="2692" refreshError="1"/>
      <sheetData sheetId="2693" refreshError="1"/>
      <sheetData sheetId="2694" refreshError="1"/>
      <sheetData sheetId="2695" refreshError="1"/>
      <sheetData sheetId="2696" refreshError="1"/>
      <sheetData sheetId="2697" refreshError="1"/>
      <sheetData sheetId="2698" refreshError="1"/>
      <sheetData sheetId="2699" refreshError="1"/>
      <sheetData sheetId="2700" refreshError="1"/>
      <sheetData sheetId="2701" refreshError="1"/>
      <sheetData sheetId="2702" refreshError="1"/>
      <sheetData sheetId="2703" refreshError="1"/>
      <sheetData sheetId="2704" refreshError="1"/>
      <sheetData sheetId="2705" refreshError="1"/>
      <sheetData sheetId="2706" refreshError="1"/>
      <sheetData sheetId="2707" refreshError="1"/>
      <sheetData sheetId="2708" refreshError="1"/>
      <sheetData sheetId="2709" refreshError="1"/>
      <sheetData sheetId="2710" refreshError="1"/>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refreshError="1"/>
      <sheetData sheetId="2727" refreshError="1"/>
      <sheetData sheetId="2728" refreshError="1"/>
      <sheetData sheetId="2729" refreshError="1"/>
      <sheetData sheetId="2730" refreshError="1"/>
      <sheetData sheetId="2731" refreshError="1"/>
      <sheetData sheetId="2732" refreshError="1"/>
      <sheetData sheetId="2733" refreshError="1"/>
      <sheetData sheetId="2734" refreshError="1"/>
      <sheetData sheetId="2735" refreshError="1"/>
      <sheetData sheetId="2736" refreshError="1"/>
      <sheetData sheetId="2737" refreshError="1"/>
      <sheetData sheetId="2738" refreshError="1"/>
      <sheetData sheetId="2739" refreshError="1"/>
      <sheetData sheetId="2740" refreshError="1"/>
      <sheetData sheetId="2741" refreshError="1"/>
      <sheetData sheetId="2742" refreshError="1"/>
      <sheetData sheetId="2743" refreshError="1"/>
      <sheetData sheetId="2744" refreshError="1"/>
      <sheetData sheetId="2745" refreshError="1"/>
      <sheetData sheetId="2746" refreshError="1"/>
      <sheetData sheetId="2747" refreshError="1"/>
      <sheetData sheetId="2748" refreshError="1"/>
      <sheetData sheetId="2749" refreshError="1"/>
      <sheetData sheetId="2750" refreshError="1"/>
      <sheetData sheetId="2751" refreshError="1"/>
      <sheetData sheetId="2752" refreshError="1"/>
      <sheetData sheetId="2753" refreshError="1"/>
      <sheetData sheetId="2754" refreshError="1"/>
      <sheetData sheetId="2755" refreshError="1"/>
      <sheetData sheetId="2756" refreshError="1"/>
      <sheetData sheetId="2757" refreshError="1"/>
      <sheetData sheetId="2758" refreshError="1"/>
      <sheetData sheetId="2759" refreshError="1"/>
      <sheetData sheetId="2760" refreshError="1"/>
      <sheetData sheetId="2761" refreshError="1"/>
      <sheetData sheetId="2762" refreshError="1"/>
      <sheetData sheetId="2763" refreshError="1"/>
      <sheetData sheetId="2764" refreshError="1"/>
      <sheetData sheetId="2765" refreshError="1"/>
      <sheetData sheetId="2766" refreshError="1"/>
      <sheetData sheetId="2767" refreshError="1"/>
      <sheetData sheetId="2768" refreshError="1"/>
      <sheetData sheetId="2769" refreshError="1"/>
      <sheetData sheetId="2770" refreshError="1"/>
      <sheetData sheetId="2771" refreshError="1"/>
      <sheetData sheetId="2772" refreshError="1"/>
      <sheetData sheetId="2773" refreshError="1"/>
      <sheetData sheetId="2774" refreshError="1"/>
      <sheetData sheetId="2775" refreshError="1"/>
      <sheetData sheetId="2776" refreshError="1"/>
      <sheetData sheetId="2777" refreshError="1"/>
      <sheetData sheetId="2778" refreshError="1"/>
      <sheetData sheetId="2779" refreshError="1"/>
      <sheetData sheetId="2780" refreshError="1"/>
      <sheetData sheetId="2781" refreshError="1"/>
      <sheetData sheetId="2782" refreshError="1"/>
      <sheetData sheetId="2783" refreshError="1"/>
      <sheetData sheetId="2784" refreshError="1"/>
      <sheetData sheetId="2785" refreshError="1"/>
      <sheetData sheetId="2786" refreshError="1"/>
      <sheetData sheetId="2787" refreshError="1"/>
      <sheetData sheetId="2788" refreshError="1"/>
      <sheetData sheetId="2789" refreshError="1"/>
      <sheetData sheetId="2790" refreshError="1"/>
      <sheetData sheetId="2791" refreshError="1"/>
      <sheetData sheetId="2792" refreshError="1"/>
      <sheetData sheetId="2793" refreshError="1"/>
      <sheetData sheetId="2794" refreshError="1"/>
      <sheetData sheetId="2795" refreshError="1"/>
      <sheetData sheetId="2796" refreshError="1"/>
      <sheetData sheetId="2797" refreshError="1"/>
      <sheetData sheetId="2798" refreshError="1"/>
      <sheetData sheetId="2799" refreshError="1"/>
      <sheetData sheetId="2800" refreshError="1"/>
      <sheetData sheetId="2801" refreshError="1"/>
      <sheetData sheetId="2802" refreshError="1"/>
      <sheetData sheetId="2803" refreshError="1"/>
      <sheetData sheetId="2804" refreshError="1"/>
      <sheetData sheetId="2805" refreshError="1"/>
      <sheetData sheetId="2806" refreshError="1"/>
      <sheetData sheetId="2807" refreshError="1"/>
      <sheetData sheetId="2808" refreshError="1"/>
      <sheetData sheetId="2809" refreshError="1"/>
      <sheetData sheetId="2810" refreshError="1"/>
      <sheetData sheetId="2811" refreshError="1"/>
      <sheetData sheetId="2812" refreshError="1"/>
      <sheetData sheetId="2813" refreshError="1"/>
      <sheetData sheetId="2814" refreshError="1"/>
      <sheetData sheetId="2815" refreshError="1"/>
      <sheetData sheetId="2816" refreshError="1"/>
      <sheetData sheetId="2817" refreshError="1"/>
      <sheetData sheetId="2818" refreshError="1"/>
      <sheetData sheetId="2819" refreshError="1"/>
      <sheetData sheetId="2820" refreshError="1"/>
      <sheetData sheetId="2821" refreshError="1"/>
      <sheetData sheetId="2822" refreshError="1"/>
      <sheetData sheetId="2823" refreshError="1"/>
      <sheetData sheetId="2824" refreshError="1"/>
      <sheetData sheetId="2825" refreshError="1"/>
      <sheetData sheetId="2826" refreshError="1"/>
      <sheetData sheetId="2827" refreshError="1"/>
      <sheetData sheetId="2828" refreshError="1"/>
      <sheetData sheetId="2829" refreshError="1"/>
      <sheetData sheetId="2830" refreshError="1"/>
      <sheetData sheetId="2831" refreshError="1"/>
      <sheetData sheetId="2832" refreshError="1"/>
      <sheetData sheetId="2833" refreshError="1"/>
      <sheetData sheetId="2834" refreshError="1"/>
      <sheetData sheetId="2835" refreshError="1"/>
      <sheetData sheetId="2836" refreshError="1"/>
      <sheetData sheetId="2837" refreshError="1"/>
      <sheetData sheetId="2838" refreshError="1"/>
      <sheetData sheetId="2839" refreshError="1"/>
      <sheetData sheetId="2840" refreshError="1"/>
      <sheetData sheetId="2841" refreshError="1"/>
      <sheetData sheetId="2842" refreshError="1"/>
      <sheetData sheetId="2843" refreshError="1"/>
      <sheetData sheetId="2844" refreshError="1"/>
      <sheetData sheetId="2845" refreshError="1"/>
      <sheetData sheetId="2846" refreshError="1"/>
      <sheetData sheetId="2847" refreshError="1"/>
      <sheetData sheetId="2848" refreshError="1"/>
      <sheetData sheetId="2849" refreshError="1"/>
      <sheetData sheetId="2850" refreshError="1"/>
      <sheetData sheetId="2851" refreshError="1"/>
      <sheetData sheetId="2852" refreshError="1"/>
      <sheetData sheetId="2853" refreshError="1"/>
      <sheetData sheetId="2854" refreshError="1"/>
      <sheetData sheetId="2855" refreshError="1"/>
      <sheetData sheetId="2856" refreshError="1"/>
      <sheetData sheetId="2857" refreshError="1"/>
      <sheetData sheetId="2858" refreshError="1"/>
      <sheetData sheetId="2859" refreshError="1"/>
      <sheetData sheetId="2860" refreshError="1"/>
      <sheetData sheetId="2861" refreshError="1"/>
      <sheetData sheetId="2862" refreshError="1"/>
      <sheetData sheetId="2863" refreshError="1"/>
      <sheetData sheetId="2864" refreshError="1"/>
      <sheetData sheetId="2865" refreshError="1"/>
      <sheetData sheetId="2866" refreshError="1"/>
      <sheetData sheetId="2867" refreshError="1"/>
      <sheetData sheetId="2868" refreshError="1"/>
      <sheetData sheetId="2869" refreshError="1"/>
      <sheetData sheetId="2870" refreshError="1"/>
      <sheetData sheetId="2871" refreshError="1"/>
      <sheetData sheetId="2872" refreshError="1"/>
      <sheetData sheetId="2873" refreshError="1"/>
      <sheetData sheetId="2874" refreshError="1"/>
      <sheetData sheetId="2875" refreshError="1"/>
      <sheetData sheetId="2876" refreshError="1"/>
      <sheetData sheetId="2877" refreshError="1"/>
      <sheetData sheetId="2878" refreshError="1"/>
      <sheetData sheetId="2879" refreshError="1"/>
      <sheetData sheetId="2880" refreshError="1"/>
      <sheetData sheetId="2881" refreshError="1"/>
      <sheetData sheetId="2882" refreshError="1"/>
      <sheetData sheetId="2883" refreshError="1"/>
      <sheetData sheetId="2884" refreshError="1"/>
      <sheetData sheetId="2885" refreshError="1"/>
      <sheetData sheetId="2886" refreshError="1"/>
      <sheetData sheetId="2887" refreshError="1"/>
      <sheetData sheetId="2888" refreshError="1"/>
      <sheetData sheetId="2889" refreshError="1"/>
      <sheetData sheetId="2890" refreshError="1"/>
      <sheetData sheetId="2891" refreshError="1"/>
      <sheetData sheetId="2892" refreshError="1"/>
      <sheetData sheetId="2893" refreshError="1"/>
      <sheetData sheetId="2894" refreshError="1"/>
      <sheetData sheetId="2895" refreshError="1"/>
      <sheetData sheetId="2896" refreshError="1"/>
      <sheetData sheetId="2897" refreshError="1"/>
      <sheetData sheetId="2898" refreshError="1"/>
      <sheetData sheetId="2899" refreshError="1"/>
      <sheetData sheetId="2900">
        <row r="1">
          <cell r="A1" t="str">
            <v>PHIẾU XỬ LÝ HỒ SƠ THANH TOÁN VƯỢT THẨM QUYỀN PD</v>
          </cell>
        </row>
      </sheetData>
      <sheetData sheetId="2901">
        <row r="1">
          <cell r="A1" t="str">
            <v>PHIẾU XỬ LÝ HỒ SƠ THANH TOÁN VƯỢT THẨM QUYỀN PD</v>
          </cell>
        </row>
      </sheetData>
      <sheetData sheetId="2902">
        <row r="1">
          <cell r="A1" t="str">
            <v>PHIẾU XỬ LÝ HỒ SƠ THANH TOÁN VƯỢT THẨM QUYỀN PD</v>
          </cell>
        </row>
      </sheetData>
      <sheetData sheetId="2903">
        <row r="1">
          <cell r="A1" t="str">
            <v>PHIẾU XỬ LÝ HỒ SƠ THANH TOÁN VƯỢT THẨM QUYỀN PD</v>
          </cell>
        </row>
      </sheetData>
      <sheetData sheetId="2904">
        <row r="1">
          <cell r="A1" t="str">
            <v>PHIẾU XỬ LÝ HỒ SƠ THANH TOÁN VƯỢT THẨM QUYỀN PD</v>
          </cell>
        </row>
      </sheetData>
      <sheetData sheetId="2905">
        <row r="1">
          <cell r="A1" t="str">
            <v>PHIẾU XỬ LÝ HỒ SƠ THANH TOÁN VƯỢT THẨM QUYỀN PD</v>
          </cell>
        </row>
      </sheetData>
      <sheetData sheetId="2906">
        <row r="1">
          <cell r="A1" t="str">
            <v>PHIẾU XỬ LÝ HỒ SƠ THANH TOÁN VƯỢT THẨM QUYỀN PD</v>
          </cell>
        </row>
      </sheetData>
      <sheetData sheetId="2907">
        <row r="1">
          <cell r="A1" t="str">
            <v>PHIẾU XỬ LÝ HỒ SƠ THANH TOÁN VƯỢT THẨM QUYỀN PD</v>
          </cell>
        </row>
      </sheetData>
      <sheetData sheetId="2908">
        <row r="1">
          <cell r="A1" t="str">
            <v>PHIẾU XỬ LÝ HỒ SƠ THANH TOÁN VƯỢT THẨM QUYỀN PD</v>
          </cell>
        </row>
      </sheetData>
      <sheetData sheetId="2909">
        <row r="1">
          <cell r="A1" t="str">
            <v>PHIẾU XỬ LÝ HỒ SƠ THANH TOÁN VƯỢT THẨM QUYỀN PD</v>
          </cell>
        </row>
      </sheetData>
      <sheetData sheetId="2910">
        <row r="1">
          <cell r="A1" t="str">
            <v>PHIẾU XỬ LÝ HỒ SƠ THANH TOÁN VƯỢT THẨM QUYỀN PD</v>
          </cell>
        </row>
      </sheetData>
      <sheetData sheetId="2911">
        <row r="1">
          <cell r="A1" t="str">
            <v>PHIẾU XỬ LÝ HỒ SƠ THANH TOÁN VƯỢT THẨM QUYỀN PD</v>
          </cell>
        </row>
      </sheetData>
      <sheetData sheetId="2912">
        <row r="1">
          <cell r="A1" t="str">
            <v>PHIẾU XỬ LÝ HỒ SƠ THANH TOÁN VƯỢT THẨM QUYỀN PD</v>
          </cell>
        </row>
      </sheetData>
      <sheetData sheetId="2913" refreshError="1"/>
      <sheetData sheetId="2914" refreshError="1"/>
      <sheetData sheetId="2915" refreshError="1"/>
      <sheetData sheetId="2916" refreshError="1"/>
      <sheetData sheetId="2917" refreshError="1"/>
      <sheetData sheetId="2918" refreshError="1"/>
      <sheetData sheetId="2919" refreshError="1"/>
      <sheetData sheetId="2920" refreshError="1"/>
      <sheetData sheetId="2921" refreshError="1"/>
      <sheetData sheetId="2922" refreshError="1"/>
      <sheetData sheetId="2923" refreshError="1"/>
      <sheetData sheetId="2924" refreshError="1"/>
      <sheetData sheetId="2925" refreshError="1"/>
      <sheetData sheetId="2926" refreshError="1"/>
      <sheetData sheetId="2927" refreshError="1"/>
      <sheetData sheetId="2928" refreshError="1"/>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refreshError="1"/>
      <sheetData sheetId="2944" refreshError="1"/>
      <sheetData sheetId="2945" refreshError="1"/>
      <sheetData sheetId="2946" refreshError="1"/>
      <sheetData sheetId="2947" refreshError="1"/>
      <sheetData sheetId="2948" refreshError="1"/>
      <sheetData sheetId="2949" refreshError="1"/>
      <sheetData sheetId="2950" refreshError="1"/>
      <sheetData sheetId="2951" refreshError="1"/>
      <sheetData sheetId="2952" refreshError="1"/>
      <sheetData sheetId="2953" refreshError="1"/>
      <sheetData sheetId="2954" refreshError="1"/>
      <sheetData sheetId="2955" refreshError="1"/>
      <sheetData sheetId="2956" refreshError="1"/>
      <sheetData sheetId="2957" refreshError="1"/>
      <sheetData sheetId="2958" refreshError="1"/>
      <sheetData sheetId="2959" refreshError="1"/>
      <sheetData sheetId="2960" refreshError="1"/>
      <sheetData sheetId="2961" refreshError="1"/>
      <sheetData sheetId="2962" refreshError="1"/>
      <sheetData sheetId="2963" refreshError="1"/>
      <sheetData sheetId="2964" refreshError="1"/>
      <sheetData sheetId="2965" refreshError="1"/>
      <sheetData sheetId="2966" refreshError="1"/>
      <sheetData sheetId="2967" refreshError="1"/>
      <sheetData sheetId="2968" refreshError="1"/>
      <sheetData sheetId="2969" refreshError="1"/>
      <sheetData sheetId="2970" refreshError="1"/>
      <sheetData sheetId="2971" refreshError="1"/>
      <sheetData sheetId="2972" refreshError="1"/>
      <sheetData sheetId="2973" refreshError="1"/>
      <sheetData sheetId="2974" refreshError="1"/>
      <sheetData sheetId="2975" refreshError="1"/>
      <sheetData sheetId="2976" refreshError="1"/>
      <sheetData sheetId="2977" refreshError="1"/>
      <sheetData sheetId="2978" refreshError="1"/>
      <sheetData sheetId="2979" refreshError="1"/>
      <sheetData sheetId="2980" refreshError="1"/>
      <sheetData sheetId="2981" refreshError="1"/>
      <sheetData sheetId="2982" refreshError="1"/>
      <sheetData sheetId="2983" refreshError="1"/>
      <sheetData sheetId="2984" refreshError="1"/>
      <sheetData sheetId="2985" refreshError="1"/>
      <sheetData sheetId="2986" refreshError="1"/>
      <sheetData sheetId="2987" refreshError="1"/>
      <sheetData sheetId="2988" refreshError="1"/>
      <sheetData sheetId="2989" refreshError="1"/>
      <sheetData sheetId="2990" refreshError="1"/>
      <sheetData sheetId="2991" refreshError="1"/>
      <sheetData sheetId="2992" refreshError="1"/>
      <sheetData sheetId="2993" refreshError="1"/>
      <sheetData sheetId="2994" refreshError="1"/>
      <sheetData sheetId="2995" refreshError="1"/>
      <sheetData sheetId="2996" refreshError="1"/>
      <sheetData sheetId="2997" refreshError="1"/>
      <sheetData sheetId="2998" refreshError="1"/>
      <sheetData sheetId="2999" refreshError="1"/>
      <sheetData sheetId="3000" refreshError="1"/>
      <sheetData sheetId="3001" refreshError="1"/>
      <sheetData sheetId="3002" refreshError="1"/>
      <sheetData sheetId="3003" refreshError="1"/>
      <sheetData sheetId="3004" refreshError="1"/>
      <sheetData sheetId="3005" refreshError="1"/>
      <sheetData sheetId="3006" refreshError="1"/>
      <sheetData sheetId="3007" refreshError="1"/>
      <sheetData sheetId="3008" refreshError="1"/>
      <sheetData sheetId="3009" refreshError="1"/>
      <sheetData sheetId="3010" refreshError="1"/>
      <sheetData sheetId="3011" refreshError="1"/>
      <sheetData sheetId="3012" refreshError="1"/>
      <sheetData sheetId="3013" refreshError="1"/>
      <sheetData sheetId="3014" refreshError="1"/>
      <sheetData sheetId="3015" refreshError="1"/>
      <sheetData sheetId="3016" refreshError="1"/>
      <sheetData sheetId="3017">
        <row r="1">
          <cell r="A1" t="str">
            <v>PHIẾU XỬ LÝ HỒ SƠ THANH TOÁN VƯỢT THẨM QUYỀN PD</v>
          </cell>
        </row>
      </sheetData>
      <sheetData sheetId="3018">
        <row r="1">
          <cell r="A1" t="str">
            <v>PHIẾU XỬ LÝ HỒ SƠ THANH TOÁN VƯỢT THẨM QUYỀN PD</v>
          </cell>
        </row>
      </sheetData>
      <sheetData sheetId="3019">
        <row r="1">
          <cell r="A1" t="str">
            <v>PHIẾU XỬ LÝ HỒ SƠ THANH TOÁN VƯỢT THẨM QUYỀN PD</v>
          </cell>
        </row>
      </sheetData>
      <sheetData sheetId="3020">
        <row r="1">
          <cell r="A1" t="str">
            <v>PHIẾU XỬ LÝ HỒ SƠ THANH TOÁN VƯỢT THẨM QUYỀN PD</v>
          </cell>
        </row>
      </sheetData>
      <sheetData sheetId="3021">
        <row r="1">
          <cell r="A1" t="str">
            <v>PHIẾU XỬ LÝ HỒ SƠ THANH TOÁN VƯỢT THẨM QUYỀN PD</v>
          </cell>
        </row>
      </sheetData>
      <sheetData sheetId="3022">
        <row r="1">
          <cell r="A1" t="str">
            <v>PHIẾU XỬ LÝ HỒ SƠ THANH TOÁN VƯỢT THẨM QUYỀN PD</v>
          </cell>
        </row>
      </sheetData>
      <sheetData sheetId="3023">
        <row r="1">
          <cell r="A1" t="str">
            <v>PHIẾU XỬ LÝ HỒ SƠ THANH TOÁN VƯỢT THẨM QUYỀN PD</v>
          </cell>
        </row>
      </sheetData>
      <sheetData sheetId="3024">
        <row r="1">
          <cell r="A1" t="str">
            <v>PHIẾU XỬ LÝ HỒ SƠ THANH TOÁN VƯỢT THẨM QUYỀN PD</v>
          </cell>
        </row>
      </sheetData>
      <sheetData sheetId="3025">
        <row r="1">
          <cell r="A1" t="str">
            <v>PHIẾU XỬ LÝ HỒ SƠ THANH TOÁN VƯỢT THẨM QUYỀN PD</v>
          </cell>
        </row>
      </sheetData>
      <sheetData sheetId="3026">
        <row r="1">
          <cell r="A1" t="str">
            <v>PHIẾU XỬ LÝ HỒ SƠ THANH TOÁN VƯỢT THẨM QUYỀN PD</v>
          </cell>
        </row>
      </sheetData>
      <sheetData sheetId="3027" refreshError="1"/>
      <sheetData sheetId="3028" refreshError="1"/>
      <sheetData sheetId="3029" refreshError="1"/>
      <sheetData sheetId="3030" refreshError="1"/>
      <sheetData sheetId="3031" refreshError="1"/>
      <sheetData sheetId="3032" refreshError="1"/>
      <sheetData sheetId="3033" refreshError="1"/>
      <sheetData sheetId="3034" refreshError="1"/>
      <sheetData sheetId="3035" refreshError="1"/>
      <sheetData sheetId="3036" refreshError="1"/>
      <sheetData sheetId="3037" refreshError="1"/>
      <sheetData sheetId="3038" refreshError="1"/>
      <sheetData sheetId="3039" refreshError="1"/>
      <sheetData sheetId="3040" refreshError="1"/>
      <sheetData sheetId="3041" refreshError="1"/>
      <sheetData sheetId="3042" refreshError="1"/>
      <sheetData sheetId="3043" refreshError="1"/>
      <sheetData sheetId="3044" refreshError="1"/>
      <sheetData sheetId="3045" refreshError="1"/>
      <sheetData sheetId="3046"/>
      <sheetData sheetId="3047"/>
      <sheetData sheetId="3048"/>
      <sheetData sheetId="3049"/>
      <sheetData sheetId="3050"/>
      <sheetData sheetId="3051"/>
      <sheetData sheetId="3052"/>
      <sheetData sheetId="3053"/>
      <sheetData sheetId="3054"/>
      <sheetData sheetId="3055"/>
      <sheetData sheetId="3056"/>
      <sheetData sheetId="3057"/>
      <sheetData sheetId="3058"/>
      <sheetData sheetId="3059"/>
      <sheetData sheetId="3060"/>
      <sheetData sheetId="3061"/>
      <sheetData sheetId="3062" refreshError="1"/>
      <sheetData sheetId="3063" refreshError="1"/>
      <sheetData sheetId="3064" refreshError="1"/>
      <sheetData sheetId="3065" refreshError="1"/>
      <sheetData sheetId="3066" refreshError="1"/>
      <sheetData sheetId="3067" refreshError="1"/>
      <sheetData sheetId="3068" refreshError="1"/>
      <sheetData sheetId="3069" refreshError="1"/>
      <sheetData sheetId="3070" refreshError="1"/>
      <sheetData sheetId="3071" refreshError="1"/>
      <sheetData sheetId="3072" refreshError="1"/>
      <sheetData sheetId="3073" refreshError="1"/>
      <sheetData sheetId="3074" refreshError="1"/>
      <sheetData sheetId="3075" refreshError="1"/>
      <sheetData sheetId="3076" refreshError="1"/>
      <sheetData sheetId="3077" refreshError="1"/>
      <sheetData sheetId="3078" refreshError="1"/>
      <sheetData sheetId="3079"/>
      <sheetData sheetId="3080" refreshError="1"/>
      <sheetData sheetId="3081" refreshError="1"/>
      <sheetData sheetId="3082" refreshError="1"/>
      <sheetData sheetId="3083" refreshError="1"/>
      <sheetData sheetId="3084" refreshError="1"/>
      <sheetData sheetId="3085" refreshError="1"/>
      <sheetData sheetId="3086" refreshError="1"/>
      <sheetData sheetId="3087" refreshError="1"/>
      <sheetData sheetId="3088" refreshError="1"/>
      <sheetData sheetId="3089" refreshError="1"/>
      <sheetData sheetId="3090" refreshError="1"/>
      <sheetData sheetId="3091">
        <row r="1">
          <cell r="A1" t="str">
            <v>PHIẾU XỬ LÝ HỒ SƠ THANH TOÁN VƯỢT THẨM QUYỀN PD</v>
          </cell>
        </row>
      </sheetData>
      <sheetData sheetId="3092">
        <row r="1">
          <cell r="A1" t="str">
            <v>PHIẾU XỬ LÝ HỒ SƠ THANH TOÁN VƯỢT THẨM QUYỀN PD</v>
          </cell>
        </row>
      </sheetData>
      <sheetData sheetId="3093">
        <row r="1">
          <cell r="A1" t="str">
            <v>PHIẾU XỬ LÝ HỒ SƠ THANH TOÁN VƯỢT THẨM QUYỀN PD</v>
          </cell>
        </row>
      </sheetData>
      <sheetData sheetId="3094">
        <row r="1">
          <cell r="A1" t="str">
            <v>PHIẾU XỬ LÝ HỒ SƠ THANH TOÁN VƯỢT THẨM QUYỀN PD</v>
          </cell>
        </row>
      </sheetData>
      <sheetData sheetId="3095">
        <row r="1">
          <cell r="A1" t="str">
            <v>PHIẾU XỬ LÝ HỒ SƠ THANH TOÁN VƯỢT THẨM QUYỀN PD</v>
          </cell>
        </row>
      </sheetData>
      <sheetData sheetId="3096">
        <row r="1">
          <cell r="A1" t="str">
            <v>PHIẾU XỬ LÝ HỒ SƠ THANH TOÁN VƯỢT THẨM QUYỀN PD</v>
          </cell>
        </row>
      </sheetData>
      <sheetData sheetId="3097">
        <row r="1">
          <cell r="A1" t="str">
            <v>PHIẾU XỬ LÝ HỒ SƠ THANH TOÁN VƯỢT THẨM QUYỀN PD</v>
          </cell>
        </row>
      </sheetData>
      <sheetData sheetId="3098">
        <row r="1">
          <cell r="A1" t="str">
            <v>PHIẾU XỬ LÝ HỒ SƠ THANH TOÁN VƯỢT THẨM QUYỀN PD</v>
          </cell>
        </row>
      </sheetData>
      <sheetData sheetId="3099">
        <row r="1">
          <cell r="A1" t="str">
            <v>PHIẾU XỬ LÝ HỒ SƠ THANH TOÁN VƯỢT THẨM QUYỀN PD</v>
          </cell>
        </row>
      </sheetData>
      <sheetData sheetId="3100">
        <row r="1">
          <cell r="A1" t="str">
            <v>PHIẾU XỬ LÝ HỒ SƠ THANH TOÁN VƯỢT THẨM QUYỀN PD</v>
          </cell>
        </row>
      </sheetData>
      <sheetData sheetId="3101">
        <row r="1">
          <cell r="A1" t="str">
            <v>PHIẾU XỬ LÝ HỒ SƠ THANH TOÁN VƯỢT THẨM QUYỀN PD</v>
          </cell>
        </row>
      </sheetData>
      <sheetData sheetId="3102">
        <row r="1">
          <cell r="A1" t="str">
            <v>PHIẾU XỬ LÝ HỒ SƠ THANH TOÁN VƯỢT THẨM QUYỀN PD</v>
          </cell>
        </row>
      </sheetData>
      <sheetData sheetId="3103">
        <row r="1">
          <cell r="A1" t="str">
            <v>PHIẾU XỬ LÝ HỒ SƠ THANH TOÁN VƯỢT THẨM QUYỀN PD</v>
          </cell>
        </row>
      </sheetData>
      <sheetData sheetId="3104">
        <row r="1">
          <cell r="A1" t="str">
            <v>PHIẾU XỬ LÝ HỒ SƠ THANH TOÁN VƯỢT THẨM QUYỀN PD</v>
          </cell>
        </row>
      </sheetData>
      <sheetData sheetId="3105">
        <row r="1">
          <cell r="A1" t="str">
            <v>PHIẾU XỬ LÝ HỒ SƠ THANH TOÁN VƯỢT THẨM QUYỀN PD</v>
          </cell>
        </row>
      </sheetData>
      <sheetData sheetId="3106">
        <row r="1">
          <cell r="A1" t="str">
            <v>PHIẾU XỬ LÝ HỒ SƠ THANH TOÁN VƯỢT THẨM QUYỀN PD</v>
          </cell>
        </row>
      </sheetData>
      <sheetData sheetId="3107">
        <row r="1">
          <cell r="A1" t="str">
            <v>PHIẾU XỬ LÝ HỒ SƠ THANH TOÁN VƯỢT THẨM QUYỀN PD</v>
          </cell>
        </row>
      </sheetData>
      <sheetData sheetId="3108">
        <row r="1">
          <cell r="A1" t="str">
            <v>PHIẾU XỬ LÝ HỒ SƠ THANH TOÁN VƯỢT THẨM QUYỀN PD</v>
          </cell>
        </row>
      </sheetData>
      <sheetData sheetId="3109">
        <row r="1">
          <cell r="A1" t="str">
            <v>PHIẾU XỬ LÝ HỒ SƠ THANH TOÁN VƯỢT THẨM QUYỀN PD</v>
          </cell>
        </row>
      </sheetData>
      <sheetData sheetId="3110">
        <row r="1">
          <cell r="A1" t="str">
            <v>PHIẾU XỬ LÝ HỒ SƠ THANH TOÁN VƯỢT THẨM QUYỀN PD</v>
          </cell>
        </row>
      </sheetData>
      <sheetData sheetId="3111">
        <row r="1">
          <cell r="A1" t="str">
            <v>PHIẾU XỬ LÝ HỒ SƠ THANH TOÁN VƯỢT THẨM QUYỀN PD</v>
          </cell>
        </row>
      </sheetData>
      <sheetData sheetId="3112">
        <row r="1">
          <cell r="A1" t="str">
            <v>PHIẾU XỬ LÝ HỒ SƠ THANH TOÁN VƯỢT THẨM QUYỀN PD</v>
          </cell>
        </row>
      </sheetData>
      <sheetData sheetId="3113">
        <row r="1">
          <cell r="A1" t="str">
            <v>PHIẾU XỬ LÝ HỒ SƠ THANH TOÁN VƯỢT THẨM QUYỀN PD</v>
          </cell>
        </row>
      </sheetData>
      <sheetData sheetId="3114">
        <row r="1">
          <cell r="A1" t="str">
            <v>PHIẾU XỬ LÝ HỒ SƠ THANH TOÁN VƯỢT THẨM QUYỀN PD</v>
          </cell>
        </row>
      </sheetData>
      <sheetData sheetId="3115">
        <row r="1">
          <cell r="A1" t="str">
            <v>PHIẾU XỬ LÝ HỒ SƠ THANH TOÁN VƯỢT THẨM QUYỀN PD</v>
          </cell>
        </row>
      </sheetData>
      <sheetData sheetId="3116">
        <row r="1">
          <cell r="A1" t="str">
            <v>PHIẾU XỬ LÝ HỒ SƠ THANH TOÁN VƯỢT THẨM QUYỀN PD</v>
          </cell>
        </row>
      </sheetData>
      <sheetData sheetId="3117">
        <row r="1">
          <cell r="A1" t="str">
            <v>PHIẾU XỬ LÝ HỒ SƠ THANH TOÁN VƯỢT THẨM QUYỀN PD</v>
          </cell>
        </row>
      </sheetData>
      <sheetData sheetId="3118">
        <row r="1">
          <cell r="A1" t="str">
            <v>PHIẾU XỬ LÝ HỒ SƠ THANH TOÁN VƯỢT THẨM QUYỀN PD</v>
          </cell>
        </row>
      </sheetData>
      <sheetData sheetId="3119">
        <row r="1">
          <cell r="A1" t="str">
            <v>PHIẾU XỬ LÝ HỒ SƠ THANH TOÁN VƯỢT THẨM QUYỀN PD</v>
          </cell>
        </row>
      </sheetData>
      <sheetData sheetId="3120">
        <row r="1">
          <cell r="A1" t="str">
            <v>PHIẾU XỬ LÝ HỒ SƠ THANH TOÁN VƯỢT THẨM QUYỀN PD</v>
          </cell>
        </row>
      </sheetData>
      <sheetData sheetId="3121">
        <row r="1">
          <cell r="A1" t="str">
            <v>PHIẾU XỬ LÝ HỒ SƠ THANH TOÁN VƯỢT THẨM QUYỀN PD</v>
          </cell>
        </row>
      </sheetData>
      <sheetData sheetId="3122">
        <row r="1">
          <cell r="A1" t="str">
            <v>PHIẾU XỬ LÝ HỒ SƠ THANH TOÁN VƯỢT THẨM QUYỀN PD</v>
          </cell>
        </row>
      </sheetData>
      <sheetData sheetId="3123">
        <row r="1">
          <cell r="A1" t="str">
            <v>PHIẾU XỬ LÝ HỒ SƠ THANH TOÁN VƯỢT THẨM QUYỀN PD</v>
          </cell>
        </row>
      </sheetData>
      <sheetData sheetId="3124">
        <row r="1">
          <cell r="A1" t="str">
            <v>PHIẾU XỬ LÝ HỒ SƠ THANH TOÁN VƯỢT THẨM QUYỀN PD</v>
          </cell>
        </row>
      </sheetData>
      <sheetData sheetId="3125">
        <row r="1">
          <cell r="A1" t="str">
            <v>PHIẾU XỬ LÝ HỒ SƠ THANH TOÁN VƯỢT THẨM QUYỀN PD</v>
          </cell>
        </row>
      </sheetData>
      <sheetData sheetId="3126">
        <row r="1">
          <cell r="A1" t="str">
            <v>PHIẾU XỬ LÝ HỒ SƠ THANH TOÁN VƯỢT THẨM QUYỀN PD</v>
          </cell>
        </row>
      </sheetData>
      <sheetData sheetId="3127">
        <row r="1">
          <cell r="A1" t="str">
            <v>PHIẾU XỬ LÝ HỒ SƠ THANH TOÁN VƯỢT THẨM QUYỀN PD</v>
          </cell>
        </row>
      </sheetData>
      <sheetData sheetId="3128">
        <row r="1">
          <cell r="A1" t="str">
            <v>PHIẾU XỬ LÝ HỒ SƠ THANH TOÁN VƯỢT THẨM QUYỀN PD</v>
          </cell>
        </row>
      </sheetData>
      <sheetData sheetId="3129">
        <row r="1">
          <cell r="A1" t="str">
            <v>PHIẾU XỬ LÝ HỒ SƠ THANH TOÁN VƯỢT THẨM QUYỀN PD</v>
          </cell>
        </row>
      </sheetData>
      <sheetData sheetId="3130">
        <row r="1">
          <cell r="A1" t="str">
            <v>PHIẾU XỬ LÝ HỒ SƠ THANH TOÁN VƯỢT THẨM QUYỀN PD</v>
          </cell>
        </row>
      </sheetData>
      <sheetData sheetId="3131">
        <row r="1">
          <cell r="A1" t="str">
            <v>PHIẾU XỬ LÝ HỒ SƠ THANH TOÁN VƯỢT THẨM QUYỀN PD</v>
          </cell>
        </row>
      </sheetData>
      <sheetData sheetId="3132">
        <row r="1">
          <cell r="A1" t="str">
            <v>PHIẾU XỬ LÝ HỒ SƠ THANH TOÁN VƯỢT THẨM QUYỀN PD</v>
          </cell>
        </row>
      </sheetData>
      <sheetData sheetId="3133">
        <row r="1">
          <cell r="A1" t="str">
            <v>PHIẾU XỬ LÝ HỒ SƠ THANH TOÁN VƯỢT THẨM QUYỀN PD</v>
          </cell>
        </row>
      </sheetData>
      <sheetData sheetId="3134">
        <row r="1">
          <cell r="A1" t="str">
            <v>PHIẾU XỬ LÝ HỒ SƠ THANH TOÁN VƯỢT THẨM QUYỀN PD</v>
          </cell>
        </row>
      </sheetData>
      <sheetData sheetId="3135">
        <row r="1">
          <cell r="A1" t="str">
            <v>PHIẾU XỬ LÝ HỒ SƠ THANH TOÁN VƯỢT THẨM QUYỀN PD</v>
          </cell>
        </row>
      </sheetData>
      <sheetData sheetId="3136">
        <row r="1">
          <cell r="A1" t="str">
            <v>PHIẾU XỬ LÝ HỒ SƠ THANH TOÁN VƯỢT THẨM QUYỀN PD</v>
          </cell>
        </row>
      </sheetData>
      <sheetData sheetId="3137">
        <row r="1">
          <cell r="A1" t="str">
            <v>PHIẾU XỬ LÝ HỒ SƠ THANH TOÁN VƯỢT THẨM QUYỀN PD</v>
          </cell>
        </row>
      </sheetData>
      <sheetData sheetId="3138">
        <row r="1">
          <cell r="A1" t="str">
            <v>PHIẾU XỬ LÝ HỒ SƠ THANH TOÁN VƯỢT THẨM QUYỀN PD</v>
          </cell>
        </row>
      </sheetData>
      <sheetData sheetId="3139">
        <row r="1">
          <cell r="A1" t="str">
            <v>PHIẾU XỬ LÝ HỒ SƠ THANH TOÁN VƯỢT THẨM QUYỀN PD</v>
          </cell>
        </row>
      </sheetData>
      <sheetData sheetId="3140">
        <row r="1">
          <cell r="A1" t="str">
            <v>PHIẾU XỬ LÝ HỒ SƠ THANH TOÁN VƯỢT THẨM QUYỀN PD</v>
          </cell>
        </row>
      </sheetData>
      <sheetData sheetId="3141">
        <row r="1">
          <cell r="A1" t="str">
            <v>PHIẾU XỬ LÝ HỒ SƠ THANH TOÁN VƯỢT THẨM QUYỀN PD</v>
          </cell>
        </row>
      </sheetData>
      <sheetData sheetId="3142">
        <row r="1">
          <cell r="A1" t="str">
            <v>PHIẾU XỬ LÝ HỒ SƠ THANH TOÁN VƯỢT THẨM QUYỀN PD</v>
          </cell>
        </row>
      </sheetData>
      <sheetData sheetId="3143">
        <row r="1">
          <cell r="A1" t="str">
            <v>PHIẾU XỬ LÝ HỒ SƠ THANH TOÁN VƯỢT THẨM QUYỀN PD</v>
          </cell>
        </row>
      </sheetData>
      <sheetData sheetId="3144">
        <row r="1">
          <cell r="A1" t="str">
            <v>PHIẾU XỬ LÝ HỒ SƠ THANH TOÁN VƯỢT THẨM QUYỀN PD</v>
          </cell>
        </row>
      </sheetData>
      <sheetData sheetId="3145">
        <row r="1">
          <cell r="A1" t="str">
            <v>PHIẾU XỬ LÝ HỒ SƠ THANH TOÁN VƯỢT THẨM QUYỀN PD</v>
          </cell>
        </row>
      </sheetData>
      <sheetData sheetId="3146">
        <row r="1">
          <cell r="A1" t="str">
            <v>PHIẾU XỬ LÝ HỒ SƠ THANH TOÁN VƯỢT THẨM QUYỀN PD</v>
          </cell>
        </row>
      </sheetData>
      <sheetData sheetId="3147">
        <row r="1">
          <cell r="A1" t="str">
            <v>PHIẾU XỬ LÝ HỒ SƠ THANH TOÁN VƯỢT THẨM QUYỀN PD</v>
          </cell>
        </row>
      </sheetData>
      <sheetData sheetId="3148">
        <row r="1">
          <cell r="A1" t="str">
            <v>PHIẾU XỬ LÝ HỒ SƠ THANH TOÁN VƯỢT THẨM QUYỀN PD</v>
          </cell>
        </row>
      </sheetData>
      <sheetData sheetId="3149">
        <row r="1">
          <cell r="A1" t="str">
            <v>PHIẾU XỬ LÝ HỒ SƠ THANH TOÁN VƯỢT THẨM QUYỀN PD</v>
          </cell>
        </row>
      </sheetData>
      <sheetData sheetId="3150">
        <row r="1">
          <cell r="A1" t="str">
            <v>PHIẾU XỬ LÝ HỒ SƠ THANH TOÁN VƯỢT THẨM QUYỀN PD</v>
          </cell>
        </row>
      </sheetData>
      <sheetData sheetId="3151">
        <row r="1">
          <cell r="A1" t="str">
            <v>PHIẾU XỬ LÝ HỒ SƠ THANH TOÁN VƯỢT THẨM QUYỀN PD</v>
          </cell>
        </row>
      </sheetData>
      <sheetData sheetId="3152">
        <row r="1">
          <cell r="A1" t="str">
            <v>PHIẾU XỬ LÝ HỒ SƠ THANH TOÁN VƯỢT THẨM QUYỀN PD</v>
          </cell>
        </row>
      </sheetData>
      <sheetData sheetId="3153">
        <row r="1">
          <cell r="A1" t="str">
            <v>PHIẾU XỬ LÝ HỒ SƠ THANH TOÁN VƯỢT THẨM QUYỀN PD</v>
          </cell>
        </row>
      </sheetData>
      <sheetData sheetId="3154">
        <row r="1">
          <cell r="A1" t="str">
            <v>PHIẾU XỬ LÝ HỒ SƠ THANH TOÁN VƯỢT THẨM QUYỀN PD</v>
          </cell>
        </row>
      </sheetData>
      <sheetData sheetId="3155">
        <row r="1">
          <cell r="A1" t="str">
            <v>PHIẾU XỬ LÝ HỒ SƠ THANH TOÁN VƯỢT THẨM QUYỀN PD</v>
          </cell>
        </row>
      </sheetData>
      <sheetData sheetId="3156">
        <row r="1">
          <cell r="A1" t="str">
            <v>PHIẾU XỬ LÝ HỒ SƠ THANH TOÁN VƯỢT THẨM QUYỀN PD</v>
          </cell>
        </row>
      </sheetData>
      <sheetData sheetId="3157">
        <row r="1">
          <cell r="A1" t="str">
            <v>PHIẾU XỬ LÝ HỒ SƠ THANH TOÁN VƯỢT THẨM QUYỀN PD</v>
          </cell>
        </row>
      </sheetData>
      <sheetData sheetId="3158">
        <row r="1">
          <cell r="A1" t="str">
            <v>PHIẾU XỬ LÝ HỒ SƠ THANH TOÁN VƯỢT THẨM QUYỀN PD</v>
          </cell>
        </row>
      </sheetData>
      <sheetData sheetId="3159">
        <row r="1">
          <cell r="A1" t="str">
            <v>PHIẾU XỬ LÝ HỒ SƠ THANH TOÁN VƯỢT THẨM QUYỀN PD</v>
          </cell>
        </row>
      </sheetData>
      <sheetData sheetId="3160">
        <row r="1">
          <cell r="A1" t="str">
            <v>PHIẾU XỬ LÝ HỒ SƠ THANH TOÁN VƯỢT THẨM QUYỀN PD</v>
          </cell>
        </row>
      </sheetData>
      <sheetData sheetId="3161">
        <row r="1">
          <cell r="A1" t="str">
            <v>PHIẾU XỬ LÝ HỒ SƠ THANH TOÁN VƯỢT THẨM QUYỀN PD</v>
          </cell>
        </row>
      </sheetData>
      <sheetData sheetId="3162">
        <row r="1">
          <cell r="A1" t="str">
            <v>PHIẾU XỬ LÝ HỒ SƠ THANH TOÁN VƯỢT THẨM QUYỀN PD</v>
          </cell>
        </row>
      </sheetData>
      <sheetData sheetId="3163">
        <row r="1">
          <cell r="A1" t="str">
            <v>PHIẾU XỬ LÝ HỒ SƠ THANH TOÁN VƯỢT THẨM QUYỀN PD</v>
          </cell>
        </row>
      </sheetData>
      <sheetData sheetId="3164">
        <row r="1">
          <cell r="A1" t="str">
            <v>PHIẾU XỬ LÝ HỒ SƠ THANH TOÁN VƯỢT THẨM QUYỀN PD</v>
          </cell>
        </row>
      </sheetData>
      <sheetData sheetId="3165">
        <row r="1">
          <cell r="A1" t="str">
            <v>PHIẾU XỬ LÝ HỒ SƠ THANH TOÁN VƯỢT THẨM QUYỀN PD</v>
          </cell>
        </row>
      </sheetData>
      <sheetData sheetId="3166">
        <row r="1">
          <cell r="A1" t="str">
            <v>PHIẾU XỬ LÝ HỒ SƠ THANH TOÁN VƯỢT THẨM QUYỀN PD</v>
          </cell>
        </row>
      </sheetData>
      <sheetData sheetId="3167">
        <row r="1">
          <cell r="A1" t="str">
            <v>PHIẾU XỬ LÝ HỒ SƠ THANH TOÁN VƯỢT THẨM QUYỀN PD</v>
          </cell>
        </row>
      </sheetData>
      <sheetData sheetId="3168">
        <row r="1">
          <cell r="A1" t="str">
            <v>PHIẾU XỬ LÝ HỒ SƠ THANH TOÁN VƯỢT THẨM QUYỀN PD</v>
          </cell>
        </row>
      </sheetData>
      <sheetData sheetId="3169">
        <row r="1">
          <cell r="A1" t="str">
            <v>PHIẾU XỬ LÝ HỒ SƠ THANH TOÁN VƯỢT THẨM QUYỀN PD</v>
          </cell>
        </row>
      </sheetData>
      <sheetData sheetId="3170">
        <row r="1">
          <cell r="A1" t="str">
            <v>PHIẾU XỬ LÝ HỒ SƠ THANH TOÁN VƯỢT THẨM QUYỀN PD</v>
          </cell>
        </row>
      </sheetData>
      <sheetData sheetId="3171">
        <row r="1">
          <cell r="A1" t="str">
            <v>PHIẾU XỬ LÝ HỒ SƠ THANH TOÁN VƯỢT THẨM QUYỀN PD</v>
          </cell>
        </row>
      </sheetData>
      <sheetData sheetId="3172">
        <row r="1">
          <cell r="A1" t="str">
            <v>PHIẾU XỬ LÝ HỒ SƠ THANH TOÁN VƯỢT THẨM QUYỀN PD</v>
          </cell>
        </row>
      </sheetData>
      <sheetData sheetId="3173">
        <row r="1">
          <cell r="A1" t="str">
            <v>PHIẾU XỬ LÝ HỒ SƠ THANH TOÁN VƯỢT THẨM QUYỀN PD</v>
          </cell>
        </row>
      </sheetData>
      <sheetData sheetId="3174">
        <row r="1">
          <cell r="A1" t="str">
            <v>PHIẾU XỬ LÝ HỒ SƠ THANH TOÁN VƯỢT THẨM QUYỀN PD</v>
          </cell>
        </row>
      </sheetData>
      <sheetData sheetId="3175">
        <row r="1">
          <cell r="A1" t="str">
            <v>PHIẾU XỬ LÝ HỒ SƠ THANH TOÁN VƯỢT THẨM QUYỀN PD</v>
          </cell>
        </row>
      </sheetData>
      <sheetData sheetId="3176">
        <row r="1">
          <cell r="A1" t="str">
            <v>PHIẾU XỬ LÝ HỒ SƠ THANH TOÁN VƯỢT THẨM QUYỀN PD</v>
          </cell>
        </row>
      </sheetData>
      <sheetData sheetId="3177">
        <row r="1">
          <cell r="A1" t="str">
            <v>PHIẾU XỬ LÝ HỒ SƠ THANH TOÁN VƯỢT THẨM QUYỀN PD</v>
          </cell>
        </row>
      </sheetData>
      <sheetData sheetId="3178">
        <row r="1">
          <cell r="A1" t="str">
            <v>PHIẾU XỬ LÝ HỒ SƠ THANH TOÁN VƯỢT THẨM QUYỀN PD</v>
          </cell>
        </row>
      </sheetData>
      <sheetData sheetId="3179">
        <row r="1">
          <cell r="A1" t="str">
            <v>PHIẾU XỬ LÝ HỒ SƠ THANH TOÁN VƯỢT THẨM QUYỀN PD</v>
          </cell>
        </row>
      </sheetData>
      <sheetData sheetId="3180">
        <row r="1">
          <cell r="A1" t="str">
            <v>PHIẾU XỬ LÝ HỒ SƠ THANH TOÁN VƯỢT THẨM QUYỀN PD</v>
          </cell>
        </row>
      </sheetData>
      <sheetData sheetId="3181">
        <row r="1">
          <cell r="A1" t="str">
            <v>PHIẾU XỬ LÝ HỒ SƠ THANH TOÁN VƯỢT THẨM QUYỀN PD</v>
          </cell>
        </row>
      </sheetData>
      <sheetData sheetId="3182">
        <row r="1">
          <cell r="A1" t="str">
            <v>PHIẾU XỬ LÝ HỒ SƠ THANH TOÁN VƯỢT THẨM QUYỀN PD</v>
          </cell>
        </row>
      </sheetData>
      <sheetData sheetId="3183">
        <row r="1">
          <cell r="A1" t="str">
            <v>PHIẾU XỬ LÝ HỒ SƠ THANH TOÁN VƯỢT THẨM QUYỀN PD</v>
          </cell>
        </row>
      </sheetData>
      <sheetData sheetId="3184">
        <row r="1">
          <cell r="A1" t="str">
            <v>PHIẾU XỬ LÝ HỒ SƠ THANH TOÁN VƯỢT THẨM QUYỀN PD</v>
          </cell>
        </row>
      </sheetData>
      <sheetData sheetId="3185">
        <row r="1">
          <cell r="A1" t="str">
            <v>PHIẾU XỬ LÝ HỒ SƠ THANH TOÁN VƯỢT THẨM QUYỀN PD</v>
          </cell>
        </row>
      </sheetData>
      <sheetData sheetId="3186">
        <row r="1">
          <cell r="A1" t="str">
            <v>PHIẾU XỬ LÝ HỒ SƠ THANH TOÁN VƯỢT THẨM QUYỀN PD</v>
          </cell>
        </row>
      </sheetData>
      <sheetData sheetId="3187">
        <row r="1">
          <cell r="A1" t="str">
            <v>PHIẾU XỬ LÝ HỒ SƠ THANH TOÁN VƯỢT THẨM QUYỀN PD</v>
          </cell>
        </row>
      </sheetData>
      <sheetData sheetId="3188">
        <row r="1">
          <cell r="A1" t="str">
            <v>PHIẾU XỬ LÝ HỒ SƠ THANH TOÁN VƯỢT THẨM QUYỀN PD</v>
          </cell>
        </row>
      </sheetData>
      <sheetData sheetId="3189">
        <row r="1">
          <cell r="A1" t="str">
            <v>PHIẾU XỬ LÝ HỒ SƠ THANH TOÁN VƯỢT THẨM QUYỀN PD</v>
          </cell>
        </row>
      </sheetData>
      <sheetData sheetId="3190">
        <row r="1">
          <cell r="A1" t="str">
            <v>PHIẾU XỬ LÝ HỒ SƠ THANH TOÁN VƯỢT THẨM QUYỀN PD</v>
          </cell>
        </row>
      </sheetData>
      <sheetData sheetId="3191">
        <row r="1">
          <cell r="A1" t="str">
            <v>PHIẾU XỬ LÝ HỒ SƠ THANH TOÁN VƯỢT THẨM QUYỀN PD</v>
          </cell>
        </row>
      </sheetData>
      <sheetData sheetId="3192">
        <row r="1">
          <cell r="A1" t="str">
            <v>PHIẾU XỬ LÝ HỒ SƠ THANH TOÁN VƯỢT THẨM QUYỀN PD</v>
          </cell>
        </row>
      </sheetData>
      <sheetData sheetId="3193">
        <row r="1">
          <cell r="A1" t="str">
            <v>PHIẾU XỬ LÝ HỒ SƠ THANH TOÁN VƯỢT THẨM QUYỀN PD</v>
          </cell>
        </row>
      </sheetData>
      <sheetData sheetId="3194">
        <row r="1">
          <cell r="A1" t="str">
            <v>PHIẾU XỬ LÝ HỒ SƠ THANH TOÁN VƯỢT THẨM QUYỀN PD</v>
          </cell>
        </row>
      </sheetData>
      <sheetData sheetId="3195">
        <row r="1">
          <cell r="A1" t="str">
            <v>PHIẾU XỬ LÝ HỒ SƠ THANH TOÁN VƯỢT THẨM QUYỀN PD</v>
          </cell>
        </row>
      </sheetData>
      <sheetData sheetId="3196">
        <row r="1">
          <cell r="A1" t="str">
            <v>PHIẾU XỬ LÝ HỒ SƠ THANH TOÁN VƯỢT THẨM QUYỀN PD</v>
          </cell>
        </row>
      </sheetData>
      <sheetData sheetId="3197">
        <row r="1">
          <cell r="A1" t="str">
            <v>PHIẾU XỬ LÝ HỒ SƠ THANH TOÁN VƯỢT THẨM QUYỀN PD</v>
          </cell>
        </row>
      </sheetData>
      <sheetData sheetId="3198">
        <row r="1">
          <cell r="A1" t="str">
            <v>PHIẾU XỬ LÝ HỒ SƠ THANH TOÁN VƯỢT THẨM QUYỀN PD</v>
          </cell>
        </row>
      </sheetData>
      <sheetData sheetId="3199">
        <row r="1">
          <cell r="A1" t="str">
            <v>PHIẾU XỬ LÝ HỒ SƠ THANH TOÁN VƯỢT THẨM QUYỀN PD</v>
          </cell>
        </row>
      </sheetData>
      <sheetData sheetId="3200">
        <row r="1">
          <cell r="A1" t="str">
            <v>PHIẾU XỬ LÝ HỒ SƠ THANH TOÁN VƯỢT THẨM QUYỀN PD</v>
          </cell>
        </row>
      </sheetData>
      <sheetData sheetId="3201">
        <row r="1">
          <cell r="A1" t="str">
            <v>PHIẾU XỬ LÝ HỒ SƠ THANH TOÁN VƯỢT THẨM QUYỀN PD</v>
          </cell>
        </row>
      </sheetData>
      <sheetData sheetId="3202">
        <row r="1">
          <cell r="A1" t="str">
            <v>PHIẾU XỬ LÝ HỒ SƠ THANH TOÁN VƯỢT THẨM QUYỀN PD</v>
          </cell>
        </row>
      </sheetData>
      <sheetData sheetId="3203">
        <row r="1">
          <cell r="A1" t="str">
            <v>PHIẾU XỬ LÝ HỒ SƠ THANH TOÁN VƯỢT THẨM QUYỀN PD</v>
          </cell>
        </row>
      </sheetData>
      <sheetData sheetId="3204">
        <row r="1">
          <cell r="A1" t="str">
            <v>PHIẾU XỬ LÝ HỒ SƠ THANH TOÁN VƯỢT THẨM QUYỀN PD</v>
          </cell>
        </row>
      </sheetData>
      <sheetData sheetId="3205">
        <row r="1">
          <cell r="A1" t="str">
            <v>PHIẾU XỬ LÝ HỒ SƠ THANH TOÁN VƯỢT THẨM QUYỀN PD</v>
          </cell>
        </row>
      </sheetData>
      <sheetData sheetId="3206">
        <row r="1">
          <cell r="A1" t="str">
            <v>PHIẾU XỬ LÝ HỒ SƠ THANH TOÁN VƯỢT THẨM QUYỀN PD</v>
          </cell>
        </row>
      </sheetData>
      <sheetData sheetId="3207">
        <row r="1">
          <cell r="A1" t="str">
            <v>PHIẾU XỬ LÝ HỒ SƠ THANH TOÁN VƯỢT THẨM QUYỀN PD</v>
          </cell>
        </row>
      </sheetData>
      <sheetData sheetId="3208">
        <row r="1">
          <cell r="A1" t="str">
            <v>PHIẾU XỬ LÝ HỒ SƠ THANH TOÁN VƯỢT THẨM QUYỀN PD</v>
          </cell>
        </row>
      </sheetData>
      <sheetData sheetId="3209">
        <row r="1">
          <cell r="A1" t="str">
            <v>PHIẾU XỬ LÝ HỒ SƠ THANH TOÁN VƯỢT THẨM QUYỀN PD</v>
          </cell>
        </row>
      </sheetData>
      <sheetData sheetId="3210">
        <row r="1">
          <cell r="A1" t="str">
            <v>PHIẾU XỬ LÝ HỒ SƠ THANH TOÁN VƯỢT THẨM QUYỀN PD</v>
          </cell>
        </row>
      </sheetData>
      <sheetData sheetId="3211">
        <row r="1">
          <cell r="A1" t="str">
            <v>PHIẾU XỬ LÝ HỒ SƠ THANH TOÁN VƯỢT THẨM QUYỀN PD</v>
          </cell>
        </row>
      </sheetData>
      <sheetData sheetId="3212">
        <row r="1">
          <cell r="A1" t="str">
            <v>PHIẾU XỬ LÝ HỒ SƠ THANH TOÁN VƯỢT THẨM QUYỀN PD</v>
          </cell>
        </row>
      </sheetData>
      <sheetData sheetId="3213">
        <row r="1">
          <cell r="A1" t="str">
            <v>PHIẾU XỬ LÝ HỒ SƠ THANH TOÁN VƯỢT THẨM QUYỀN PD</v>
          </cell>
        </row>
      </sheetData>
      <sheetData sheetId="3214">
        <row r="1">
          <cell r="A1" t="str">
            <v>PHIẾU XỬ LÝ HỒ SƠ THANH TOÁN VƯỢT THẨM QUYỀN PD</v>
          </cell>
        </row>
      </sheetData>
      <sheetData sheetId="3215">
        <row r="1">
          <cell r="A1" t="str">
            <v>PHIẾU XỬ LÝ HỒ SƠ THANH TOÁN VƯỢT THẨM QUYỀN PD</v>
          </cell>
        </row>
      </sheetData>
      <sheetData sheetId="3216">
        <row r="1">
          <cell r="A1" t="str">
            <v>PHIẾU XỬ LÝ HỒ SƠ THANH TOÁN VƯỢT THẨM QUYỀN PD</v>
          </cell>
        </row>
      </sheetData>
      <sheetData sheetId="3217">
        <row r="1">
          <cell r="A1" t="str">
            <v>PHIẾU XỬ LÝ HỒ SƠ THANH TOÁN VƯỢT THẨM QUYỀN PD</v>
          </cell>
        </row>
      </sheetData>
      <sheetData sheetId="3218">
        <row r="1">
          <cell r="A1" t="str">
            <v>PHIẾU XỬ LÝ HỒ SƠ THANH TOÁN VƯỢT THẨM QUYỀN PD</v>
          </cell>
        </row>
      </sheetData>
      <sheetData sheetId="3219">
        <row r="1">
          <cell r="A1" t="str">
            <v>PHIẾU XỬ LÝ HỒ SƠ THANH TOÁN VƯỢT THẨM QUYỀN PD</v>
          </cell>
        </row>
      </sheetData>
      <sheetData sheetId="3220">
        <row r="1">
          <cell r="A1" t="str">
            <v>PHIẾU XỬ LÝ HỒ SƠ THANH TOÁN VƯỢT THẨM QUYỀN PD</v>
          </cell>
        </row>
      </sheetData>
      <sheetData sheetId="3221">
        <row r="1">
          <cell r="A1" t="str">
            <v>PHIẾU XỬ LÝ HỒ SƠ THANH TOÁN VƯỢT THẨM QUYỀN PD</v>
          </cell>
        </row>
      </sheetData>
      <sheetData sheetId="3222">
        <row r="1">
          <cell r="A1" t="str">
            <v>PHIẾU XỬ LÝ HỒ SƠ THANH TOÁN VƯỢT THẨM QUYỀN PD</v>
          </cell>
        </row>
      </sheetData>
      <sheetData sheetId="3223">
        <row r="1">
          <cell r="A1" t="str">
            <v>PHIẾU XỬ LÝ HỒ SƠ THANH TOÁN VƯỢT THẨM QUYỀN PD</v>
          </cell>
        </row>
      </sheetData>
      <sheetData sheetId="3224">
        <row r="1">
          <cell r="A1" t="str">
            <v>PHIẾU XỬ LÝ HỒ SƠ THANH TOÁN VƯỢT THẨM QUYỀN PD</v>
          </cell>
        </row>
      </sheetData>
      <sheetData sheetId="3225">
        <row r="1">
          <cell r="A1" t="str">
            <v>PHIẾU XỬ LÝ HỒ SƠ THANH TOÁN VƯỢT THẨM QUYỀN PD</v>
          </cell>
        </row>
      </sheetData>
      <sheetData sheetId="3226">
        <row r="1">
          <cell r="A1" t="str">
            <v>PHIẾU XỬ LÝ HỒ SƠ THANH TOÁN VƯỢT THẨM QUYỀN PD</v>
          </cell>
        </row>
      </sheetData>
      <sheetData sheetId="3227">
        <row r="1">
          <cell r="A1" t="str">
            <v>PHIẾU XỬ LÝ HỒ SƠ THANH TOÁN VƯỢT THẨM QUYỀN PD</v>
          </cell>
        </row>
      </sheetData>
      <sheetData sheetId="3228">
        <row r="1">
          <cell r="A1" t="str">
            <v>PHIẾU XỬ LÝ HỒ SƠ THANH TOÁN VƯỢT THẨM QUYỀN PD</v>
          </cell>
        </row>
      </sheetData>
      <sheetData sheetId="3229">
        <row r="1">
          <cell r="A1" t="str">
            <v>PHIẾU XỬ LÝ HỒ SƠ THANH TOÁN VƯỢT THẨM QUYỀN PD</v>
          </cell>
        </row>
      </sheetData>
      <sheetData sheetId="3230">
        <row r="1">
          <cell r="A1" t="str">
            <v>PHIẾU XỬ LÝ HỒ SƠ THANH TOÁN VƯỢT THẨM QUYỀN PD</v>
          </cell>
        </row>
      </sheetData>
      <sheetData sheetId="3231">
        <row r="1">
          <cell r="A1" t="str">
            <v>PHIẾU XỬ LÝ HỒ SƠ THANH TOÁN VƯỢT THẨM QUYỀN PD</v>
          </cell>
        </row>
      </sheetData>
      <sheetData sheetId="3232">
        <row r="1">
          <cell r="A1" t="str">
            <v>PHIẾU XỬ LÝ HỒ SƠ THANH TOÁN VƯỢT THẨM QUYỀN PD</v>
          </cell>
        </row>
      </sheetData>
      <sheetData sheetId="3233">
        <row r="1">
          <cell r="A1" t="str">
            <v>PHIẾU XỬ LÝ HỒ SƠ THANH TOÁN VƯỢT THẨM QUYỀN PD</v>
          </cell>
        </row>
      </sheetData>
      <sheetData sheetId="3234">
        <row r="1">
          <cell r="A1" t="str">
            <v>PHIẾU XỬ LÝ HỒ SƠ THANH TOÁN VƯỢT THẨM QUYỀN PD</v>
          </cell>
        </row>
      </sheetData>
      <sheetData sheetId="3235">
        <row r="1">
          <cell r="A1" t="str">
            <v>PHIẾU XỬ LÝ HỒ SƠ THANH TOÁN VƯỢT THẨM QUYỀN PD</v>
          </cell>
        </row>
      </sheetData>
      <sheetData sheetId="3236">
        <row r="1">
          <cell r="A1" t="str">
            <v>PHIẾU XỬ LÝ HỒ SƠ THANH TOÁN VƯỢT THẨM QUYỀN PD</v>
          </cell>
        </row>
      </sheetData>
      <sheetData sheetId="3237">
        <row r="1">
          <cell r="A1" t="str">
            <v>PHIẾU XỬ LÝ HỒ SƠ THANH TOÁN VƯỢT THẨM QUYỀN PD</v>
          </cell>
        </row>
      </sheetData>
      <sheetData sheetId="3238" refreshError="1"/>
      <sheetData sheetId="3239">
        <row r="1">
          <cell r="A1" t="str">
            <v>PHIẾU XỬ LÝ HỒ SƠ THANH TOÁN VƯỢT THẨM QUYỀN PD</v>
          </cell>
        </row>
      </sheetData>
      <sheetData sheetId="3240">
        <row r="1">
          <cell r="A1" t="str">
            <v>PHIẾU XỬ LÝ HỒ SƠ THANH TOÁN VƯỢT THẨM QUYỀN PD</v>
          </cell>
        </row>
      </sheetData>
      <sheetData sheetId="3241" refreshError="1"/>
      <sheetData sheetId="3242" refreshError="1"/>
      <sheetData sheetId="3243">
        <row r="1">
          <cell r="A1" t="str">
            <v>PHIẾU XỬ LÝ HỒ SƠ THANH TOÁN VƯỢT THẨM QUYỀN PD</v>
          </cell>
        </row>
      </sheetData>
      <sheetData sheetId="3244">
        <row r="1">
          <cell r="A1" t="str">
            <v>PHIẾU XỬ LÝ HỒ SƠ THANH TOÁN VƯỢT THẨM QUYỀN PD</v>
          </cell>
        </row>
      </sheetData>
      <sheetData sheetId="3245">
        <row r="1">
          <cell r="A1" t="str">
            <v>PHIẾU XỬ LÝ HỒ SƠ THANH TOÁN VƯỢT THẨM QUYỀN PD</v>
          </cell>
        </row>
      </sheetData>
      <sheetData sheetId="3246">
        <row r="1">
          <cell r="A1" t="str">
            <v>PHIẾU XỬ LÝ HỒ SƠ THANH TOÁN VƯỢT THẨM QUYỀN PD</v>
          </cell>
        </row>
      </sheetData>
      <sheetData sheetId="3247">
        <row r="1">
          <cell r="A1" t="str">
            <v>PHIẾU XỬ LÝ HỒ SƠ THANH TOÁN VƯỢT THẨM QUYỀN PD</v>
          </cell>
        </row>
      </sheetData>
      <sheetData sheetId="3248">
        <row r="1">
          <cell r="A1" t="str">
            <v>PHIẾU XỬ LÝ HỒ SƠ THANH TOÁN VƯỢT THẨM QUYỀN PD</v>
          </cell>
        </row>
      </sheetData>
      <sheetData sheetId="3249">
        <row r="1">
          <cell r="A1" t="str">
            <v>PHIẾU XỬ LÝ HỒ SƠ THANH TOÁN VƯỢT THẨM QUYỀN PD</v>
          </cell>
        </row>
      </sheetData>
      <sheetData sheetId="3250">
        <row r="1">
          <cell r="A1" t="str">
            <v>PHIẾU XỬ LÝ HỒ SƠ THANH TOÁN VƯỢT THẨM QUYỀN PD</v>
          </cell>
        </row>
      </sheetData>
      <sheetData sheetId="3251">
        <row r="1">
          <cell r="A1" t="str">
            <v>PHIẾU XỬ LÝ HỒ SƠ THANH TOÁN VƯỢT THẨM QUYỀN PD</v>
          </cell>
        </row>
      </sheetData>
      <sheetData sheetId="3252">
        <row r="1">
          <cell r="A1" t="str">
            <v>PHIẾU XỬ LÝ HỒ SƠ THANH TOÁN VƯỢT THẨM QUYỀN PD</v>
          </cell>
        </row>
      </sheetData>
      <sheetData sheetId="3253">
        <row r="1">
          <cell r="A1" t="str">
            <v>PHIẾU XỬ LÝ HỒ SƠ THANH TOÁN VƯỢT THẨM QUYỀN PD</v>
          </cell>
        </row>
      </sheetData>
      <sheetData sheetId="3254">
        <row r="1">
          <cell r="A1" t="str">
            <v>PHIẾU XỬ LÝ HỒ SƠ THANH TOÁN VƯỢT THẨM QUYỀN PD</v>
          </cell>
        </row>
      </sheetData>
      <sheetData sheetId="3255">
        <row r="1">
          <cell r="A1" t="str">
            <v>PHIẾU XỬ LÝ HỒ SƠ THANH TOÁN VƯỢT THẨM QUYỀN PD</v>
          </cell>
        </row>
      </sheetData>
      <sheetData sheetId="3256">
        <row r="1">
          <cell r="A1" t="str">
            <v>PHIẾU XỬ LÝ HỒ SƠ THANH TOÁN VƯỢT THẨM QUYỀN PD</v>
          </cell>
        </row>
      </sheetData>
      <sheetData sheetId="3257">
        <row r="1">
          <cell r="A1" t="str">
            <v>PHIẾU XỬ LÝ HỒ SƠ THANH TOÁN VƯỢT THẨM QUYỀN PD</v>
          </cell>
        </row>
      </sheetData>
      <sheetData sheetId="3258">
        <row r="1">
          <cell r="A1" t="str">
            <v>PHIẾU XỬ LÝ HỒ SƠ THANH TOÁN VƯỢT THẨM QUYỀN PD</v>
          </cell>
        </row>
      </sheetData>
      <sheetData sheetId="3259">
        <row r="1">
          <cell r="A1" t="str">
            <v>PHIẾU XỬ LÝ HỒ SƠ THANH TOÁN VƯỢT THẨM QUYỀN PD</v>
          </cell>
        </row>
      </sheetData>
      <sheetData sheetId="3260">
        <row r="1">
          <cell r="A1" t="str">
            <v>PHIẾU XỬ LÝ HỒ SƠ THANH TOÁN VƯỢT THẨM QUYỀN PD</v>
          </cell>
        </row>
      </sheetData>
      <sheetData sheetId="3261">
        <row r="1">
          <cell r="A1" t="str">
            <v>PHIẾU XỬ LÝ HỒ SƠ THANH TOÁN VƯỢT THẨM QUYỀN PD</v>
          </cell>
        </row>
      </sheetData>
      <sheetData sheetId="3262">
        <row r="1">
          <cell r="A1" t="str">
            <v>PHIẾU XỬ LÝ HỒ SƠ THANH TOÁN VƯỢT THẨM QUYỀN PD</v>
          </cell>
        </row>
      </sheetData>
      <sheetData sheetId="3263">
        <row r="1">
          <cell r="A1" t="str">
            <v>PHIẾU XỬ LÝ HỒ SƠ THANH TOÁN VƯỢT THẨM QUYỀN PD</v>
          </cell>
        </row>
      </sheetData>
      <sheetData sheetId="3264">
        <row r="1">
          <cell r="A1" t="str">
            <v>PHIẾU XỬ LÝ HỒ SƠ THANH TOÁN VƯỢT THẨM QUYỀN PD</v>
          </cell>
        </row>
      </sheetData>
      <sheetData sheetId="3265">
        <row r="1">
          <cell r="A1" t="str">
            <v>PHIẾU XỬ LÝ HỒ SƠ THANH TOÁN VƯỢT THẨM QUYỀN PD</v>
          </cell>
        </row>
      </sheetData>
      <sheetData sheetId="3266">
        <row r="1">
          <cell r="A1" t="str">
            <v>PHIẾU XỬ LÝ HỒ SƠ THANH TOÁN VƯỢT THẨM QUYỀN PD</v>
          </cell>
        </row>
      </sheetData>
      <sheetData sheetId="3267">
        <row r="1">
          <cell r="A1" t="str">
            <v>PHIẾU XỬ LÝ HỒ SƠ THANH TOÁN VƯỢT THẨM QUYỀN PD</v>
          </cell>
        </row>
      </sheetData>
      <sheetData sheetId="3268">
        <row r="1">
          <cell r="A1" t="str">
            <v>PHIẾU XỬ LÝ HỒ SƠ THANH TOÁN VƯỢT THẨM QUYỀN PD</v>
          </cell>
        </row>
      </sheetData>
      <sheetData sheetId="3269">
        <row r="1">
          <cell r="A1" t="str">
            <v>PHIẾU XỬ LÝ HỒ SƠ THANH TOÁN VƯỢT THẨM QUYỀN PD</v>
          </cell>
        </row>
      </sheetData>
      <sheetData sheetId="3270">
        <row r="1">
          <cell r="A1" t="str">
            <v>PHIẾU XỬ LÝ HỒ SƠ THANH TOÁN VƯỢT THẨM QUYỀN PD</v>
          </cell>
        </row>
      </sheetData>
      <sheetData sheetId="3271">
        <row r="1">
          <cell r="A1" t="str">
            <v>PHIẾU XỬ LÝ HỒ SƠ THANH TOÁN VƯỢT THẨM QUYỀN PD</v>
          </cell>
        </row>
      </sheetData>
      <sheetData sheetId="3272">
        <row r="1">
          <cell r="A1" t="str">
            <v>PHIẾU XỬ LÝ HỒ SƠ THANH TOÁN VƯỢT THẨM QUYỀN PD</v>
          </cell>
        </row>
      </sheetData>
      <sheetData sheetId="3273">
        <row r="1">
          <cell r="A1" t="str">
            <v>PHIẾU XỬ LÝ HỒ SƠ THANH TOÁN VƯỢT THẨM QUYỀN PD</v>
          </cell>
        </row>
      </sheetData>
      <sheetData sheetId="3274">
        <row r="1">
          <cell r="A1" t="str">
            <v>PHIẾU XỬ LÝ HỒ SƠ THANH TOÁN VƯỢT THẨM QUYỀN PD</v>
          </cell>
        </row>
      </sheetData>
      <sheetData sheetId="3275">
        <row r="1">
          <cell r="A1" t="str">
            <v>PHIẾU XỬ LÝ HỒ SƠ THANH TOÁN VƯỢT THẨM QUYỀN PD</v>
          </cell>
        </row>
      </sheetData>
      <sheetData sheetId="3276">
        <row r="1">
          <cell r="A1" t="str">
            <v>PHIẾU XỬ LÝ HỒ SƠ THANH TOÁN VƯỢT THẨM QUYỀN PD</v>
          </cell>
        </row>
      </sheetData>
      <sheetData sheetId="3277">
        <row r="1">
          <cell r="A1" t="str">
            <v>PHIẾU XỬ LÝ HỒ SƠ THANH TOÁN VƯỢT THẨM QUYỀN PD</v>
          </cell>
        </row>
      </sheetData>
      <sheetData sheetId="3278">
        <row r="1">
          <cell r="A1" t="str">
            <v>PHIẾU XỬ LÝ HỒ SƠ THANH TOÁN VƯỢT THẨM QUYỀN PD</v>
          </cell>
        </row>
      </sheetData>
      <sheetData sheetId="3279">
        <row r="1">
          <cell r="A1" t="str">
            <v>PHIẾU XỬ LÝ HỒ SƠ THANH TOÁN VƯỢT THẨM QUYỀN PD</v>
          </cell>
        </row>
      </sheetData>
      <sheetData sheetId="3280">
        <row r="1">
          <cell r="A1" t="str">
            <v>PHIẾU XỬ LÝ HỒ SƠ THANH TOÁN VƯỢT THẨM QUYỀN PD</v>
          </cell>
        </row>
      </sheetData>
      <sheetData sheetId="3281">
        <row r="1">
          <cell r="A1" t="str">
            <v>PHIẾU XỬ LÝ HỒ SƠ THANH TOÁN VƯỢT THẨM QUYỀN PD</v>
          </cell>
        </row>
      </sheetData>
      <sheetData sheetId="3282">
        <row r="1">
          <cell r="A1" t="str">
            <v>PHIẾU XỬ LÝ HỒ SƠ THANH TOÁN VƯỢT THẨM QUYỀN PD</v>
          </cell>
        </row>
      </sheetData>
      <sheetData sheetId="3283">
        <row r="1">
          <cell r="A1" t="str">
            <v>PHIẾU XỬ LÝ HỒ SƠ THANH TOÁN VƯỢT THẨM QUYỀN PD</v>
          </cell>
        </row>
      </sheetData>
      <sheetData sheetId="3284">
        <row r="1">
          <cell r="A1" t="str">
            <v>PHIẾU XỬ LÝ HỒ SƠ THANH TOÁN VƯỢT THẨM QUYỀN PD</v>
          </cell>
        </row>
      </sheetData>
      <sheetData sheetId="3285">
        <row r="1">
          <cell r="A1" t="str">
            <v>PHIẾU XỬ LÝ HỒ SƠ THANH TOÁN VƯỢT THẨM QUYỀN PD</v>
          </cell>
        </row>
      </sheetData>
      <sheetData sheetId="3286">
        <row r="1">
          <cell r="A1" t="str">
            <v>PHIẾU XỬ LÝ HỒ SƠ THANH TOÁN VƯỢT THẨM QUYỀN PD</v>
          </cell>
        </row>
      </sheetData>
      <sheetData sheetId="3287">
        <row r="1">
          <cell r="A1" t="str">
            <v>PHIẾU XỬ LÝ HỒ SƠ THANH TOÁN VƯỢT THẨM QUYỀN PD</v>
          </cell>
        </row>
      </sheetData>
      <sheetData sheetId="3288">
        <row r="1">
          <cell r="A1" t="str">
            <v>PHIẾU XỬ LÝ HỒ SƠ THANH TOÁN VƯỢT THẨM QUYỀN PD</v>
          </cell>
        </row>
      </sheetData>
      <sheetData sheetId="3289">
        <row r="1">
          <cell r="A1" t="str">
            <v>PHIẾU XỬ LÝ HỒ SƠ THANH TOÁN VƯỢT THẨM QUYỀN PD</v>
          </cell>
        </row>
      </sheetData>
      <sheetData sheetId="3290">
        <row r="1">
          <cell r="A1" t="str">
            <v>PHIẾU XỬ LÝ HỒ SƠ THANH TOÁN VƯỢT THẨM QUYỀN PD</v>
          </cell>
        </row>
      </sheetData>
      <sheetData sheetId="3291">
        <row r="1">
          <cell r="A1" t="str">
            <v>PHIẾU XỬ LÝ HỒ SƠ THANH TOÁN VƯỢT THẨM QUYỀN PD</v>
          </cell>
        </row>
      </sheetData>
      <sheetData sheetId="3292">
        <row r="1">
          <cell r="A1" t="str">
            <v>PHIẾU XỬ LÝ HỒ SƠ THANH TOÁN VƯỢT THẨM QUYỀN PD</v>
          </cell>
        </row>
      </sheetData>
      <sheetData sheetId="3293">
        <row r="1">
          <cell r="A1" t="str">
            <v>PHIẾU XỬ LÝ HỒ SƠ THANH TOÁN VƯỢT THẨM QUYỀN PD</v>
          </cell>
        </row>
      </sheetData>
      <sheetData sheetId="3294">
        <row r="1">
          <cell r="A1" t="str">
            <v>PHIẾU XỬ LÝ HỒ SƠ THANH TOÁN VƯỢT THẨM QUYỀN PD</v>
          </cell>
        </row>
      </sheetData>
      <sheetData sheetId="3295">
        <row r="1">
          <cell r="A1" t="str">
            <v>PHIẾU XỬ LÝ HỒ SƠ THANH TOÁN VƯỢT THẨM QUYỀN PD</v>
          </cell>
        </row>
      </sheetData>
      <sheetData sheetId="3296">
        <row r="1">
          <cell r="A1" t="str">
            <v>PHIẾU XỬ LÝ HỒ SƠ THANH TOÁN VƯỢT THẨM QUYỀN PD</v>
          </cell>
        </row>
      </sheetData>
      <sheetData sheetId="3297">
        <row r="1">
          <cell r="A1" t="str">
            <v>PHIẾU XỬ LÝ HỒ SƠ THANH TOÁN VƯỢT THẨM QUYỀN PD</v>
          </cell>
        </row>
      </sheetData>
      <sheetData sheetId="3298">
        <row r="1">
          <cell r="A1" t="str">
            <v>PHIẾU XỬ LÝ HỒ SƠ THANH TOÁN VƯỢT THẨM QUYỀN PD</v>
          </cell>
        </row>
      </sheetData>
      <sheetData sheetId="3299">
        <row r="1">
          <cell r="A1" t="str">
            <v>PHIẾU XỬ LÝ HỒ SƠ THANH TOÁN VƯỢT THẨM QUYỀN PD</v>
          </cell>
        </row>
      </sheetData>
      <sheetData sheetId="3300">
        <row r="1">
          <cell r="A1" t="str">
            <v>PHIẾU XỬ LÝ HỒ SƠ THANH TOÁN VƯỢT THẨM QUYỀN PD</v>
          </cell>
        </row>
      </sheetData>
      <sheetData sheetId="3301">
        <row r="1">
          <cell r="A1" t="str">
            <v>PHIẾU XỬ LÝ HỒ SƠ THANH TOÁN VƯỢT THẨM QUYỀN PD</v>
          </cell>
        </row>
      </sheetData>
      <sheetData sheetId="3302">
        <row r="1">
          <cell r="A1" t="str">
            <v>PHIẾU XỬ LÝ HỒ SƠ THANH TOÁN VƯỢT THẨM QUYỀN PD</v>
          </cell>
        </row>
      </sheetData>
      <sheetData sheetId="3303">
        <row r="1">
          <cell r="A1" t="str">
            <v>PHIẾU XỬ LÝ HỒ SƠ THANH TOÁN VƯỢT THẨM QUYỀN PD</v>
          </cell>
        </row>
      </sheetData>
      <sheetData sheetId="3304">
        <row r="1">
          <cell r="A1" t="str">
            <v>PHIẾU XỬ LÝ HỒ SƠ THANH TOÁN VƯỢT THẨM QUYỀN PD</v>
          </cell>
        </row>
      </sheetData>
      <sheetData sheetId="3305">
        <row r="1">
          <cell r="A1" t="str">
            <v>PHIẾU XỬ LÝ HỒ SƠ THANH TOÁN VƯỢT THẨM QUYỀN PD</v>
          </cell>
        </row>
      </sheetData>
      <sheetData sheetId="3306">
        <row r="1">
          <cell r="A1" t="str">
            <v>PHIẾU XỬ LÝ HỒ SƠ THANH TOÁN VƯỢT THẨM QUYỀN PD</v>
          </cell>
        </row>
      </sheetData>
      <sheetData sheetId="3307">
        <row r="1">
          <cell r="A1" t="str">
            <v>PHIẾU XỬ LÝ HỒ SƠ THANH TOÁN VƯỢT THẨM QUYỀN PD</v>
          </cell>
        </row>
      </sheetData>
      <sheetData sheetId="3308">
        <row r="1">
          <cell r="A1" t="str">
            <v>PHIẾU XỬ LÝ HỒ SƠ THANH TOÁN VƯỢT THẨM QUYỀN PD</v>
          </cell>
        </row>
      </sheetData>
      <sheetData sheetId="3309">
        <row r="1">
          <cell r="A1" t="str">
            <v>PHIẾU XỬ LÝ HỒ SƠ THANH TOÁN VƯỢT THẨM QUYỀN PD</v>
          </cell>
        </row>
      </sheetData>
      <sheetData sheetId="3310">
        <row r="1">
          <cell r="A1" t="str">
            <v>PHIẾU XỬ LÝ HỒ SƠ THANH TOÁN VƯỢT THẨM QUYỀN PD</v>
          </cell>
        </row>
      </sheetData>
      <sheetData sheetId="3311">
        <row r="1">
          <cell r="A1" t="str">
            <v>PHIẾU XỬ LÝ HỒ SƠ THANH TOÁN VƯỢT THẨM QUYỀN PD</v>
          </cell>
        </row>
      </sheetData>
      <sheetData sheetId="3312">
        <row r="1">
          <cell r="A1" t="str">
            <v>PHIẾU XỬ LÝ HỒ SƠ THANH TOÁN VƯỢT THẨM QUYỀN PD</v>
          </cell>
        </row>
      </sheetData>
      <sheetData sheetId="3313">
        <row r="1">
          <cell r="A1" t="str">
            <v>PHIẾU XỬ LÝ HỒ SƠ THANH TOÁN VƯỢT THẨM QUYỀN PD</v>
          </cell>
        </row>
      </sheetData>
      <sheetData sheetId="3314">
        <row r="1">
          <cell r="A1" t="str">
            <v>PHIẾU XỬ LÝ HỒ SƠ THANH TOÁN VƯỢT THẨM QUYỀN PD</v>
          </cell>
        </row>
      </sheetData>
      <sheetData sheetId="3315">
        <row r="1">
          <cell r="A1" t="str">
            <v>PHIẾU XỬ LÝ HỒ SƠ THANH TOÁN VƯỢT THẨM QUYỀN PD</v>
          </cell>
        </row>
      </sheetData>
      <sheetData sheetId="3316">
        <row r="1">
          <cell r="A1" t="str">
            <v>PHIẾU XỬ LÝ HỒ SƠ THANH TOÁN VƯỢT THẨM QUYỀN PD</v>
          </cell>
        </row>
      </sheetData>
      <sheetData sheetId="3317">
        <row r="1">
          <cell r="A1" t="str">
            <v>PHIẾU XỬ LÝ HỒ SƠ THANH TOÁN VƯỢT THẨM QUYỀN PD</v>
          </cell>
        </row>
      </sheetData>
      <sheetData sheetId="3318">
        <row r="1">
          <cell r="A1" t="str">
            <v>PHIẾU XỬ LÝ HỒ SƠ THANH TOÁN VƯỢT THẨM QUYỀN PD</v>
          </cell>
        </row>
      </sheetData>
      <sheetData sheetId="3319">
        <row r="1">
          <cell r="A1" t="str">
            <v>PHIẾU XỬ LÝ HỒ SƠ THANH TOÁN VƯỢT THẨM QUYỀN PD</v>
          </cell>
        </row>
      </sheetData>
      <sheetData sheetId="3320">
        <row r="1">
          <cell r="A1" t="str">
            <v>PHIẾU XỬ LÝ HỒ SƠ THANH TOÁN VƯỢT THẨM QUYỀN PD</v>
          </cell>
        </row>
      </sheetData>
      <sheetData sheetId="3321">
        <row r="1">
          <cell r="A1" t="str">
            <v>PHIẾU XỬ LÝ HỒ SƠ THANH TOÁN VƯỢT THẨM QUYỀN PD</v>
          </cell>
        </row>
      </sheetData>
      <sheetData sheetId="3322">
        <row r="1">
          <cell r="A1" t="str">
            <v>PHIẾU XỬ LÝ HỒ SƠ THANH TOÁN VƯỢT THẨM QUYỀN PD</v>
          </cell>
        </row>
      </sheetData>
      <sheetData sheetId="3323">
        <row r="1">
          <cell r="A1" t="str">
            <v>PHIẾU XỬ LÝ HỒ SƠ THANH TOÁN VƯỢT THẨM QUYỀN PD</v>
          </cell>
        </row>
      </sheetData>
      <sheetData sheetId="3324">
        <row r="1">
          <cell r="A1" t="str">
            <v>PHIẾU XỬ LÝ HỒ SƠ THANH TOÁN VƯỢT THẨM QUYỀN PD</v>
          </cell>
        </row>
      </sheetData>
      <sheetData sheetId="3325">
        <row r="1">
          <cell r="A1" t="str">
            <v>PHIẾU XỬ LÝ HỒ SƠ THANH TOÁN VƯỢT THẨM QUYỀN PD</v>
          </cell>
        </row>
      </sheetData>
      <sheetData sheetId="3326">
        <row r="1">
          <cell r="A1" t="str">
            <v>PHIẾU XỬ LÝ HỒ SƠ THANH TOÁN VƯỢT THẨM QUYỀN PD</v>
          </cell>
        </row>
      </sheetData>
      <sheetData sheetId="3327">
        <row r="1">
          <cell r="A1" t="str">
            <v>PHIẾU XỬ LÝ HỒ SƠ THANH TOÁN VƯỢT THẨM QUYỀN PD</v>
          </cell>
        </row>
      </sheetData>
      <sheetData sheetId="3328">
        <row r="1">
          <cell r="A1" t="str">
            <v>PHIẾU XỬ LÝ HỒ SƠ THANH TOÁN VƯỢT THẨM QUYỀN PD</v>
          </cell>
        </row>
      </sheetData>
      <sheetData sheetId="3329">
        <row r="1">
          <cell r="A1" t="str">
            <v>PHIẾU XỬ LÝ HỒ SƠ THANH TOÁN VƯỢT THẨM QUYỀN PD</v>
          </cell>
        </row>
      </sheetData>
      <sheetData sheetId="3330">
        <row r="1">
          <cell r="A1" t="str">
            <v>PHIẾU XỬ LÝ HỒ SƠ THANH TOÁN VƯỢT THẨM QUYỀN PD</v>
          </cell>
        </row>
      </sheetData>
      <sheetData sheetId="3331">
        <row r="1">
          <cell r="A1" t="str">
            <v>PHIẾU XỬ LÝ HỒ SƠ THANH TOÁN VƯỢT THẨM QUYỀN PD</v>
          </cell>
        </row>
      </sheetData>
      <sheetData sheetId="3332">
        <row r="1">
          <cell r="A1" t="str">
            <v>PHIẾU XỬ LÝ HỒ SƠ THANH TOÁN VƯỢT THẨM QUYỀN PD</v>
          </cell>
        </row>
      </sheetData>
      <sheetData sheetId="3333">
        <row r="1">
          <cell r="A1" t="str">
            <v>PHIẾU XỬ LÝ HỒ SƠ THANH TOÁN VƯỢT THẨM QUYỀN PD</v>
          </cell>
        </row>
      </sheetData>
      <sheetData sheetId="3334">
        <row r="1">
          <cell r="A1" t="str">
            <v>PHIẾU XỬ LÝ HỒ SƠ THANH TOÁN VƯỢT THẨM QUYỀN PD</v>
          </cell>
        </row>
      </sheetData>
      <sheetData sheetId="3335">
        <row r="1">
          <cell r="A1" t="str">
            <v>PHIẾU XỬ LÝ HỒ SƠ THANH TOÁN VƯỢT THẨM QUYỀN PD</v>
          </cell>
        </row>
      </sheetData>
      <sheetData sheetId="3336">
        <row r="1">
          <cell r="A1" t="str">
            <v>PHIẾU XỬ LÝ HỒ SƠ THANH TOÁN VƯỢT THẨM QUYỀN PD</v>
          </cell>
        </row>
      </sheetData>
      <sheetData sheetId="3337">
        <row r="1">
          <cell r="A1" t="str">
            <v>PHIẾU XỬ LÝ HỒ SƠ THANH TOÁN VƯỢT THẨM QUYỀN PD</v>
          </cell>
        </row>
      </sheetData>
      <sheetData sheetId="3338">
        <row r="1">
          <cell r="A1" t="str">
            <v>PHIẾU XỬ LÝ HỒ SƠ THANH TOÁN VƯỢT THẨM QUYỀN PD</v>
          </cell>
        </row>
      </sheetData>
      <sheetData sheetId="3339">
        <row r="1">
          <cell r="A1" t="str">
            <v>PHIẾU XỬ LÝ HỒ SƠ THANH TOÁN VƯỢT THẨM QUYỀN PD</v>
          </cell>
        </row>
      </sheetData>
      <sheetData sheetId="3340">
        <row r="1">
          <cell r="A1" t="str">
            <v>PHIẾU XỬ LÝ HỒ SƠ THANH TOÁN VƯỢT THẨM QUYỀN PD</v>
          </cell>
        </row>
      </sheetData>
      <sheetData sheetId="3341">
        <row r="1">
          <cell r="A1" t="str">
            <v>PHIẾU XỬ LÝ HỒ SƠ THANH TOÁN VƯỢT THẨM QUYỀN PD</v>
          </cell>
        </row>
      </sheetData>
      <sheetData sheetId="3342">
        <row r="1">
          <cell r="A1" t="str">
            <v>PHIẾU XỬ LÝ HỒ SƠ THANH TOÁN VƯỢT THẨM QUYỀN PD</v>
          </cell>
        </row>
      </sheetData>
      <sheetData sheetId="3343">
        <row r="1">
          <cell r="A1" t="str">
            <v>PHIẾU XỬ LÝ HỒ SƠ THANH TOÁN VƯỢT THẨM QUYỀN PD</v>
          </cell>
        </row>
      </sheetData>
      <sheetData sheetId="3344">
        <row r="1">
          <cell r="A1" t="str">
            <v>PHIẾU XỬ LÝ HỒ SƠ THANH TOÁN VƯỢT THẨM QUYỀN PD</v>
          </cell>
        </row>
      </sheetData>
      <sheetData sheetId="3345">
        <row r="1">
          <cell r="A1" t="str">
            <v>PHIẾU XỬ LÝ HỒ SƠ THANH TOÁN VƯỢT THẨM QUYỀN PD</v>
          </cell>
        </row>
      </sheetData>
      <sheetData sheetId="3346">
        <row r="1">
          <cell r="A1" t="str">
            <v>PHIẾU XỬ LÝ HỒ SƠ THANH TOÁN VƯỢT THẨM QUYỀN PD</v>
          </cell>
        </row>
      </sheetData>
      <sheetData sheetId="3347">
        <row r="1">
          <cell r="A1" t="str">
            <v>PHIẾU XỬ LÝ HỒ SƠ THANH TOÁN VƯỢT THẨM QUYỀN PD</v>
          </cell>
        </row>
      </sheetData>
      <sheetData sheetId="3348">
        <row r="1">
          <cell r="A1" t="str">
            <v>PHIẾU XỬ LÝ HỒ SƠ THANH TOÁN VƯỢT THẨM QUYỀN PD</v>
          </cell>
        </row>
      </sheetData>
      <sheetData sheetId="3349">
        <row r="1">
          <cell r="A1" t="str">
            <v>PHIẾU XỬ LÝ HỒ SƠ THANH TOÁN VƯỢT THẨM QUYỀN PD</v>
          </cell>
        </row>
      </sheetData>
      <sheetData sheetId="3350">
        <row r="1">
          <cell r="A1" t="str">
            <v>PHIẾU XỬ LÝ HỒ SƠ THANH TOÁN VƯỢT THẨM QUYỀN PD</v>
          </cell>
        </row>
      </sheetData>
      <sheetData sheetId="3351">
        <row r="1">
          <cell r="A1" t="str">
            <v>PHIẾU XỬ LÝ HỒ SƠ THANH TOÁN VƯỢT THẨM QUYỀN PD</v>
          </cell>
        </row>
      </sheetData>
      <sheetData sheetId="3352">
        <row r="1">
          <cell r="A1" t="str">
            <v>PHIẾU XỬ LÝ HỒ SƠ THANH TOÁN VƯỢT THẨM QUYỀN PD</v>
          </cell>
        </row>
      </sheetData>
      <sheetData sheetId="3353">
        <row r="1">
          <cell r="A1" t="str">
            <v>PHIẾU XỬ LÝ HỒ SƠ THANH TOÁN VƯỢT THẨM QUYỀN PD</v>
          </cell>
        </row>
      </sheetData>
      <sheetData sheetId="3354">
        <row r="1">
          <cell r="A1" t="str">
            <v>PHIẾU XỬ LÝ HỒ SƠ THANH TOÁN VƯỢT THẨM QUYỀN PD</v>
          </cell>
        </row>
      </sheetData>
      <sheetData sheetId="3355">
        <row r="1">
          <cell r="A1" t="str">
            <v>PHIẾU XỬ LÝ HỒ SƠ THANH TOÁN VƯỢT THẨM QUYỀN PD</v>
          </cell>
        </row>
      </sheetData>
      <sheetData sheetId="3356">
        <row r="1">
          <cell r="A1" t="str">
            <v>PHIẾU XỬ LÝ HỒ SƠ THANH TOÁN VƯỢT THẨM QUYỀN PD</v>
          </cell>
        </row>
      </sheetData>
      <sheetData sheetId="3357">
        <row r="1">
          <cell r="A1" t="str">
            <v>PHIẾU XỬ LÝ HỒ SƠ THANH TOÁN VƯỢT THẨM QUYỀN PD</v>
          </cell>
        </row>
      </sheetData>
      <sheetData sheetId="3358">
        <row r="1">
          <cell r="A1" t="str">
            <v>PHIẾU XỬ LÝ HỒ SƠ THANH TOÁN VƯỢT THẨM QUYỀN PD</v>
          </cell>
        </row>
      </sheetData>
      <sheetData sheetId="3359">
        <row r="1">
          <cell r="A1" t="str">
            <v>PHIẾU XỬ LÝ HỒ SƠ THANH TOÁN VƯỢT THẨM QUYỀN PD</v>
          </cell>
        </row>
      </sheetData>
      <sheetData sheetId="3360">
        <row r="1">
          <cell r="A1" t="str">
            <v>PHIẾU XỬ LÝ HỒ SƠ THANH TOÁN VƯỢT THẨM QUYỀN PD</v>
          </cell>
        </row>
      </sheetData>
      <sheetData sheetId="3361">
        <row r="1">
          <cell r="A1" t="str">
            <v>PHIẾU XỬ LÝ HỒ SƠ THANH TOÁN VƯỢT THẨM QUYỀN PD</v>
          </cell>
        </row>
      </sheetData>
      <sheetData sheetId="3362">
        <row r="1">
          <cell r="A1" t="str">
            <v>PHIẾU XỬ LÝ HỒ SƠ THANH TOÁN VƯỢT THẨM QUYỀN PD</v>
          </cell>
        </row>
      </sheetData>
      <sheetData sheetId="3363">
        <row r="1">
          <cell r="A1" t="str">
            <v>PHIẾU XỬ LÝ HỒ SƠ THANH TOÁN VƯỢT THẨM QUYỀN PD</v>
          </cell>
        </row>
      </sheetData>
      <sheetData sheetId="3364">
        <row r="1">
          <cell r="A1" t="str">
            <v>PHIẾU XỬ LÝ HỒ SƠ THANH TOÁN VƯỢT THẨM QUYỀN PD</v>
          </cell>
        </row>
      </sheetData>
      <sheetData sheetId="3365">
        <row r="1">
          <cell r="A1" t="str">
            <v>PHIẾU XỬ LÝ HỒ SƠ THANH TOÁN VƯỢT THẨM QUYỀN PD</v>
          </cell>
        </row>
      </sheetData>
      <sheetData sheetId="3366">
        <row r="1">
          <cell r="A1" t="str">
            <v>PHIẾU XỬ LÝ HỒ SƠ THANH TOÁN VƯỢT THẨM QUYỀN PD</v>
          </cell>
        </row>
      </sheetData>
      <sheetData sheetId="3367">
        <row r="1">
          <cell r="A1" t="str">
            <v>PHIẾU XỬ LÝ HỒ SƠ THANH TOÁN VƯỢT THẨM QUYỀN PD</v>
          </cell>
        </row>
      </sheetData>
      <sheetData sheetId="3368">
        <row r="1">
          <cell r="A1" t="str">
            <v>PHIẾU XỬ LÝ HỒ SƠ THANH TOÁN VƯỢT THẨM QUYỀN PD</v>
          </cell>
        </row>
      </sheetData>
      <sheetData sheetId="3369">
        <row r="1">
          <cell r="A1" t="str">
            <v>PHIẾU XỬ LÝ HỒ SƠ THANH TOÁN VƯỢT THẨM QUYỀN PD</v>
          </cell>
        </row>
      </sheetData>
      <sheetData sheetId="3370">
        <row r="1">
          <cell r="A1" t="str">
            <v>PHIẾU XỬ LÝ HỒ SƠ THANH TOÁN VƯỢT THẨM QUYỀN PD</v>
          </cell>
        </row>
      </sheetData>
      <sheetData sheetId="3371">
        <row r="1">
          <cell r="A1" t="str">
            <v>PHIẾU XỬ LÝ HỒ SƠ THANH TOÁN VƯỢT THẨM QUYỀN PD</v>
          </cell>
        </row>
      </sheetData>
      <sheetData sheetId="3372">
        <row r="1">
          <cell r="A1" t="str">
            <v>PHIẾU XỬ LÝ HỒ SƠ THANH TOÁN VƯỢT THẨM QUYỀN PD</v>
          </cell>
        </row>
      </sheetData>
      <sheetData sheetId="3373">
        <row r="1">
          <cell r="A1" t="str">
            <v>PHIẾU XỬ LÝ HỒ SƠ THANH TOÁN VƯỢT THẨM QUYỀN PD</v>
          </cell>
        </row>
      </sheetData>
      <sheetData sheetId="3374">
        <row r="1">
          <cell r="A1" t="str">
            <v>PHIẾU XỬ LÝ HỒ SƠ THANH TOÁN VƯỢT THẨM QUYỀN PD</v>
          </cell>
        </row>
      </sheetData>
      <sheetData sheetId="3375">
        <row r="1">
          <cell r="A1" t="str">
            <v>PHIẾU XỬ LÝ HỒ SƠ THANH TOÁN VƯỢT THẨM QUYỀN PD</v>
          </cell>
        </row>
      </sheetData>
      <sheetData sheetId="3376">
        <row r="1">
          <cell r="A1" t="str">
            <v>PHIẾU XỬ LÝ HỒ SƠ THANH TOÁN VƯỢT THẨM QUYỀN PD</v>
          </cell>
        </row>
      </sheetData>
      <sheetData sheetId="3377">
        <row r="1">
          <cell r="A1" t="str">
            <v>PHIẾU XỬ LÝ HỒ SƠ THANH TOÁN VƯỢT THẨM QUYỀN PD</v>
          </cell>
        </row>
      </sheetData>
      <sheetData sheetId="3378">
        <row r="1">
          <cell r="A1" t="str">
            <v>PHIẾU XỬ LÝ HỒ SƠ THANH TOÁN VƯỢT THẨM QUYỀN PD</v>
          </cell>
        </row>
      </sheetData>
      <sheetData sheetId="3379">
        <row r="1">
          <cell r="A1" t="str">
            <v>PHIẾU XỬ LÝ HỒ SƠ THANH TOÁN VƯỢT THẨM QUYỀN PD</v>
          </cell>
        </row>
      </sheetData>
      <sheetData sheetId="3380">
        <row r="1">
          <cell r="A1" t="str">
            <v>PHIẾU XỬ LÝ HỒ SƠ THANH TOÁN VƯỢT THẨM QUYỀN PD</v>
          </cell>
        </row>
      </sheetData>
      <sheetData sheetId="3381">
        <row r="1">
          <cell r="A1" t="str">
            <v>PHIẾU XỬ LÝ HỒ SƠ THANH TOÁN VƯỢT THẨM QUYỀN PD</v>
          </cell>
        </row>
      </sheetData>
      <sheetData sheetId="3382">
        <row r="1">
          <cell r="A1" t="str">
            <v>PHIẾU XỬ LÝ HỒ SƠ THANH TOÁN VƯỢT THẨM QUYỀN PD</v>
          </cell>
        </row>
      </sheetData>
      <sheetData sheetId="3383">
        <row r="1">
          <cell r="A1" t="str">
            <v>PHIẾU XỬ LÝ HỒ SƠ THANH TOÁN VƯỢT THẨM QUYỀN PD</v>
          </cell>
        </row>
      </sheetData>
      <sheetData sheetId="3384">
        <row r="1">
          <cell r="A1" t="str">
            <v>PHIẾU XỬ LÝ HỒ SƠ THANH TOÁN VƯỢT THẨM QUYỀN PD</v>
          </cell>
        </row>
      </sheetData>
      <sheetData sheetId="3385">
        <row r="1">
          <cell r="A1" t="str">
            <v>PHIẾU XỬ LÝ HỒ SƠ THANH TOÁN VƯỢT THẨM QUYỀN PD</v>
          </cell>
        </row>
      </sheetData>
      <sheetData sheetId="3386">
        <row r="1">
          <cell r="A1" t="str">
            <v>PHIẾU XỬ LÝ HỒ SƠ THANH TOÁN VƯỢT THẨM QUYỀN PD</v>
          </cell>
        </row>
      </sheetData>
      <sheetData sheetId="3387">
        <row r="1">
          <cell r="A1" t="str">
            <v>PHIẾU XỬ LÝ HỒ SƠ THANH TOÁN VƯỢT THẨM QUYỀN PD</v>
          </cell>
        </row>
      </sheetData>
      <sheetData sheetId="3388">
        <row r="1">
          <cell r="A1" t="str">
            <v>PHIẾU XỬ LÝ HỒ SƠ THANH TOÁN VƯỢT THẨM QUYỀN PD</v>
          </cell>
        </row>
      </sheetData>
      <sheetData sheetId="3389">
        <row r="1">
          <cell r="A1" t="str">
            <v>PHIẾU XỬ LÝ HỒ SƠ THANH TOÁN VƯỢT THẨM QUYỀN PD</v>
          </cell>
        </row>
      </sheetData>
      <sheetData sheetId="3390">
        <row r="1">
          <cell r="A1" t="str">
            <v>PHIẾU XỬ LÝ HỒ SƠ THANH TOÁN VƯỢT THẨM QUYỀN PD</v>
          </cell>
        </row>
      </sheetData>
      <sheetData sheetId="3391">
        <row r="1">
          <cell r="A1" t="str">
            <v>PHIẾU XỬ LÝ HỒ SƠ THANH TOÁN VƯỢT THẨM QUYỀN PD</v>
          </cell>
        </row>
      </sheetData>
      <sheetData sheetId="3392">
        <row r="1">
          <cell r="A1" t="str">
            <v>PHIẾU XỬ LÝ HỒ SƠ THANH TOÁN VƯỢT THẨM QUYỀN PD</v>
          </cell>
        </row>
      </sheetData>
      <sheetData sheetId="3393">
        <row r="1">
          <cell r="A1" t="str">
            <v>PHIẾU XỬ LÝ HỒ SƠ THANH TOÁN VƯỢT THẨM QUYỀN PD</v>
          </cell>
        </row>
      </sheetData>
      <sheetData sheetId="3394">
        <row r="1">
          <cell r="A1" t="str">
            <v>PHIẾU XỬ LÝ HỒ SƠ THANH TOÁN VƯỢT THẨM QUYỀN PD</v>
          </cell>
        </row>
      </sheetData>
      <sheetData sheetId="3395">
        <row r="1">
          <cell r="A1" t="str">
            <v>PHIẾU XỬ LÝ HỒ SƠ THANH TOÁN VƯỢT THẨM QUYỀN PD</v>
          </cell>
        </row>
      </sheetData>
      <sheetData sheetId="3396">
        <row r="1">
          <cell r="A1" t="str">
            <v>PHIẾU XỬ LÝ HỒ SƠ THANH TOÁN VƯỢT THẨM QUYỀN PD</v>
          </cell>
        </row>
      </sheetData>
      <sheetData sheetId="3397">
        <row r="1">
          <cell r="A1" t="str">
            <v>PHIẾU XỬ LÝ HỒ SƠ THANH TOÁN VƯỢT THẨM QUYỀN PD</v>
          </cell>
        </row>
      </sheetData>
      <sheetData sheetId="3398">
        <row r="1">
          <cell r="A1" t="str">
            <v>PHIẾU XỬ LÝ HỒ SƠ THANH TOÁN VƯỢT THẨM QUYỀN PD</v>
          </cell>
        </row>
      </sheetData>
      <sheetData sheetId="3399">
        <row r="1">
          <cell r="A1" t="str">
            <v>PHIẾU XỬ LÝ HỒ SƠ THANH TOÁN VƯỢT THẨM QUYỀN PD</v>
          </cell>
        </row>
      </sheetData>
      <sheetData sheetId="3400">
        <row r="1">
          <cell r="A1" t="str">
            <v>PHIẾU XỬ LÝ HỒ SƠ THANH TOÁN VƯỢT THẨM QUYỀN PD</v>
          </cell>
        </row>
      </sheetData>
      <sheetData sheetId="3401">
        <row r="1">
          <cell r="A1" t="str">
            <v>PHIẾU XỬ LÝ HỒ SƠ THANH TOÁN VƯỢT THẨM QUYỀN PD</v>
          </cell>
        </row>
      </sheetData>
      <sheetData sheetId="3402">
        <row r="1">
          <cell r="A1" t="str">
            <v>PHIẾU XỬ LÝ HỒ SƠ THANH TOÁN VƯỢT THẨM QUYỀN PD</v>
          </cell>
        </row>
      </sheetData>
      <sheetData sheetId="3403">
        <row r="1">
          <cell r="A1" t="str">
            <v>PHIẾU XỬ LÝ HỒ SƠ THANH TOÁN VƯỢT THẨM QUYỀN PD</v>
          </cell>
        </row>
      </sheetData>
      <sheetData sheetId="3404">
        <row r="1">
          <cell r="A1" t="str">
            <v>PHIẾU XỬ LÝ HỒ SƠ THANH TOÁN VƯỢT THẨM QUYỀN PD</v>
          </cell>
        </row>
      </sheetData>
      <sheetData sheetId="3405">
        <row r="1">
          <cell r="A1" t="str">
            <v>PHIẾU XỬ LÝ HỒ SƠ THANH TOÁN VƯỢT THẨM QUYỀN PD</v>
          </cell>
        </row>
      </sheetData>
      <sheetData sheetId="3406">
        <row r="1">
          <cell r="A1" t="str">
            <v>PHIẾU XỬ LÝ HỒ SƠ THANH TOÁN VƯỢT THẨM QUYỀN PD</v>
          </cell>
        </row>
      </sheetData>
      <sheetData sheetId="3407">
        <row r="1">
          <cell r="A1" t="str">
            <v>PHIẾU XỬ LÝ HỒ SƠ THANH TOÁN VƯỢT THẨM QUYỀN PD</v>
          </cell>
        </row>
      </sheetData>
      <sheetData sheetId="3408">
        <row r="1">
          <cell r="A1" t="str">
            <v>PHIẾU XỬ LÝ HỒ SƠ THANH TOÁN VƯỢT THẨM QUYỀN PD</v>
          </cell>
        </row>
      </sheetData>
      <sheetData sheetId="3409">
        <row r="1">
          <cell r="A1" t="str">
            <v>PHIẾU XỬ LÝ HỒ SƠ THANH TOÁN VƯỢT THẨM QUYỀN PD</v>
          </cell>
        </row>
      </sheetData>
      <sheetData sheetId="3410"/>
      <sheetData sheetId="3411">
        <row r="1">
          <cell r="A1" t="str">
            <v>PHIẾU XỬ LÝ HỒ SƠ THANH TOÁN VƯỢT THẨM QUYỀN PD</v>
          </cell>
        </row>
      </sheetData>
      <sheetData sheetId="3412">
        <row r="1">
          <cell r="A1" t="str">
            <v>PHIẾU XỬ LÝ HỒ SƠ THANH TOÁN VƯỢT THẨM QUYỀN PD</v>
          </cell>
        </row>
      </sheetData>
      <sheetData sheetId="3413">
        <row r="1">
          <cell r="A1" t="str">
            <v>PHIẾU XỬ LÝ HỒ SƠ THANH TOÁN VƯỢT THẨM QUYỀN PD</v>
          </cell>
        </row>
      </sheetData>
      <sheetData sheetId="3414">
        <row r="1">
          <cell r="A1" t="str">
            <v>PHIẾU XỬ LÝ HỒ SƠ THANH TOÁN VƯỢT THẨM QUYỀN PD</v>
          </cell>
        </row>
      </sheetData>
      <sheetData sheetId="3415">
        <row r="1">
          <cell r="A1" t="str">
            <v>PHIẾU XỬ LÝ HỒ SƠ THANH TOÁN VƯỢT THẨM QUYỀN PD</v>
          </cell>
        </row>
      </sheetData>
      <sheetData sheetId="3416">
        <row r="1">
          <cell r="A1" t="str">
            <v>PHIẾU XỬ LÝ HỒ SƠ THANH TOÁN VƯỢT THẨM QUYỀN PD</v>
          </cell>
        </row>
      </sheetData>
      <sheetData sheetId="3417">
        <row r="1">
          <cell r="A1" t="str">
            <v>PHIẾU XỬ LÝ HỒ SƠ THANH TOÁN VƯỢT THẨM QUYỀN PD</v>
          </cell>
        </row>
      </sheetData>
      <sheetData sheetId="3418">
        <row r="1">
          <cell r="A1" t="str">
            <v>PHIẾU XỬ LÝ HỒ SƠ THANH TOÁN VƯỢT THẨM QUYỀN PD</v>
          </cell>
        </row>
      </sheetData>
      <sheetData sheetId="3419">
        <row r="1">
          <cell r="A1" t="str">
            <v>PHIẾU XỬ LÝ HỒ SƠ THANH TOÁN VƯỢT THẨM QUYỀN PD</v>
          </cell>
        </row>
      </sheetData>
      <sheetData sheetId="3420">
        <row r="1">
          <cell r="A1" t="str">
            <v>PHIẾU XỬ LÝ HỒ SƠ THANH TOÁN VƯỢT THẨM QUYỀN PD</v>
          </cell>
        </row>
      </sheetData>
      <sheetData sheetId="3421">
        <row r="1">
          <cell r="A1" t="str">
            <v>PHIẾU XỬ LÝ HỒ SƠ THANH TOÁN VƯỢT THẨM QUYỀN PD</v>
          </cell>
        </row>
      </sheetData>
      <sheetData sheetId="3422">
        <row r="1">
          <cell r="A1" t="str">
            <v>PHIẾU XỬ LÝ HỒ SƠ THANH TOÁN VƯỢT THẨM QUYỀN PD</v>
          </cell>
        </row>
      </sheetData>
      <sheetData sheetId="3423">
        <row r="1">
          <cell r="A1" t="str">
            <v>PHIẾU XỬ LÝ HỒ SƠ THANH TOÁN VƯỢT THẨM QUYỀN PD</v>
          </cell>
        </row>
      </sheetData>
      <sheetData sheetId="3424">
        <row r="1">
          <cell r="A1" t="str">
            <v>PHIẾU XỬ LÝ HỒ SƠ THANH TOÁN VƯỢT THẨM QUYỀN PD</v>
          </cell>
        </row>
      </sheetData>
      <sheetData sheetId="3425">
        <row r="1">
          <cell r="A1" t="str">
            <v>PHIẾU XỬ LÝ HỒ SƠ THANH TOÁN VƯỢT THẨM QUYỀN PD</v>
          </cell>
        </row>
      </sheetData>
      <sheetData sheetId="3426">
        <row r="1">
          <cell r="A1" t="str">
            <v>PHIẾU XỬ LÝ HỒ SƠ THANH TOÁN VƯỢT THẨM QUYỀN PD</v>
          </cell>
        </row>
      </sheetData>
      <sheetData sheetId="3427">
        <row r="1">
          <cell r="A1" t="str">
            <v>PHIẾU XỬ LÝ HỒ SƠ THANH TOÁN VƯỢT THẨM QUYỀN PD</v>
          </cell>
        </row>
      </sheetData>
      <sheetData sheetId="3428">
        <row r="1">
          <cell r="A1" t="str">
            <v>PHIẾU XỬ LÝ HỒ SƠ THANH TOÁN VƯỢT THẨM QUYỀN PD</v>
          </cell>
        </row>
      </sheetData>
      <sheetData sheetId="3429">
        <row r="1">
          <cell r="A1" t="str">
            <v>PHIẾU XỬ LÝ HỒ SƠ THANH TOÁN VƯỢT THẨM QUYỀN PD</v>
          </cell>
        </row>
      </sheetData>
      <sheetData sheetId="3430">
        <row r="1">
          <cell r="A1" t="str">
            <v>PHIẾU XỬ LÝ HỒ SƠ THANH TOÁN VƯỢT THẨM QUYỀN PD</v>
          </cell>
        </row>
      </sheetData>
      <sheetData sheetId="3431">
        <row r="1">
          <cell r="A1" t="str">
            <v>PHIẾU XỬ LÝ HỒ SƠ THANH TOÁN VƯỢT THẨM QUYỀN PD</v>
          </cell>
        </row>
      </sheetData>
      <sheetData sheetId="3432">
        <row r="1">
          <cell r="A1" t="str">
            <v>PHIẾU XỬ LÝ HỒ SƠ THANH TOÁN VƯỢT THẨM QUYỀN PD</v>
          </cell>
        </row>
      </sheetData>
      <sheetData sheetId="3433">
        <row r="1">
          <cell r="A1" t="str">
            <v>PHIẾU XỬ LÝ HỒ SƠ THANH TOÁN VƯỢT THẨM QUYỀN PD</v>
          </cell>
        </row>
      </sheetData>
      <sheetData sheetId="3434">
        <row r="1">
          <cell r="A1" t="str">
            <v>PHIẾU XỬ LÝ HỒ SƠ THANH TOÁN VƯỢT THẨM QUYỀN PD</v>
          </cell>
        </row>
      </sheetData>
      <sheetData sheetId="3435">
        <row r="1">
          <cell r="A1" t="str">
            <v>PHIẾU XỬ LÝ HỒ SƠ THANH TOÁN VƯỢT THẨM QUYỀN PD</v>
          </cell>
        </row>
      </sheetData>
      <sheetData sheetId="3436">
        <row r="1">
          <cell r="A1" t="str">
            <v>PHIẾU XỬ LÝ HỒ SƠ THANH TOÁN VƯỢT THẨM QUYỀN PD</v>
          </cell>
        </row>
      </sheetData>
      <sheetData sheetId="3437">
        <row r="1">
          <cell r="A1" t="str">
            <v>PHIẾU XỬ LÝ HỒ SƠ THANH TOÁN VƯỢT THẨM QUYỀN PD</v>
          </cell>
        </row>
      </sheetData>
      <sheetData sheetId="3438">
        <row r="1">
          <cell r="A1" t="str">
            <v>PHIẾU XỬ LÝ HỒ SƠ THANH TOÁN VƯỢT THẨM QUYỀN PD</v>
          </cell>
        </row>
      </sheetData>
      <sheetData sheetId="3439">
        <row r="1">
          <cell r="A1" t="str">
            <v>PHIẾU XỬ LÝ HỒ SƠ THANH TOÁN VƯỢT THẨM QUYỀN PD</v>
          </cell>
        </row>
      </sheetData>
      <sheetData sheetId="3440">
        <row r="1">
          <cell r="A1" t="str">
            <v>PHIẾU XỬ LÝ HỒ SƠ THANH TOÁN VƯỢT THẨM QUYỀN PD</v>
          </cell>
        </row>
      </sheetData>
      <sheetData sheetId="3441">
        <row r="1">
          <cell r="A1" t="str">
            <v>PHIẾU XỬ LÝ HỒ SƠ THANH TOÁN VƯỢT THẨM QUYỀN PD</v>
          </cell>
        </row>
      </sheetData>
      <sheetData sheetId="3442">
        <row r="1">
          <cell r="A1" t="str">
            <v>PHIẾU XỬ LÝ HỒ SƠ THANH TOÁN VƯỢT THẨM QUYỀN PD</v>
          </cell>
        </row>
      </sheetData>
      <sheetData sheetId="3443">
        <row r="1">
          <cell r="A1" t="str">
            <v>PHIẾU XỬ LÝ HỒ SƠ THANH TOÁN VƯỢT THẨM QUYỀN PD</v>
          </cell>
        </row>
      </sheetData>
      <sheetData sheetId="3444">
        <row r="1">
          <cell r="A1" t="str">
            <v>PHIẾU XỬ LÝ HỒ SƠ THANH TOÁN VƯỢT THẨM QUYỀN PD</v>
          </cell>
        </row>
      </sheetData>
      <sheetData sheetId="3445">
        <row r="1">
          <cell r="A1" t="str">
            <v>PHIẾU XỬ LÝ HỒ SƠ THANH TOÁN VƯỢT THẨM QUYỀN PD</v>
          </cell>
        </row>
      </sheetData>
      <sheetData sheetId="3446">
        <row r="1">
          <cell r="A1" t="str">
            <v>PHIẾU XỬ LÝ HỒ SƠ THANH TOÁN VƯỢT THẨM QUYỀN PD</v>
          </cell>
        </row>
      </sheetData>
      <sheetData sheetId="3447">
        <row r="1">
          <cell r="A1" t="str">
            <v>PHIẾU XỬ LÝ HỒ SƠ THANH TOÁN VƯỢT THẨM QUYỀN PD</v>
          </cell>
        </row>
      </sheetData>
      <sheetData sheetId="3448">
        <row r="1">
          <cell r="A1" t="str">
            <v>PHIẾU XỬ LÝ HỒ SƠ THANH TOÁN VƯỢT THẨM QUYỀN PD</v>
          </cell>
        </row>
      </sheetData>
      <sheetData sheetId="3449">
        <row r="1">
          <cell r="A1" t="str">
            <v>PHIẾU XỬ LÝ HỒ SƠ THANH TOÁN VƯỢT THẨM QUYỀN PD</v>
          </cell>
        </row>
      </sheetData>
      <sheetData sheetId="3450">
        <row r="1">
          <cell r="A1" t="str">
            <v>PHIẾU XỬ LÝ HỒ SƠ THANH TOÁN VƯỢT THẨM QUYỀN PD</v>
          </cell>
        </row>
      </sheetData>
      <sheetData sheetId="3451">
        <row r="1">
          <cell r="A1" t="str">
            <v>PHIẾU XỬ LÝ HỒ SƠ THANH TOÁN VƯỢT THẨM QUYỀN PD</v>
          </cell>
        </row>
      </sheetData>
      <sheetData sheetId="3452">
        <row r="1">
          <cell r="A1" t="str">
            <v>PHIẾU XỬ LÝ HỒ SƠ THANH TOÁN VƯỢT THẨM QUYỀN PD</v>
          </cell>
        </row>
      </sheetData>
      <sheetData sheetId="3453">
        <row r="1">
          <cell r="A1" t="str">
            <v>PHIẾU XỬ LÝ HỒ SƠ THANH TOÁN VƯỢT THẨM QUYỀN PD</v>
          </cell>
        </row>
      </sheetData>
      <sheetData sheetId="3454">
        <row r="1">
          <cell r="A1" t="str">
            <v>PHIẾU XỬ LÝ HỒ SƠ THANH TOÁN VƯỢT THẨM QUYỀN PD</v>
          </cell>
        </row>
      </sheetData>
      <sheetData sheetId="3455">
        <row r="1">
          <cell r="A1" t="str">
            <v>PHIẾU XỬ LÝ HỒ SƠ THANH TOÁN VƯỢT THẨM QUYỀN PD</v>
          </cell>
        </row>
      </sheetData>
      <sheetData sheetId="3456">
        <row r="1">
          <cell r="A1" t="str">
            <v>PHIẾU XỬ LÝ HỒ SƠ THANH TOÁN VƯỢT THẨM QUYỀN PD</v>
          </cell>
        </row>
      </sheetData>
      <sheetData sheetId="3457">
        <row r="1">
          <cell r="A1" t="str">
            <v>PHIẾU XỬ LÝ HỒ SƠ THANH TOÁN VƯỢT THẨM QUYỀN PD</v>
          </cell>
        </row>
      </sheetData>
      <sheetData sheetId="3458">
        <row r="1">
          <cell r="A1" t="str">
            <v>PHIẾU XỬ LÝ HỒ SƠ THANH TOÁN VƯỢT THẨM QUYỀN PD</v>
          </cell>
        </row>
      </sheetData>
      <sheetData sheetId="3459">
        <row r="1">
          <cell r="A1" t="str">
            <v>PHIẾU XỬ LÝ HỒ SƠ THANH TOÁN VƯỢT THẨM QUYỀN PD</v>
          </cell>
        </row>
      </sheetData>
      <sheetData sheetId="3460">
        <row r="1">
          <cell r="A1" t="str">
            <v>PHIẾU XỬ LÝ HỒ SƠ THANH TOÁN VƯỢT THẨM QUYỀN PD</v>
          </cell>
        </row>
      </sheetData>
      <sheetData sheetId="3461">
        <row r="1">
          <cell r="A1" t="str">
            <v>PHIẾU XỬ LÝ HỒ SƠ THANH TOÁN VƯỢT THẨM QUYỀN PD</v>
          </cell>
        </row>
      </sheetData>
      <sheetData sheetId="3462">
        <row r="1">
          <cell r="A1" t="str">
            <v>PHIẾU XỬ LÝ HỒ SƠ THANH TOÁN VƯỢT THẨM QUYỀN PD</v>
          </cell>
        </row>
      </sheetData>
      <sheetData sheetId="3463">
        <row r="1">
          <cell r="A1" t="str">
            <v>PHIẾU XỬ LÝ HỒ SƠ THANH TOÁN VƯỢT THẨM QUYỀN PD</v>
          </cell>
        </row>
      </sheetData>
      <sheetData sheetId="3464">
        <row r="1">
          <cell r="A1" t="str">
            <v>PHIẾU XỬ LÝ HỒ SƠ THANH TOÁN VƯỢT THẨM QUYỀN PD</v>
          </cell>
        </row>
      </sheetData>
      <sheetData sheetId="3465">
        <row r="1">
          <cell r="A1" t="str">
            <v>PHIẾU XỬ LÝ HỒ SƠ THANH TOÁN VƯỢT THẨM QUYỀN PD</v>
          </cell>
        </row>
      </sheetData>
      <sheetData sheetId="3466">
        <row r="1">
          <cell r="A1" t="str">
            <v>PHIẾU XỬ LÝ HỒ SƠ THANH TOÁN VƯỢT THẨM QUYỀN PD</v>
          </cell>
        </row>
      </sheetData>
      <sheetData sheetId="3467">
        <row r="1">
          <cell r="A1" t="str">
            <v>PHIẾU XỬ LÝ HỒ SƠ THANH TOÁN VƯỢT THẨM QUYỀN PD</v>
          </cell>
        </row>
      </sheetData>
      <sheetData sheetId="3468">
        <row r="1">
          <cell r="A1" t="str">
            <v>PHIẾU XỬ LÝ HỒ SƠ THANH TOÁN VƯỢT THẨM QUYỀN PD</v>
          </cell>
        </row>
      </sheetData>
      <sheetData sheetId="3469">
        <row r="1">
          <cell r="A1" t="str">
            <v>PHIẾU XỬ LÝ HỒ SƠ THANH TOÁN VƯỢT THẨM QUYỀN PD</v>
          </cell>
        </row>
      </sheetData>
      <sheetData sheetId="3470">
        <row r="1">
          <cell r="A1" t="str">
            <v>PHIẾU XỬ LÝ HỒ SƠ THANH TOÁN VƯỢT THẨM QUYỀN PD</v>
          </cell>
        </row>
      </sheetData>
      <sheetData sheetId="3471">
        <row r="1">
          <cell r="A1" t="str">
            <v>PHIẾU XỬ LÝ HỒ SƠ THANH TOÁN VƯỢT THẨM QUYỀN PD</v>
          </cell>
        </row>
      </sheetData>
      <sheetData sheetId="3472">
        <row r="1">
          <cell r="A1" t="str">
            <v>PHIẾU XỬ LÝ HỒ SƠ THANH TOÁN VƯỢT THẨM QUYỀN PD</v>
          </cell>
        </row>
      </sheetData>
      <sheetData sheetId="3473">
        <row r="1">
          <cell r="A1" t="str">
            <v>PHIẾU XỬ LÝ HỒ SƠ THANH TOÁN VƯỢT THẨM QUYỀN PD</v>
          </cell>
        </row>
      </sheetData>
      <sheetData sheetId="3474">
        <row r="1">
          <cell r="A1" t="str">
            <v>PHIẾU XỬ LÝ HỒ SƠ THANH TOÁN VƯỢT THẨM QUYỀN PD</v>
          </cell>
        </row>
      </sheetData>
      <sheetData sheetId="3475">
        <row r="1">
          <cell r="A1" t="str">
            <v>PHIẾU XỬ LÝ HỒ SƠ THANH TOÁN VƯỢT THẨM QUYỀN PD</v>
          </cell>
        </row>
      </sheetData>
      <sheetData sheetId="3476">
        <row r="1">
          <cell r="A1" t="str">
            <v>PHIẾU XỬ LÝ HỒ SƠ THANH TOÁN VƯỢT THẨM QUYỀN PD</v>
          </cell>
        </row>
      </sheetData>
      <sheetData sheetId="3477">
        <row r="1">
          <cell r="A1" t="str">
            <v>PHIẾU XỬ LÝ HỒ SƠ THANH TOÁN VƯỢT THẨM QUYỀN PD</v>
          </cell>
        </row>
      </sheetData>
      <sheetData sheetId="3478">
        <row r="1">
          <cell r="A1" t="str">
            <v>PHIẾU XỬ LÝ HỒ SƠ THANH TOÁN VƯỢT THẨM QUYỀN PD</v>
          </cell>
        </row>
      </sheetData>
      <sheetData sheetId="3479">
        <row r="1">
          <cell r="A1" t="str">
            <v>PHIẾU XỬ LÝ HỒ SƠ THANH TOÁN VƯỢT THẨM QUYỀN PD</v>
          </cell>
        </row>
      </sheetData>
      <sheetData sheetId="3480">
        <row r="1">
          <cell r="A1" t="str">
            <v>PHIẾU XỬ LÝ HỒ SƠ THANH TOÁN VƯỢT THẨM QUYỀN PD</v>
          </cell>
        </row>
      </sheetData>
      <sheetData sheetId="3481">
        <row r="1">
          <cell r="A1" t="str">
            <v>PHIẾU XỬ LÝ HỒ SƠ THANH TOÁN VƯỢT THẨM QUYỀN PD</v>
          </cell>
        </row>
      </sheetData>
      <sheetData sheetId="3482">
        <row r="1">
          <cell r="A1" t="str">
            <v>PHIẾU XỬ LÝ HỒ SƠ THANH TOÁN VƯỢT THẨM QUYỀN PD</v>
          </cell>
        </row>
      </sheetData>
      <sheetData sheetId="3483">
        <row r="1">
          <cell r="A1" t="str">
            <v>PHIẾU XỬ LÝ HỒ SƠ THANH TOÁN VƯỢT THẨM QUYỀN PD</v>
          </cell>
        </row>
      </sheetData>
      <sheetData sheetId="3484">
        <row r="1">
          <cell r="A1" t="str">
            <v>PHIẾU XỬ LÝ HỒ SƠ THANH TOÁN VƯỢT THẨM QUYỀN PD</v>
          </cell>
        </row>
      </sheetData>
      <sheetData sheetId="3485">
        <row r="1">
          <cell r="A1" t="str">
            <v>PHIẾU XỬ LÝ HỒ SƠ THANH TOÁN VƯỢT THẨM QUYỀN PD</v>
          </cell>
        </row>
      </sheetData>
      <sheetData sheetId="3486">
        <row r="1">
          <cell r="A1" t="str">
            <v>PHIẾU XỬ LÝ HỒ SƠ THANH TOÁN VƯỢT THẨM QUYỀN PD</v>
          </cell>
        </row>
      </sheetData>
      <sheetData sheetId="3487">
        <row r="1">
          <cell r="A1" t="str">
            <v>PHIẾU XỬ LÝ HỒ SƠ THANH TOÁN VƯỢT THẨM QUYỀN PD</v>
          </cell>
        </row>
      </sheetData>
      <sheetData sheetId="3488">
        <row r="1">
          <cell r="A1" t="str">
            <v>PHIẾU XỬ LÝ HỒ SƠ THANH TOÁN VƯỢT THẨM QUYỀN PD</v>
          </cell>
        </row>
      </sheetData>
      <sheetData sheetId="3489">
        <row r="1">
          <cell r="A1" t="str">
            <v>PHIẾU XỬ LÝ HỒ SƠ THANH TOÁN VƯỢT THẨM QUYỀN PD</v>
          </cell>
        </row>
      </sheetData>
      <sheetData sheetId="3490">
        <row r="1">
          <cell r="A1" t="str">
            <v>PHIẾU XỬ LÝ HỒ SƠ THANH TOÁN VƯỢT THẨM QUYỀN PD</v>
          </cell>
        </row>
      </sheetData>
      <sheetData sheetId="3491">
        <row r="1">
          <cell r="A1" t="str">
            <v>PHIẾU XỬ LÝ HỒ SƠ THANH TOÁN VƯỢT THẨM QUYỀN PD</v>
          </cell>
        </row>
      </sheetData>
      <sheetData sheetId="3492">
        <row r="1">
          <cell r="A1" t="str">
            <v>PHIẾU XỬ LÝ HỒ SƠ THANH TOÁN VƯỢT THẨM QUYỀN PD</v>
          </cell>
        </row>
      </sheetData>
      <sheetData sheetId="3493">
        <row r="1">
          <cell r="A1" t="str">
            <v>PHIẾU XỬ LÝ HỒ SƠ THANH TOÁN VƯỢT THẨM QUYỀN PD</v>
          </cell>
        </row>
      </sheetData>
      <sheetData sheetId="3494">
        <row r="1">
          <cell r="A1" t="str">
            <v>PHIẾU XỬ LÝ HỒ SƠ THANH TOÁN VƯỢT THẨM QUYỀN PD</v>
          </cell>
        </row>
      </sheetData>
      <sheetData sheetId="3495">
        <row r="1">
          <cell r="A1" t="str">
            <v>PHIẾU XỬ LÝ HỒ SƠ THANH TOÁN VƯỢT THẨM QUYỀN PD</v>
          </cell>
        </row>
      </sheetData>
      <sheetData sheetId="3496">
        <row r="1">
          <cell r="A1" t="str">
            <v>PHIẾU XỬ LÝ HỒ SƠ THANH TOÁN VƯỢT THẨM QUYỀN PD</v>
          </cell>
        </row>
      </sheetData>
      <sheetData sheetId="3497">
        <row r="1">
          <cell r="A1" t="str">
            <v>PHIẾU XỬ LÝ HỒ SƠ THANH TOÁN VƯỢT THẨM QUYỀN PD</v>
          </cell>
        </row>
      </sheetData>
      <sheetData sheetId="3498">
        <row r="1">
          <cell r="A1" t="str">
            <v>PHIẾU XỬ LÝ HỒ SƠ THANH TOÁN VƯỢT THẨM QUYỀN PD</v>
          </cell>
        </row>
      </sheetData>
      <sheetData sheetId="3499">
        <row r="1">
          <cell r="A1" t="str">
            <v>PHIẾU XỬ LÝ HỒ SƠ THANH TOÁN VƯỢT THẨM QUYỀN PD</v>
          </cell>
        </row>
      </sheetData>
      <sheetData sheetId="3500">
        <row r="1">
          <cell r="A1" t="str">
            <v>PHIẾU XỬ LÝ HỒ SƠ THANH TOÁN VƯỢT THẨM QUYỀN PD</v>
          </cell>
        </row>
      </sheetData>
      <sheetData sheetId="3501">
        <row r="1">
          <cell r="A1" t="str">
            <v>PHIẾU XỬ LÝ HỒ SƠ THANH TOÁN VƯỢT THẨM QUYỀN PD</v>
          </cell>
        </row>
      </sheetData>
      <sheetData sheetId="3502">
        <row r="1">
          <cell r="A1" t="str">
            <v>PHIẾU XỬ LÝ HỒ SƠ THANH TOÁN VƯỢT THẨM QUYỀN PD</v>
          </cell>
        </row>
      </sheetData>
      <sheetData sheetId="3503">
        <row r="1">
          <cell r="A1" t="str">
            <v>PHIẾU XỬ LÝ HỒ SƠ THANH TOÁN VƯỢT THẨM QUYỀN PD</v>
          </cell>
        </row>
      </sheetData>
      <sheetData sheetId="3504">
        <row r="1">
          <cell r="A1" t="str">
            <v>PHIẾU XỬ LÝ HỒ SƠ THANH TOÁN VƯỢT THẨM QUYỀN PD</v>
          </cell>
        </row>
      </sheetData>
      <sheetData sheetId="3505">
        <row r="1">
          <cell r="A1" t="str">
            <v>PHIẾU XỬ LÝ HỒ SƠ THANH TOÁN VƯỢT THẨM QUYỀN PD</v>
          </cell>
        </row>
      </sheetData>
      <sheetData sheetId="3506">
        <row r="1">
          <cell r="A1" t="str">
            <v>PHIẾU XỬ LÝ HỒ SƠ THANH TOÁN VƯỢT THẨM QUYỀN PD</v>
          </cell>
        </row>
      </sheetData>
      <sheetData sheetId="3507">
        <row r="1">
          <cell r="A1" t="str">
            <v>PHIẾU XỬ LÝ HỒ SƠ THANH TOÁN VƯỢT THẨM QUYỀN PD</v>
          </cell>
        </row>
      </sheetData>
      <sheetData sheetId="3508">
        <row r="1">
          <cell r="A1" t="str">
            <v>PHIẾU XỬ LÝ HỒ SƠ THANH TOÁN VƯỢT THẨM QUYỀN PD</v>
          </cell>
        </row>
      </sheetData>
      <sheetData sheetId="3509">
        <row r="1">
          <cell r="A1" t="str">
            <v>PHIẾU XỬ LÝ HỒ SƠ THANH TOÁN VƯỢT THẨM QUYỀN PD</v>
          </cell>
        </row>
      </sheetData>
      <sheetData sheetId="3510">
        <row r="1">
          <cell r="A1" t="str">
            <v>PHIẾU XỬ LÝ HỒ SƠ THANH TOÁN VƯỢT THẨM QUYỀN PD</v>
          </cell>
        </row>
      </sheetData>
      <sheetData sheetId="3511">
        <row r="1">
          <cell r="A1" t="str">
            <v>PHIẾU XỬ LÝ HỒ SƠ THANH TOÁN VƯỢT THẨM QUYỀN PD</v>
          </cell>
        </row>
      </sheetData>
      <sheetData sheetId="3512">
        <row r="1">
          <cell r="A1" t="str">
            <v>PHIẾU XỬ LÝ HỒ SƠ THANH TOÁN VƯỢT THẨM QUYỀN PD</v>
          </cell>
        </row>
      </sheetData>
      <sheetData sheetId="3513">
        <row r="1">
          <cell r="A1" t="str">
            <v>PHIẾU XỬ LÝ HỒ SƠ THANH TOÁN VƯỢT THẨM QUYỀN PD</v>
          </cell>
        </row>
      </sheetData>
      <sheetData sheetId="3514">
        <row r="1">
          <cell r="A1" t="str">
            <v>PHIẾU XỬ LÝ HỒ SƠ THANH TOÁN VƯỢT THẨM QUYỀN PD</v>
          </cell>
        </row>
      </sheetData>
      <sheetData sheetId="3515">
        <row r="1">
          <cell r="A1" t="str">
            <v>PHIẾU XỬ LÝ HỒ SƠ THANH TOÁN VƯỢT THẨM QUYỀN PD</v>
          </cell>
        </row>
      </sheetData>
      <sheetData sheetId="3516">
        <row r="1">
          <cell r="A1" t="str">
            <v>PHIẾU XỬ LÝ HỒ SƠ THANH TOÁN VƯỢT THẨM QUYỀN PD</v>
          </cell>
        </row>
      </sheetData>
      <sheetData sheetId="3517">
        <row r="1">
          <cell r="A1" t="str">
            <v>PHIẾU XỬ LÝ HỒ SƠ THANH TOÁN VƯỢT THẨM QUYỀN PD</v>
          </cell>
        </row>
      </sheetData>
      <sheetData sheetId="3518">
        <row r="1">
          <cell r="A1" t="str">
            <v>PHIẾU XỬ LÝ HỒ SƠ THANH TOÁN VƯỢT THẨM QUYỀN PD</v>
          </cell>
        </row>
      </sheetData>
      <sheetData sheetId="3519">
        <row r="1">
          <cell r="A1" t="str">
            <v>PHIẾU XỬ LÝ HỒ SƠ THANH TOÁN VƯỢT THẨM QUYỀN PD</v>
          </cell>
        </row>
      </sheetData>
      <sheetData sheetId="3520">
        <row r="1">
          <cell r="A1" t="str">
            <v>PHIẾU XỬ LÝ HỒ SƠ THANH TOÁN VƯỢT THẨM QUYỀN PD</v>
          </cell>
        </row>
      </sheetData>
      <sheetData sheetId="3521">
        <row r="1">
          <cell r="A1" t="str">
            <v>PHIẾU XỬ LÝ HỒ SƠ THANH TOÁN VƯỢT THẨM QUYỀN PD</v>
          </cell>
        </row>
      </sheetData>
      <sheetData sheetId="3522">
        <row r="1">
          <cell r="A1" t="str">
            <v>PHIẾU XỬ LÝ HỒ SƠ THANH TOÁN VƯỢT THẨM QUYỀN PD</v>
          </cell>
        </row>
      </sheetData>
      <sheetData sheetId="3523">
        <row r="1">
          <cell r="A1" t="str">
            <v>PHIẾU XỬ LÝ HỒ SƠ THANH TOÁN VƯỢT THẨM QUYỀN PD</v>
          </cell>
        </row>
      </sheetData>
      <sheetData sheetId="3524">
        <row r="1">
          <cell r="A1" t="str">
            <v>PHIẾU XỬ LÝ HỒ SƠ THANH TOÁN VƯỢT THẨM QUYỀN PD</v>
          </cell>
        </row>
      </sheetData>
      <sheetData sheetId="3525">
        <row r="1">
          <cell r="A1" t="str">
            <v>PHIẾU XỬ LÝ HỒ SƠ THANH TOÁN VƯỢT THẨM QUYỀN PD</v>
          </cell>
        </row>
      </sheetData>
      <sheetData sheetId="3526">
        <row r="1">
          <cell r="A1" t="str">
            <v>PHIẾU XỬ LÝ HỒ SƠ THANH TOÁN VƯỢT THẨM QUYỀN PD</v>
          </cell>
        </row>
      </sheetData>
      <sheetData sheetId="3527">
        <row r="1">
          <cell r="A1" t="str">
            <v>PHIẾU XỬ LÝ HỒ SƠ THANH TOÁN VƯỢT THẨM QUYỀN PD</v>
          </cell>
        </row>
      </sheetData>
      <sheetData sheetId="3528">
        <row r="1">
          <cell r="A1" t="str">
            <v>PHIẾU XỬ LÝ HỒ SƠ THANH TOÁN VƯỢT THẨM QUYỀN PD</v>
          </cell>
        </row>
      </sheetData>
      <sheetData sheetId="3529">
        <row r="1">
          <cell r="A1" t="str">
            <v>PHIẾU XỬ LÝ HỒ SƠ THANH TOÁN VƯỢT THẨM QUYỀN PD</v>
          </cell>
        </row>
      </sheetData>
      <sheetData sheetId="3530">
        <row r="1">
          <cell r="A1" t="str">
            <v>PHIẾU XỬ LÝ HỒ SƠ THANH TOÁN VƯỢT THẨM QUYỀN PD</v>
          </cell>
        </row>
      </sheetData>
      <sheetData sheetId="3531">
        <row r="1">
          <cell r="A1" t="str">
            <v>PHIẾU XỬ LÝ HỒ SƠ THANH TOÁN VƯỢT THẨM QUYỀN PD</v>
          </cell>
        </row>
      </sheetData>
      <sheetData sheetId="3532">
        <row r="1">
          <cell r="A1" t="str">
            <v>PHIẾU XỬ LÝ HỒ SƠ THANH TOÁN VƯỢT THẨM QUYỀN PD</v>
          </cell>
        </row>
      </sheetData>
      <sheetData sheetId="3533">
        <row r="1">
          <cell r="A1" t="str">
            <v>PHIẾU XỬ LÝ HỒ SƠ THANH TOÁN VƯỢT THẨM QUYỀN PD</v>
          </cell>
        </row>
      </sheetData>
      <sheetData sheetId="3534">
        <row r="1">
          <cell r="A1" t="str">
            <v>PHIẾU XỬ LÝ HỒ SƠ THANH TOÁN VƯỢT THẨM QUYỀN PD</v>
          </cell>
        </row>
      </sheetData>
      <sheetData sheetId="3535">
        <row r="1">
          <cell r="A1" t="str">
            <v>PHIẾU XỬ LÝ HỒ SƠ THANH TOÁN VƯỢT THẨM QUYỀN PD</v>
          </cell>
        </row>
      </sheetData>
      <sheetData sheetId="3536">
        <row r="1">
          <cell r="A1" t="str">
            <v>PHIẾU XỬ LÝ HỒ SƠ THANH TOÁN VƯỢT THẨM QUYỀN PD</v>
          </cell>
        </row>
      </sheetData>
      <sheetData sheetId="3537">
        <row r="1">
          <cell r="A1" t="str">
            <v>PHIẾU XỬ LÝ HỒ SƠ THANH TOÁN VƯỢT THẨM QUYỀN PD</v>
          </cell>
        </row>
      </sheetData>
      <sheetData sheetId="3538">
        <row r="1">
          <cell r="A1" t="str">
            <v>PHIẾU XỬ LÝ HỒ SƠ THANH TOÁN VƯỢT THẨM QUYỀN PD</v>
          </cell>
        </row>
      </sheetData>
      <sheetData sheetId="3539">
        <row r="1">
          <cell r="A1" t="str">
            <v>PHIẾU XỬ LÝ HỒ SƠ THANH TOÁN VƯỢT THẨM QUYỀN PD</v>
          </cell>
        </row>
      </sheetData>
      <sheetData sheetId="3540">
        <row r="1">
          <cell r="A1" t="str">
            <v>PHIẾU XỬ LÝ HỒ SƠ THANH TOÁN VƯỢT THẨM QUYỀN PD</v>
          </cell>
        </row>
      </sheetData>
      <sheetData sheetId="3541">
        <row r="1">
          <cell r="A1" t="str">
            <v>PHIẾU XỬ LÝ HỒ SƠ THANH TOÁN VƯỢT THẨM QUYỀN PD</v>
          </cell>
        </row>
      </sheetData>
      <sheetData sheetId="3542">
        <row r="1">
          <cell r="A1" t="str">
            <v>PHIẾU XỬ LÝ HỒ SƠ THANH TOÁN VƯỢT THẨM QUYỀN PD</v>
          </cell>
        </row>
      </sheetData>
      <sheetData sheetId="3543">
        <row r="1">
          <cell r="A1" t="str">
            <v>PHIẾU XỬ LÝ HỒ SƠ THANH TOÁN VƯỢT THẨM QUYỀN PD</v>
          </cell>
        </row>
      </sheetData>
      <sheetData sheetId="3544">
        <row r="1">
          <cell r="A1" t="str">
            <v>PHIẾU XỬ LÝ HỒ SƠ THANH TOÁN VƯỢT THẨM QUYỀN PD</v>
          </cell>
        </row>
      </sheetData>
      <sheetData sheetId="3545">
        <row r="1">
          <cell r="A1" t="str">
            <v>PHIẾU XỬ LÝ HỒ SƠ THANH TOÁN VƯỢT THẨM QUYỀN PD</v>
          </cell>
        </row>
      </sheetData>
      <sheetData sheetId="3546">
        <row r="1">
          <cell r="A1" t="str">
            <v>PHIẾU XỬ LÝ HỒ SƠ THANH TOÁN VƯỢT THẨM QUYỀN PD</v>
          </cell>
        </row>
      </sheetData>
      <sheetData sheetId="3547">
        <row r="1">
          <cell r="A1" t="str">
            <v>PHIẾU XỬ LÝ HỒ SƠ THANH TOÁN VƯỢT THẨM QUYỀN PD</v>
          </cell>
        </row>
      </sheetData>
      <sheetData sheetId="3548">
        <row r="1">
          <cell r="A1" t="str">
            <v>PHIẾU XỬ LÝ HỒ SƠ THANH TOÁN VƯỢT THẨM QUYỀN PD</v>
          </cell>
        </row>
      </sheetData>
      <sheetData sheetId="3549">
        <row r="1">
          <cell r="A1" t="str">
            <v>PHIẾU XỬ LÝ HỒ SƠ THANH TOÁN VƯỢT THẨM QUYỀN PD</v>
          </cell>
        </row>
      </sheetData>
      <sheetData sheetId="3550">
        <row r="1">
          <cell r="A1" t="str">
            <v>PHIẾU XỬ LÝ HỒ SƠ THANH TOÁN VƯỢT THẨM QUYỀN PD</v>
          </cell>
        </row>
      </sheetData>
      <sheetData sheetId="3551">
        <row r="1">
          <cell r="A1" t="str">
            <v>PHIẾU XỬ LÝ HỒ SƠ THANH TOÁN VƯỢT THẨM QUYỀN PD</v>
          </cell>
        </row>
      </sheetData>
      <sheetData sheetId="3552">
        <row r="1">
          <cell r="A1" t="str">
            <v>PHIẾU XỬ LÝ HỒ SƠ THANH TOÁN VƯỢT THẨM QUYỀN PD</v>
          </cell>
        </row>
      </sheetData>
      <sheetData sheetId="3553">
        <row r="1">
          <cell r="A1" t="str">
            <v>PHIẾU XỬ LÝ HỒ SƠ THANH TOÁN VƯỢT THẨM QUYỀN PD</v>
          </cell>
        </row>
      </sheetData>
      <sheetData sheetId="3554">
        <row r="1">
          <cell r="A1" t="str">
            <v>PHIẾU XỬ LÝ HỒ SƠ THANH TOÁN VƯỢT THẨM QUYỀN PD</v>
          </cell>
        </row>
      </sheetData>
      <sheetData sheetId="3555">
        <row r="1">
          <cell r="A1" t="str">
            <v>PHIẾU XỬ LÝ HỒ SƠ THANH TOÁN VƯỢT THẨM QUYỀN PD</v>
          </cell>
        </row>
      </sheetData>
      <sheetData sheetId="3556">
        <row r="1">
          <cell r="A1" t="str">
            <v>PHIẾU XỬ LÝ HỒ SƠ THANH TOÁN VƯỢT THẨM QUYỀN PD</v>
          </cell>
        </row>
      </sheetData>
      <sheetData sheetId="3557">
        <row r="1">
          <cell r="A1" t="str">
            <v>PHIẾU XỬ LÝ HỒ SƠ THANH TOÁN VƯỢT THẨM QUYỀN PD</v>
          </cell>
        </row>
      </sheetData>
      <sheetData sheetId="3558">
        <row r="1">
          <cell r="A1" t="str">
            <v>PHIẾU XỬ LÝ HỒ SƠ THANH TOÁN VƯỢT THẨM QUYỀN PD</v>
          </cell>
        </row>
      </sheetData>
      <sheetData sheetId="3559">
        <row r="1">
          <cell r="A1" t="str">
            <v>PHIẾU XỬ LÝ HỒ SƠ THANH TOÁN VƯỢT THẨM QUYỀN PD</v>
          </cell>
        </row>
      </sheetData>
      <sheetData sheetId="3560">
        <row r="1">
          <cell r="A1" t="str">
            <v>PHIẾU XỬ LÝ HỒ SƠ THANH TOÁN VƯỢT THẨM QUYỀN PD</v>
          </cell>
        </row>
      </sheetData>
      <sheetData sheetId="3561">
        <row r="1">
          <cell r="A1" t="str">
            <v>PHIẾU XỬ LÝ HỒ SƠ THANH TOÁN VƯỢT THẨM QUYỀN PD</v>
          </cell>
        </row>
      </sheetData>
      <sheetData sheetId="3562">
        <row r="1">
          <cell r="A1" t="str">
            <v>PHIẾU XỬ LÝ HỒ SƠ THANH TOÁN VƯỢT THẨM QUYỀN PD</v>
          </cell>
        </row>
      </sheetData>
      <sheetData sheetId="3563">
        <row r="1">
          <cell r="A1" t="str">
            <v>PHIẾU XỬ LÝ HỒ SƠ THANH TOÁN VƯỢT THẨM QUYỀN PD</v>
          </cell>
        </row>
      </sheetData>
      <sheetData sheetId="3564">
        <row r="1">
          <cell r="A1" t="str">
            <v>PHIẾU XỬ LÝ HỒ SƠ THANH TOÁN VƯỢT THẨM QUYỀN PD</v>
          </cell>
        </row>
      </sheetData>
      <sheetData sheetId="3565">
        <row r="1">
          <cell r="A1" t="str">
            <v>PHIẾU XỬ LÝ HỒ SƠ THANH TOÁN VƯỢT THẨM QUYỀN PD</v>
          </cell>
        </row>
      </sheetData>
      <sheetData sheetId="3566">
        <row r="1">
          <cell r="A1" t="str">
            <v>PHIẾU XỬ LÝ HỒ SƠ THANH TOÁN VƯỢT THẨM QUYỀN PD</v>
          </cell>
        </row>
      </sheetData>
      <sheetData sheetId="3567">
        <row r="1">
          <cell r="A1" t="str">
            <v>PHIẾU XỬ LÝ HỒ SƠ THANH TOÁN VƯỢT THẨM QUYỀN PD</v>
          </cell>
        </row>
      </sheetData>
      <sheetData sheetId="3568">
        <row r="1">
          <cell r="A1" t="str">
            <v>PHIẾU XỬ LÝ HỒ SƠ THANH TOÁN VƯỢT THẨM QUYỀN PD</v>
          </cell>
        </row>
      </sheetData>
      <sheetData sheetId="3569">
        <row r="1">
          <cell r="A1" t="str">
            <v>PHIẾU XỬ LÝ HỒ SƠ THANH TOÁN VƯỢT THẨM QUYỀN PD</v>
          </cell>
        </row>
      </sheetData>
      <sheetData sheetId="3570">
        <row r="1">
          <cell r="A1" t="str">
            <v>PHIẾU XỬ LÝ HỒ SƠ THANH TOÁN VƯỢT THẨM QUYỀN PD</v>
          </cell>
        </row>
      </sheetData>
      <sheetData sheetId="3571">
        <row r="1">
          <cell r="A1" t="str">
            <v>PHIẾU XỬ LÝ HỒ SƠ THANH TOÁN VƯỢT THẨM QUYỀN PD</v>
          </cell>
        </row>
      </sheetData>
      <sheetData sheetId="3572">
        <row r="1">
          <cell r="A1" t="str">
            <v>PHIẾU XỬ LÝ HỒ SƠ THANH TOÁN VƯỢT THẨM QUYỀN PD</v>
          </cell>
        </row>
      </sheetData>
      <sheetData sheetId="3573">
        <row r="1">
          <cell r="A1" t="str">
            <v>PHIẾU XỬ LÝ HỒ SƠ THANH TOÁN VƯỢT THẨM QUYỀN PD</v>
          </cell>
        </row>
      </sheetData>
      <sheetData sheetId="3574">
        <row r="1">
          <cell r="A1" t="str">
            <v>PHIẾU XỬ LÝ HỒ SƠ THANH TOÁN VƯỢT THẨM QUYỀN PD</v>
          </cell>
        </row>
      </sheetData>
      <sheetData sheetId="3575">
        <row r="1">
          <cell r="A1" t="str">
            <v>PHIẾU XỬ LÝ HỒ SƠ THANH TOÁN VƯỢT THẨM QUYỀN PD</v>
          </cell>
        </row>
      </sheetData>
      <sheetData sheetId="3576">
        <row r="1">
          <cell r="A1" t="str">
            <v>PHIẾU XỬ LÝ HỒ SƠ THANH TOÁN VƯỢT THẨM QUYỀN PD</v>
          </cell>
        </row>
      </sheetData>
      <sheetData sheetId="3577">
        <row r="1">
          <cell r="A1" t="str">
            <v>PHIẾU XỬ LÝ HỒ SƠ THANH TOÁN VƯỢT THẨM QUYỀN PD</v>
          </cell>
        </row>
      </sheetData>
      <sheetData sheetId="3578">
        <row r="1">
          <cell r="A1" t="str">
            <v>PHIẾU XỬ LÝ HỒ SƠ THANH TOÁN VƯỢT THẨM QUYỀN PD</v>
          </cell>
        </row>
      </sheetData>
      <sheetData sheetId="3579">
        <row r="1">
          <cell r="A1" t="str">
            <v>PHIẾU XỬ LÝ HỒ SƠ THANH TOÁN VƯỢT THẨM QUYỀN PD</v>
          </cell>
        </row>
      </sheetData>
      <sheetData sheetId="3580">
        <row r="1">
          <cell r="A1" t="str">
            <v>PHIẾU XỬ LÝ HỒ SƠ THANH TOÁN VƯỢT THẨM QUYỀN PD</v>
          </cell>
        </row>
      </sheetData>
      <sheetData sheetId="3581">
        <row r="1">
          <cell r="A1" t="str">
            <v>PHIẾU XỬ LÝ HỒ SƠ THANH TOÁN VƯỢT THẨM QUYỀN PD</v>
          </cell>
        </row>
      </sheetData>
      <sheetData sheetId="3582">
        <row r="1">
          <cell r="A1" t="str">
            <v>PHIẾU XỬ LÝ HỒ SƠ THANH TOÁN VƯỢT THẨM QUYỀN PD</v>
          </cell>
        </row>
      </sheetData>
      <sheetData sheetId="3583">
        <row r="1">
          <cell r="A1" t="str">
            <v>PHIẾU XỬ LÝ HỒ SƠ THANH TOÁN VƯỢT THẨM QUYỀN PD</v>
          </cell>
        </row>
      </sheetData>
      <sheetData sheetId="3584">
        <row r="1">
          <cell r="A1" t="str">
            <v>PHIẾU XỬ LÝ HỒ SƠ THANH TOÁN VƯỢT THẨM QUYỀN PD</v>
          </cell>
        </row>
      </sheetData>
      <sheetData sheetId="3585">
        <row r="1">
          <cell r="A1" t="str">
            <v>PHIẾU XỬ LÝ HỒ SƠ THANH TOÁN VƯỢT THẨM QUYỀN PD</v>
          </cell>
        </row>
      </sheetData>
      <sheetData sheetId="3586">
        <row r="1">
          <cell r="A1" t="str">
            <v>PHIẾU XỬ LÝ HỒ SƠ THANH TOÁN VƯỢT THẨM QUYỀN PD</v>
          </cell>
        </row>
      </sheetData>
      <sheetData sheetId="3587">
        <row r="1">
          <cell r="A1" t="str">
            <v>PHIẾU XỬ LÝ HỒ SƠ THANH TOÁN VƯỢT THẨM QUYỀN PD</v>
          </cell>
        </row>
      </sheetData>
      <sheetData sheetId="3588">
        <row r="1">
          <cell r="A1" t="str">
            <v>PHIẾU XỬ LÝ HỒ SƠ THANH TOÁN VƯỢT THẨM QUYỀN PD</v>
          </cell>
        </row>
      </sheetData>
      <sheetData sheetId="3589">
        <row r="1">
          <cell r="A1" t="str">
            <v>PHIẾU XỬ LÝ HỒ SƠ THANH TOÁN VƯỢT THẨM QUYỀN PD</v>
          </cell>
        </row>
      </sheetData>
      <sheetData sheetId="3590">
        <row r="1">
          <cell r="A1" t="str">
            <v>PHIẾU XỬ LÝ HỒ SƠ THANH TOÁN VƯỢT THẨM QUYỀN PD</v>
          </cell>
        </row>
      </sheetData>
      <sheetData sheetId="3591">
        <row r="1">
          <cell r="A1" t="str">
            <v>PHIẾU XỬ LÝ HỒ SƠ THANH TOÁN VƯỢT THẨM QUYỀN PD</v>
          </cell>
        </row>
      </sheetData>
      <sheetData sheetId="3592">
        <row r="1">
          <cell r="A1" t="str">
            <v>PHIẾU XỬ LÝ HỒ SƠ THANH TOÁN VƯỢT THẨM QUYỀN PD</v>
          </cell>
        </row>
      </sheetData>
      <sheetData sheetId="3593">
        <row r="1">
          <cell r="A1" t="str">
            <v>PHIẾU XỬ LÝ HỒ SƠ THANH TOÁN VƯỢT THẨM QUYỀN PD</v>
          </cell>
        </row>
      </sheetData>
      <sheetData sheetId="3594">
        <row r="1">
          <cell r="A1" t="str">
            <v>PHIẾU XỬ LÝ HỒ SƠ THANH TOÁN VƯỢT THẨM QUYỀN PD</v>
          </cell>
        </row>
      </sheetData>
      <sheetData sheetId="3595">
        <row r="1">
          <cell r="A1" t="str">
            <v>PHIẾU XỬ LÝ HỒ SƠ THANH TOÁN VƯỢT THẨM QUYỀN PD</v>
          </cell>
        </row>
      </sheetData>
      <sheetData sheetId="3596">
        <row r="1">
          <cell r="A1" t="str">
            <v>PHIẾU XỬ LÝ HỒ SƠ THANH TOÁN VƯỢT THẨM QUYỀN PD</v>
          </cell>
        </row>
      </sheetData>
      <sheetData sheetId="3597">
        <row r="1">
          <cell r="A1" t="str">
            <v>PHIẾU XỬ LÝ HỒ SƠ THANH TOÁN VƯỢT THẨM QUYỀN PD</v>
          </cell>
        </row>
      </sheetData>
      <sheetData sheetId="3598">
        <row r="1">
          <cell r="A1" t="str">
            <v>PHIẾU XỬ LÝ HỒ SƠ THANH TOÁN VƯỢT THẨM QUYỀN PD</v>
          </cell>
        </row>
      </sheetData>
      <sheetData sheetId="3599">
        <row r="1">
          <cell r="A1" t="str">
            <v>PHIẾU XỬ LÝ HỒ SƠ THANH TOÁN VƯỢT THẨM QUYỀN PD</v>
          </cell>
        </row>
      </sheetData>
      <sheetData sheetId="3600">
        <row r="1">
          <cell r="A1" t="str">
            <v>PHIẾU XỬ LÝ HỒ SƠ THANH TOÁN VƯỢT THẨM QUYỀN PD</v>
          </cell>
        </row>
      </sheetData>
      <sheetData sheetId="3601">
        <row r="1">
          <cell r="A1" t="str">
            <v>PHIẾU XỬ LÝ HỒ SƠ THANH TOÁN VƯỢT THẨM QUYỀN PD</v>
          </cell>
        </row>
      </sheetData>
      <sheetData sheetId="3602">
        <row r="1">
          <cell r="A1" t="str">
            <v>PHIẾU XỬ LÝ HỒ SƠ THANH TOÁN VƯỢT THẨM QUYỀN PD</v>
          </cell>
        </row>
      </sheetData>
      <sheetData sheetId="3603">
        <row r="1">
          <cell r="A1" t="str">
            <v>PHIẾU XỬ LÝ HỒ SƠ THANH TOÁN VƯỢT THẨM QUYỀN PD</v>
          </cell>
        </row>
      </sheetData>
      <sheetData sheetId="3604">
        <row r="1">
          <cell r="A1" t="str">
            <v>PHIẾU XỬ LÝ HỒ SƠ THANH TOÁN VƯỢT THẨM QUYỀN PD</v>
          </cell>
        </row>
      </sheetData>
      <sheetData sheetId="3605">
        <row r="1">
          <cell r="A1" t="str">
            <v>PHIẾU XỬ LÝ HỒ SƠ THANH TOÁN VƯỢT THẨM QUYỀN PD</v>
          </cell>
        </row>
      </sheetData>
      <sheetData sheetId="3606">
        <row r="1">
          <cell r="A1" t="str">
            <v>PHIẾU XỬ LÝ HỒ SƠ THANH TOÁN VƯỢT THẨM QUYỀN PD</v>
          </cell>
        </row>
      </sheetData>
      <sheetData sheetId="3607">
        <row r="1">
          <cell r="A1" t="str">
            <v>PHIẾU XỬ LÝ HỒ SƠ THANH TOÁN VƯỢT THẨM QUYỀN PD</v>
          </cell>
        </row>
      </sheetData>
      <sheetData sheetId="3608">
        <row r="1">
          <cell r="A1" t="str">
            <v>PHIẾU XỬ LÝ HỒ SƠ THANH TOÁN VƯỢT THẨM QUYỀN PD</v>
          </cell>
        </row>
      </sheetData>
      <sheetData sheetId="3609">
        <row r="1">
          <cell r="A1" t="str">
            <v>PHIẾU XỬ LÝ HỒ SƠ THANH TOÁN VƯỢT THẨM QUYỀN PD</v>
          </cell>
        </row>
      </sheetData>
      <sheetData sheetId="3610">
        <row r="1">
          <cell r="A1" t="str">
            <v>PHIẾU XỬ LÝ HỒ SƠ THANH TOÁN VƯỢT THẨM QUYỀN PD</v>
          </cell>
        </row>
      </sheetData>
      <sheetData sheetId="3611">
        <row r="1">
          <cell r="A1" t="str">
            <v>PHIẾU XỬ LÝ HỒ SƠ THANH TOÁN VƯỢT THẨM QUYỀN PD</v>
          </cell>
        </row>
      </sheetData>
      <sheetData sheetId="3612">
        <row r="1">
          <cell r="A1" t="str">
            <v>PHIẾU XỬ LÝ HỒ SƠ THANH TOÁN VƯỢT THẨM QUYỀN PD</v>
          </cell>
        </row>
      </sheetData>
      <sheetData sheetId="3613">
        <row r="1">
          <cell r="A1" t="str">
            <v>PHIẾU XỬ LÝ HỒ SƠ THANH TOÁN VƯỢT THẨM QUYỀN PD</v>
          </cell>
        </row>
      </sheetData>
      <sheetData sheetId="3614">
        <row r="1">
          <cell r="A1" t="str">
            <v>PHIẾU XỬ LÝ HỒ SƠ THANH TOÁN VƯỢT THẨM QUYỀN PD</v>
          </cell>
        </row>
      </sheetData>
      <sheetData sheetId="3615">
        <row r="1">
          <cell r="A1" t="str">
            <v>PHIẾU XỬ LÝ HỒ SƠ THANH TOÁN VƯỢT THẨM QUYỀN PD</v>
          </cell>
        </row>
      </sheetData>
      <sheetData sheetId="3616">
        <row r="1">
          <cell r="A1" t="str">
            <v>PHIẾU XỬ LÝ HỒ SƠ THANH TOÁN VƯỢT THẨM QUYỀN PD</v>
          </cell>
        </row>
      </sheetData>
      <sheetData sheetId="3617">
        <row r="1">
          <cell r="A1" t="str">
            <v>PHIẾU XỬ LÝ HỒ SƠ THANH TOÁN VƯỢT THẨM QUYỀN PD</v>
          </cell>
        </row>
      </sheetData>
      <sheetData sheetId="3618">
        <row r="1">
          <cell r="A1" t="str">
            <v>PHIẾU XỬ LÝ HỒ SƠ THANH TOÁN VƯỢT THẨM QUYỀN PD</v>
          </cell>
        </row>
      </sheetData>
      <sheetData sheetId="3619">
        <row r="1">
          <cell r="A1" t="str">
            <v>PHIẾU XỬ LÝ HỒ SƠ THANH TOÁN VƯỢT THẨM QUYỀN PD</v>
          </cell>
        </row>
      </sheetData>
      <sheetData sheetId="3620">
        <row r="1">
          <cell r="A1" t="str">
            <v>PHIẾU XỬ LÝ HỒ SƠ THANH TOÁN VƯỢT THẨM QUYỀN PD</v>
          </cell>
        </row>
      </sheetData>
      <sheetData sheetId="3621">
        <row r="1">
          <cell r="A1" t="str">
            <v>PHIẾU XỬ LÝ HỒ SƠ THANH TOÁN VƯỢT THẨM QUYỀN PD</v>
          </cell>
        </row>
      </sheetData>
      <sheetData sheetId="3622">
        <row r="1">
          <cell r="A1" t="str">
            <v>PHIẾU XỬ LÝ HỒ SƠ THANH TOÁN VƯỢT THẨM QUYỀN PD</v>
          </cell>
        </row>
      </sheetData>
      <sheetData sheetId="3623">
        <row r="1">
          <cell r="A1" t="str">
            <v>PHIẾU XỬ LÝ HỒ SƠ THANH TOÁN VƯỢT THẨM QUYỀN PD</v>
          </cell>
        </row>
      </sheetData>
      <sheetData sheetId="3624">
        <row r="1">
          <cell r="A1" t="str">
            <v>PHIẾU XỬ LÝ HỒ SƠ THANH TOÁN VƯỢT THẨM QUYỀN PD</v>
          </cell>
        </row>
      </sheetData>
      <sheetData sheetId="3625">
        <row r="1">
          <cell r="A1" t="str">
            <v>PHIẾU XỬ LÝ HỒ SƠ THANH TOÁN VƯỢT THẨM QUYỀN PD</v>
          </cell>
        </row>
      </sheetData>
      <sheetData sheetId="3626">
        <row r="1">
          <cell r="A1" t="str">
            <v>PHIẾU XỬ LÝ HỒ SƠ THANH TOÁN VƯỢT THẨM QUYỀN PD</v>
          </cell>
        </row>
      </sheetData>
      <sheetData sheetId="3627">
        <row r="1">
          <cell r="A1" t="str">
            <v>PHIẾU XỬ LÝ HỒ SƠ THANH TOÁN VƯỢT THẨM QUYỀN PD</v>
          </cell>
        </row>
      </sheetData>
      <sheetData sheetId="3628">
        <row r="1">
          <cell r="A1" t="str">
            <v>PHIẾU XỬ LÝ HỒ SƠ THANH TOÁN VƯỢT THẨM QUYỀN PD</v>
          </cell>
        </row>
      </sheetData>
      <sheetData sheetId="3629">
        <row r="1">
          <cell r="A1" t="str">
            <v>PHIẾU XỬ LÝ HỒ SƠ THANH TOÁN VƯỢT THẨM QUYỀN PD</v>
          </cell>
        </row>
      </sheetData>
      <sheetData sheetId="3630">
        <row r="1">
          <cell r="A1" t="str">
            <v>PHIẾU XỬ LÝ HỒ SƠ THANH TOÁN VƯỢT THẨM QUYỀN PD</v>
          </cell>
        </row>
      </sheetData>
      <sheetData sheetId="3631">
        <row r="1">
          <cell r="A1" t="str">
            <v>PHIẾU XỬ LÝ HỒ SƠ THANH TOÁN VƯỢT THẨM QUYỀN PD</v>
          </cell>
        </row>
      </sheetData>
      <sheetData sheetId="3632">
        <row r="1">
          <cell r="A1" t="str">
            <v>PHIẾU XỬ LÝ HỒ SƠ THANH TOÁN VƯỢT THẨM QUYỀN PD</v>
          </cell>
        </row>
      </sheetData>
      <sheetData sheetId="3633">
        <row r="1">
          <cell r="A1" t="str">
            <v>PHIẾU XỬ LÝ HỒ SƠ THANH TOÁN VƯỢT THẨM QUYỀN PD</v>
          </cell>
        </row>
      </sheetData>
      <sheetData sheetId="3634">
        <row r="1">
          <cell r="A1" t="str">
            <v>PHIẾU XỬ LÝ HỒ SƠ THANH TOÁN VƯỢT THẨM QUYỀN PD</v>
          </cell>
        </row>
      </sheetData>
      <sheetData sheetId="3635">
        <row r="1">
          <cell r="A1" t="str">
            <v>PHIẾU XỬ LÝ HỒ SƠ THANH TOÁN VƯỢT THẨM QUYỀN PD</v>
          </cell>
        </row>
      </sheetData>
      <sheetData sheetId="3636">
        <row r="1">
          <cell r="A1" t="str">
            <v>PHIẾU XỬ LÝ HỒ SƠ THANH TOÁN VƯỢT THẨM QUYỀN PD</v>
          </cell>
        </row>
      </sheetData>
      <sheetData sheetId="3637">
        <row r="1">
          <cell r="A1" t="str">
            <v>PHIẾU XỬ LÝ HỒ SƠ THANH TOÁN VƯỢT THẨM QUYỀN PD</v>
          </cell>
        </row>
      </sheetData>
      <sheetData sheetId="3638">
        <row r="1">
          <cell r="A1" t="str">
            <v>PHIẾU XỬ LÝ HỒ SƠ THANH TOÁN VƯỢT THẨM QUYỀN PD</v>
          </cell>
        </row>
      </sheetData>
      <sheetData sheetId="3639">
        <row r="1">
          <cell r="A1" t="str">
            <v>PHIẾU XỬ LÝ HỒ SƠ THANH TOÁN VƯỢT THẨM QUYỀN PD</v>
          </cell>
        </row>
      </sheetData>
      <sheetData sheetId="3640">
        <row r="1">
          <cell r="A1" t="str">
            <v>PHIẾU XỬ LÝ HỒ SƠ THANH TOÁN VƯỢT THẨM QUYỀN PD</v>
          </cell>
        </row>
      </sheetData>
      <sheetData sheetId="3641">
        <row r="1">
          <cell r="A1" t="str">
            <v>PHIẾU XỬ LÝ HỒ SƠ THANH TOÁN VƯỢT THẨM QUYỀN PD</v>
          </cell>
        </row>
      </sheetData>
      <sheetData sheetId="3642">
        <row r="1">
          <cell r="A1" t="str">
            <v>PHIẾU XỬ LÝ HỒ SƠ THANH TOÁN VƯỢT THẨM QUYỀN PD</v>
          </cell>
        </row>
      </sheetData>
      <sheetData sheetId="3643">
        <row r="1">
          <cell r="A1" t="str">
            <v>PHIẾU XỬ LÝ HỒ SƠ THANH TOÁN VƯỢT THẨM QUYỀN PD</v>
          </cell>
        </row>
      </sheetData>
      <sheetData sheetId="3644">
        <row r="1">
          <cell r="A1" t="str">
            <v>PHIẾU XỬ LÝ HỒ SƠ THANH TOÁN VƯỢT THẨM QUYỀN PD</v>
          </cell>
        </row>
      </sheetData>
      <sheetData sheetId="3645">
        <row r="1">
          <cell r="A1" t="str">
            <v>PHIẾU XỬ LÝ HỒ SƠ THANH TOÁN VƯỢT THẨM QUYỀN PD</v>
          </cell>
        </row>
      </sheetData>
      <sheetData sheetId="3646">
        <row r="1">
          <cell r="A1" t="str">
            <v>PHIẾU XỬ LÝ HỒ SƠ THANH TOÁN VƯỢT THẨM QUYỀN PD</v>
          </cell>
        </row>
      </sheetData>
      <sheetData sheetId="3647">
        <row r="1">
          <cell r="A1" t="str">
            <v>PHIẾU XỬ LÝ HỒ SƠ THANH TOÁN VƯỢT THẨM QUYỀN PD</v>
          </cell>
        </row>
      </sheetData>
      <sheetData sheetId="3648">
        <row r="1">
          <cell r="A1" t="str">
            <v>PHIẾU XỬ LÝ HỒ SƠ THANH TOÁN VƯỢT THẨM QUYỀN PD</v>
          </cell>
        </row>
      </sheetData>
      <sheetData sheetId="3649">
        <row r="1">
          <cell r="A1" t="str">
            <v>PHIẾU XỬ LÝ HỒ SƠ THANH TOÁN VƯỢT THẨM QUYỀN PD</v>
          </cell>
        </row>
      </sheetData>
      <sheetData sheetId="3650">
        <row r="1">
          <cell r="A1" t="str">
            <v>PHIẾU XỬ LÝ HỒ SƠ THANH TOÁN VƯỢT THẨM QUYỀN PD</v>
          </cell>
        </row>
      </sheetData>
      <sheetData sheetId="3651">
        <row r="1">
          <cell r="A1" t="str">
            <v>PHIẾU XỬ LÝ HỒ SƠ THANH TOÁN VƯỢT THẨM QUYỀN PD</v>
          </cell>
        </row>
      </sheetData>
      <sheetData sheetId="3652">
        <row r="1">
          <cell r="A1" t="str">
            <v>PHIẾU XỬ LÝ HỒ SƠ THANH TOÁN VƯỢT THẨM QUYỀN PD</v>
          </cell>
        </row>
      </sheetData>
      <sheetData sheetId="3653">
        <row r="1">
          <cell r="A1" t="str">
            <v>PHIẾU XỬ LÝ HỒ SƠ THANH TOÁN VƯỢT THẨM QUYỀN PD</v>
          </cell>
        </row>
      </sheetData>
      <sheetData sheetId="3654">
        <row r="1">
          <cell r="A1" t="str">
            <v>PHIẾU XỬ LÝ HỒ SƠ THANH TOÁN VƯỢT THẨM QUYỀN PD</v>
          </cell>
        </row>
      </sheetData>
      <sheetData sheetId="3655">
        <row r="1">
          <cell r="A1" t="str">
            <v>PHIẾU XỬ LÝ HỒ SƠ THANH TOÁN VƯỢT THẨM QUYỀN PD</v>
          </cell>
        </row>
      </sheetData>
      <sheetData sheetId="3656">
        <row r="1">
          <cell r="A1" t="str">
            <v>PHIẾU XỬ LÝ HỒ SƠ THANH TOÁN VƯỢT THẨM QUYỀN PD</v>
          </cell>
        </row>
      </sheetData>
      <sheetData sheetId="3657">
        <row r="1">
          <cell r="A1" t="str">
            <v>PHIẾU XỬ LÝ HỒ SƠ THANH TOÁN VƯỢT THẨM QUYỀN PD</v>
          </cell>
        </row>
      </sheetData>
      <sheetData sheetId="3658">
        <row r="1">
          <cell r="A1" t="str">
            <v>PHIẾU XỬ LÝ HỒ SƠ THANH TOÁN VƯỢT THẨM QUYỀN PD</v>
          </cell>
        </row>
      </sheetData>
      <sheetData sheetId="3659">
        <row r="1">
          <cell r="A1" t="str">
            <v>PHIẾU XỬ LÝ HỒ SƠ THANH TOÁN VƯỢT THẨM QUYỀN PD</v>
          </cell>
        </row>
      </sheetData>
      <sheetData sheetId="3660">
        <row r="1">
          <cell r="A1" t="str">
            <v>PHIẾU XỬ LÝ HỒ SƠ THANH TOÁN VƯỢT THẨM QUYỀN PD</v>
          </cell>
        </row>
      </sheetData>
      <sheetData sheetId="3661">
        <row r="1">
          <cell r="A1" t="str">
            <v>PHIẾU XỬ LÝ HỒ SƠ THANH TOÁN VƯỢT THẨM QUYỀN PD</v>
          </cell>
        </row>
      </sheetData>
      <sheetData sheetId="3662">
        <row r="1">
          <cell r="A1" t="str">
            <v>PHIẾU XỬ LÝ HỒ SƠ THANH TOÁN VƯỢT THẨM QUYỀN PD</v>
          </cell>
        </row>
      </sheetData>
      <sheetData sheetId="3663">
        <row r="1">
          <cell r="A1" t="str">
            <v>PHIẾU XỬ LÝ HỒ SƠ THANH TOÁN VƯỢT THẨM QUYỀN PD</v>
          </cell>
        </row>
      </sheetData>
      <sheetData sheetId="3664">
        <row r="1">
          <cell r="A1" t="str">
            <v>PHIẾU XỬ LÝ HỒ SƠ THANH TOÁN VƯỢT THẨM QUYỀN PD</v>
          </cell>
        </row>
      </sheetData>
      <sheetData sheetId="3665">
        <row r="1">
          <cell r="A1" t="str">
            <v>PHIẾU XỬ LÝ HỒ SƠ THANH TOÁN VƯỢT THẨM QUYỀN PD</v>
          </cell>
        </row>
      </sheetData>
      <sheetData sheetId="3666">
        <row r="1">
          <cell r="A1" t="str">
            <v>PHIẾU XỬ LÝ HỒ SƠ THANH TOÁN VƯỢT THẨM QUYỀN PD</v>
          </cell>
        </row>
      </sheetData>
      <sheetData sheetId="3667">
        <row r="1">
          <cell r="A1" t="str">
            <v>PHIẾU XỬ LÝ HỒ SƠ THANH TOÁN VƯỢT THẨM QUYỀN PD</v>
          </cell>
        </row>
      </sheetData>
      <sheetData sheetId="3668">
        <row r="1">
          <cell r="A1" t="str">
            <v>PHIẾU XỬ LÝ HỒ SƠ THANH TOÁN VƯỢT THẨM QUYỀN PD</v>
          </cell>
        </row>
      </sheetData>
      <sheetData sheetId="3669">
        <row r="1">
          <cell r="A1" t="str">
            <v>PHIẾU XỬ LÝ HỒ SƠ THANH TOÁN VƯỢT THẨM QUYỀN PD</v>
          </cell>
        </row>
      </sheetData>
      <sheetData sheetId="3670">
        <row r="1">
          <cell r="A1" t="str">
            <v>PHIẾU XỬ LÝ HỒ SƠ THANH TOÁN VƯỢT THẨM QUYỀN PD</v>
          </cell>
        </row>
      </sheetData>
      <sheetData sheetId="3671">
        <row r="1">
          <cell r="A1" t="str">
            <v>PHIẾU XỬ LÝ HỒ SƠ THANH TOÁN VƯỢT THẨM QUYỀN PD</v>
          </cell>
        </row>
      </sheetData>
      <sheetData sheetId="3672">
        <row r="1">
          <cell r="A1" t="str">
            <v>PHIẾU XỬ LÝ HỒ SƠ THANH TOÁN VƯỢT THẨM QUYỀN PD</v>
          </cell>
        </row>
      </sheetData>
      <sheetData sheetId="3673">
        <row r="1">
          <cell r="A1" t="str">
            <v>PHIẾU XỬ LÝ HỒ SƠ THANH TOÁN VƯỢT THẨM QUYỀN PD</v>
          </cell>
        </row>
      </sheetData>
      <sheetData sheetId="3674">
        <row r="1">
          <cell r="A1" t="str">
            <v>PHIẾU XỬ LÝ HỒ SƠ THANH TOÁN VƯỢT THẨM QUYỀN PD</v>
          </cell>
        </row>
      </sheetData>
      <sheetData sheetId="3675">
        <row r="1">
          <cell r="A1" t="str">
            <v>PHIẾU XỬ LÝ HỒ SƠ THANH TOÁN VƯỢT THẨM QUYỀN PD</v>
          </cell>
        </row>
      </sheetData>
      <sheetData sheetId="3676">
        <row r="1">
          <cell r="A1" t="str">
            <v>PHIẾU XỬ LÝ HỒ SƠ THANH TOÁN VƯỢT THẨM QUYỀN PD</v>
          </cell>
        </row>
      </sheetData>
      <sheetData sheetId="3677">
        <row r="1">
          <cell r="A1" t="str">
            <v>PHIẾU XỬ LÝ HỒ SƠ THANH TOÁN VƯỢT THẨM QUYỀN PD</v>
          </cell>
        </row>
      </sheetData>
      <sheetData sheetId="3678">
        <row r="1">
          <cell r="A1" t="str">
            <v>PHIẾU XỬ LÝ HỒ SƠ THANH TOÁN VƯỢT THẨM QUYỀN PD</v>
          </cell>
        </row>
      </sheetData>
      <sheetData sheetId="3679">
        <row r="1">
          <cell r="A1" t="str">
            <v>PHIẾU XỬ LÝ HỒ SƠ THANH TOÁN VƯỢT THẨM QUYỀN PD</v>
          </cell>
        </row>
      </sheetData>
      <sheetData sheetId="3680">
        <row r="1">
          <cell r="A1" t="str">
            <v>PHIẾU XỬ LÝ HỒ SƠ THANH TOÁN VƯỢT THẨM QUYỀN PD</v>
          </cell>
        </row>
      </sheetData>
      <sheetData sheetId="3681">
        <row r="1">
          <cell r="A1" t="str">
            <v>PHIẾU XỬ LÝ HỒ SƠ THANH TOÁN VƯỢT THẨM QUYỀN PD</v>
          </cell>
        </row>
      </sheetData>
      <sheetData sheetId="3682">
        <row r="1">
          <cell r="A1" t="str">
            <v>PHIẾU XỬ LÝ HỒ SƠ THANH TOÁN VƯỢT THẨM QUYỀN PD</v>
          </cell>
        </row>
      </sheetData>
      <sheetData sheetId="3683">
        <row r="1">
          <cell r="A1" t="str">
            <v>PHIẾU XỬ LÝ HỒ SƠ THANH TOÁN VƯỢT THẨM QUYỀN PD</v>
          </cell>
        </row>
      </sheetData>
      <sheetData sheetId="3684">
        <row r="1">
          <cell r="A1" t="str">
            <v>PHIẾU XỬ LÝ HỒ SƠ THANH TOÁN VƯỢT THẨM QUYỀN PD</v>
          </cell>
        </row>
      </sheetData>
      <sheetData sheetId="3685">
        <row r="1">
          <cell r="A1" t="str">
            <v>PHIẾU XỬ LÝ HỒ SƠ THANH TOÁN VƯỢT THẨM QUYỀN PD</v>
          </cell>
        </row>
      </sheetData>
      <sheetData sheetId="3686">
        <row r="1">
          <cell r="A1" t="str">
            <v>PHIẾU XỬ LÝ HỒ SƠ THANH TOÁN VƯỢT THẨM QUYỀN PD</v>
          </cell>
        </row>
      </sheetData>
      <sheetData sheetId="3687">
        <row r="1">
          <cell r="A1" t="str">
            <v>PHIẾU XỬ LÝ HỒ SƠ THANH TOÁN VƯỢT THẨM QUYỀN PD</v>
          </cell>
        </row>
      </sheetData>
      <sheetData sheetId="3688">
        <row r="1">
          <cell r="A1" t="str">
            <v>PHIẾU XỬ LÝ HỒ SƠ THANH TOÁN VƯỢT THẨM QUYỀN PD</v>
          </cell>
        </row>
      </sheetData>
      <sheetData sheetId="3689">
        <row r="1">
          <cell r="A1" t="str">
            <v>PHIẾU XỬ LÝ HỒ SƠ THANH TOÁN VƯỢT THẨM QUYỀN PD</v>
          </cell>
        </row>
      </sheetData>
      <sheetData sheetId="3690">
        <row r="1">
          <cell r="A1" t="str">
            <v>PHIẾU XỬ LÝ HỒ SƠ THANH TOÁN VƯỢT THẨM QUYỀN PD</v>
          </cell>
        </row>
      </sheetData>
      <sheetData sheetId="3691">
        <row r="1">
          <cell r="A1" t="str">
            <v>PHIẾU XỬ LÝ HỒ SƠ THANH TOÁN VƯỢT THẨM QUYỀN PD</v>
          </cell>
        </row>
      </sheetData>
      <sheetData sheetId="3692">
        <row r="1">
          <cell r="A1" t="str">
            <v>PHIẾU XỬ LÝ HỒ SƠ THANH TOÁN VƯỢT THẨM QUYỀN PD</v>
          </cell>
        </row>
      </sheetData>
      <sheetData sheetId="3693">
        <row r="1">
          <cell r="A1" t="str">
            <v>PHIẾU XỬ LÝ HỒ SƠ THANH TOÁN VƯỢT THẨM QUYỀN PD</v>
          </cell>
        </row>
      </sheetData>
      <sheetData sheetId="3694">
        <row r="1">
          <cell r="A1" t="str">
            <v>PHIẾU XỬ LÝ HỒ SƠ THANH TOÁN VƯỢT THẨM QUYỀN PD</v>
          </cell>
        </row>
      </sheetData>
      <sheetData sheetId="3695">
        <row r="1">
          <cell r="A1" t="str">
            <v>PHIẾU XỬ LÝ HỒ SƠ THANH TOÁN VƯỢT THẨM QUYỀN PD</v>
          </cell>
        </row>
      </sheetData>
      <sheetData sheetId="3696">
        <row r="1">
          <cell r="A1" t="str">
            <v>PHIẾU XỬ LÝ HỒ SƠ THANH TOÁN VƯỢT THẨM QUYỀN PD</v>
          </cell>
        </row>
      </sheetData>
      <sheetData sheetId="3697">
        <row r="1">
          <cell r="A1" t="str">
            <v>PHIẾU XỬ LÝ HỒ SƠ THANH TOÁN VƯỢT THẨM QUYỀN PD</v>
          </cell>
        </row>
      </sheetData>
      <sheetData sheetId="3698">
        <row r="1">
          <cell r="A1" t="str">
            <v>PHIẾU XỬ LÝ HỒ SƠ THANH TOÁN VƯỢT THẨM QUYỀN PD</v>
          </cell>
        </row>
      </sheetData>
      <sheetData sheetId="3699">
        <row r="1">
          <cell r="A1" t="str">
            <v>PHIẾU XỬ LÝ HỒ SƠ THANH TOÁN VƯỢT THẨM QUYỀN PD</v>
          </cell>
        </row>
      </sheetData>
      <sheetData sheetId="3700">
        <row r="1">
          <cell r="A1" t="str">
            <v>PHIẾU XỬ LÝ HỒ SƠ THANH TOÁN VƯỢT THẨM QUYỀN PD</v>
          </cell>
        </row>
      </sheetData>
      <sheetData sheetId="3701">
        <row r="1">
          <cell r="A1" t="str">
            <v>PHIẾU XỬ LÝ HỒ SƠ THANH TOÁN VƯỢT THẨM QUYỀN PD</v>
          </cell>
        </row>
      </sheetData>
      <sheetData sheetId="3702">
        <row r="1">
          <cell r="A1" t="str">
            <v>PHIẾU XỬ LÝ HỒ SƠ THANH TOÁN VƯỢT THẨM QUYỀN PD</v>
          </cell>
        </row>
      </sheetData>
      <sheetData sheetId="3703">
        <row r="1">
          <cell r="A1" t="str">
            <v>PHIẾU XỬ LÝ HỒ SƠ THANH TOÁN VƯỢT THẨM QUYỀN PD</v>
          </cell>
        </row>
      </sheetData>
      <sheetData sheetId="3704">
        <row r="1">
          <cell r="A1" t="str">
            <v>PHIẾU XỬ LÝ HỒ SƠ THANH TOÁN VƯỢT THẨM QUYỀN PD</v>
          </cell>
        </row>
      </sheetData>
      <sheetData sheetId="3705">
        <row r="1">
          <cell r="A1" t="str">
            <v>PHIẾU XỬ LÝ HỒ SƠ THANH TOÁN VƯỢT THẨM QUYỀN PD</v>
          </cell>
        </row>
      </sheetData>
      <sheetData sheetId="3706">
        <row r="1">
          <cell r="A1" t="str">
            <v>PHIẾU XỬ LÝ HỒ SƠ THANH TOÁN VƯỢT THẨM QUYỀN PD</v>
          </cell>
        </row>
      </sheetData>
      <sheetData sheetId="3707">
        <row r="1">
          <cell r="A1" t="str">
            <v>PHIẾU XỬ LÝ HỒ SƠ THANH TOÁN VƯỢT THẨM QUYỀN PD</v>
          </cell>
        </row>
      </sheetData>
      <sheetData sheetId="3708">
        <row r="1">
          <cell r="A1" t="str">
            <v>PHIẾU XỬ LÝ HỒ SƠ THANH TOÁN VƯỢT THẨM QUYỀN PD</v>
          </cell>
        </row>
      </sheetData>
      <sheetData sheetId="3709">
        <row r="1">
          <cell r="A1" t="str">
            <v>PHIẾU XỬ LÝ HỒ SƠ THANH TOÁN VƯỢT THẨM QUYỀN PD</v>
          </cell>
        </row>
      </sheetData>
      <sheetData sheetId="3710">
        <row r="1">
          <cell r="A1" t="str">
            <v>PHIẾU XỬ LÝ HỒ SƠ THANH TOÁN VƯỢT THẨM QUYỀN PD</v>
          </cell>
        </row>
      </sheetData>
      <sheetData sheetId="3711">
        <row r="1">
          <cell r="A1" t="str">
            <v>PHIẾU XỬ LÝ HỒ SƠ THANH TOÁN VƯỢT THẨM QUYỀN PD</v>
          </cell>
        </row>
      </sheetData>
      <sheetData sheetId="3712">
        <row r="1">
          <cell r="A1" t="str">
            <v>PHIẾU XỬ LÝ HỒ SƠ THANH TOÁN VƯỢT THẨM QUYỀN PD</v>
          </cell>
        </row>
      </sheetData>
      <sheetData sheetId="3713">
        <row r="1">
          <cell r="A1" t="str">
            <v>PHIẾU XỬ LÝ HỒ SƠ THANH TOÁN VƯỢT THẨM QUYỀN PD</v>
          </cell>
        </row>
      </sheetData>
      <sheetData sheetId="3714">
        <row r="1">
          <cell r="A1" t="str">
            <v>PHIẾU XỬ LÝ HỒ SƠ THANH TOÁN VƯỢT THẨM QUYỀN PD</v>
          </cell>
        </row>
      </sheetData>
      <sheetData sheetId="3715">
        <row r="1">
          <cell r="A1" t="str">
            <v>PHIẾU XỬ LÝ HỒ SƠ THANH TOÁN VƯỢT THẨM QUYỀN PD</v>
          </cell>
        </row>
      </sheetData>
      <sheetData sheetId="3716">
        <row r="1">
          <cell r="A1" t="str">
            <v>PHIẾU XỬ LÝ HỒ SƠ THANH TOÁN VƯỢT THẨM QUYỀN PD</v>
          </cell>
        </row>
      </sheetData>
      <sheetData sheetId="3717">
        <row r="1">
          <cell r="A1" t="str">
            <v>PHIẾU XỬ LÝ HỒ SƠ THANH TOÁN VƯỢT THẨM QUYỀN PD</v>
          </cell>
        </row>
      </sheetData>
      <sheetData sheetId="3718">
        <row r="1">
          <cell r="A1" t="str">
            <v>PHIẾU XỬ LÝ HỒ SƠ THANH TOÁN VƯỢT THẨM QUYỀN PD</v>
          </cell>
        </row>
      </sheetData>
      <sheetData sheetId="3719">
        <row r="1">
          <cell r="A1" t="str">
            <v>PHIẾU XỬ LÝ HỒ SƠ THANH TOÁN VƯỢT THẨM QUYỀN PD</v>
          </cell>
        </row>
      </sheetData>
      <sheetData sheetId="3720">
        <row r="1">
          <cell r="A1" t="str">
            <v>PHIẾU XỬ LÝ HỒ SƠ THANH TOÁN VƯỢT THẨM QUYỀN PD</v>
          </cell>
        </row>
      </sheetData>
      <sheetData sheetId="3721">
        <row r="1">
          <cell r="A1" t="str">
            <v>PHIẾU XỬ LÝ HỒ SƠ THANH TOÁN VƯỢT THẨM QUYỀN PD</v>
          </cell>
        </row>
      </sheetData>
      <sheetData sheetId="3722">
        <row r="1">
          <cell r="A1" t="str">
            <v>PHIẾU XỬ LÝ HỒ SƠ THANH TOÁN VƯỢT THẨM QUYỀN PD</v>
          </cell>
        </row>
      </sheetData>
      <sheetData sheetId="3723">
        <row r="1">
          <cell r="A1" t="str">
            <v>PHIẾU XỬ LÝ HỒ SƠ THANH TOÁN VƯỢT THẨM QUYỀN PD</v>
          </cell>
        </row>
      </sheetData>
      <sheetData sheetId="3724">
        <row r="1">
          <cell r="A1" t="str">
            <v>PHIẾU XỬ LÝ HỒ SƠ THANH TOÁN VƯỢT THẨM QUYỀN PD</v>
          </cell>
        </row>
      </sheetData>
      <sheetData sheetId="3725">
        <row r="1">
          <cell r="A1" t="str">
            <v>PHIẾU XỬ LÝ HỒ SƠ THANH TOÁN VƯỢT THẨM QUYỀN PD</v>
          </cell>
        </row>
      </sheetData>
      <sheetData sheetId="3726">
        <row r="1">
          <cell r="A1" t="str">
            <v>PHIẾU XỬ LÝ HỒ SƠ THANH TOÁN VƯỢT THẨM QUYỀN PD</v>
          </cell>
        </row>
      </sheetData>
      <sheetData sheetId="3727">
        <row r="1">
          <cell r="A1" t="str">
            <v>PHIẾU XỬ LÝ HỒ SƠ THANH TOÁN VƯỢT THẨM QUYỀN PD</v>
          </cell>
        </row>
      </sheetData>
      <sheetData sheetId="3728">
        <row r="1">
          <cell r="A1" t="str">
            <v>PHIẾU XỬ LÝ HỒ SƠ THANH TOÁN VƯỢT THẨM QUYỀN PD</v>
          </cell>
        </row>
      </sheetData>
      <sheetData sheetId="3729">
        <row r="1">
          <cell r="A1" t="str">
            <v>PHIẾU XỬ LÝ HỒ SƠ THANH TOÁN VƯỢT THẨM QUYỀN PD</v>
          </cell>
        </row>
      </sheetData>
      <sheetData sheetId="3730">
        <row r="1">
          <cell r="A1" t="str">
            <v>PHIẾU XỬ LÝ HỒ SƠ THANH TOÁN VƯỢT THẨM QUYỀN PD</v>
          </cell>
        </row>
      </sheetData>
      <sheetData sheetId="3731">
        <row r="1">
          <cell r="A1" t="str">
            <v>PHIẾU XỬ LÝ HỒ SƠ THANH TOÁN VƯỢT THẨM QUYỀN PD</v>
          </cell>
        </row>
      </sheetData>
      <sheetData sheetId="3732">
        <row r="1">
          <cell r="A1" t="str">
            <v>PHIẾU XỬ LÝ HỒ SƠ THANH TOÁN VƯỢT THẨM QUYỀN PD</v>
          </cell>
        </row>
      </sheetData>
      <sheetData sheetId="3733">
        <row r="1">
          <cell r="A1" t="str">
            <v>PHIẾU XỬ LÝ HỒ SƠ THANH TOÁN VƯỢT THẨM QUYỀN PD</v>
          </cell>
        </row>
      </sheetData>
      <sheetData sheetId="3734">
        <row r="1">
          <cell r="A1" t="str">
            <v>PHIẾU XỬ LÝ HỒ SƠ THANH TOÁN VƯỢT THẨM QUYỀN PD</v>
          </cell>
        </row>
      </sheetData>
      <sheetData sheetId="3735">
        <row r="1">
          <cell r="A1" t="str">
            <v>PHIẾU XỬ LÝ HỒ SƠ THANH TOÁN VƯỢT THẨM QUYỀN PD</v>
          </cell>
        </row>
      </sheetData>
      <sheetData sheetId="3736">
        <row r="1">
          <cell r="A1" t="str">
            <v>PHIẾU XỬ LÝ HỒ SƠ THANH TOÁN VƯỢT THẨM QUYỀN PD</v>
          </cell>
        </row>
      </sheetData>
      <sheetData sheetId="3737" refreshError="1"/>
      <sheetData sheetId="3738" refreshError="1"/>
      <sheetData sheetId="3739" refreshError="1"/>
      <sheetData sheetId="3740" refreshError="1"/>
      <sheetData sheetId="3741" refreshError="1"/>
      <sheetData sheetId="3742"/>
      <sheetData sheetId="3743" refreshError="1"/>
      <sheetData sheetId="3744" refreshError="1"/>
      <sheetData sheetId="3745">
        <row r="1">
          <cell r="A1" t="str">
            <v>PHIẾU XỬ LÝ HỒ SƠ THANH TOÁN VƯỢT THẨM QUYỀN PD</v>
          </cell>
        </row>
      </sheetData>
      <sheetData sheetId="3746">
        <row r="1">
          <cell r="A1" t="str">
            <v>PHIẾU XỬ LÝ HỒ SƠ THANH TOÁN VƯỢT THẨM QUYỀN PD</v>
          </cell>
        </row>
      </sheetData>
      <sheetData sheetId="3747">
        <row r="1">
          <cell r="A1" t="str">
            <v>PHIẾU XỬ LÝ HỒ SƠ THANH TOÁN VƯỢT THẨM QUYỀN PD</v>
          </cell>
        </row>
      </sheetData>
      <sheetData sheetId="3748">
        <row r="1">
          <cell r="A1" t="str">
            <v>PHIẾU XỬ LÝ HỒ SƠ THANH TOÁN VƯỢT THẨM QUYỀN PD</v>
          </cell>
        </row>
      </sheetData>
      <sheetData sheetId="3749">
        <row r="1">
          <cell r="A1" t="str">
            <v>PHIẾU XỬ LÝ HỒ SƠ THANH TOÁN VƯỢT THẨM QUYỀN PD</v>
          </cell>
        </row>
      </sheetData>
      <sheetData sheetId="3750">
        <row r="1">
          <cell r="A1" t="str">
            <v>PHIẾU XỬ LÝ HỒ SƠ THANH TOÁN VƯỢT THẨM QUYỀN PD</v>
          </cell>
        </row>
      </sheetData>
      <sheetData sheetId="3751">
        <row r="1">
          <cell r="A1" t="str">
            <v>PHIẾU XỬ LÝ HỒ SƠ THANH TOÁN VƯỢT THẨM QUYỀN PD</v>
          </cell>
        </row>
      </sheetData>
      <sheetData sheetId="3752">
        <row r="1">
          <cell r="A1" t="str">
            <v>PHIẾU XỬ LÝ HỒ SƠ THANH TOÁN VƯỢT THẨM QUYỀN PD</v>
          </cell>
        </row>
      </sheetData>
      <sheetData sheetId="3753">
        <row r="1">
          <cell r="A1" t="str">
            <v>PHIẾU XỬ LÝ HỒ SƠ THANH TOÁN VƯỢT THẨM QUYỀN PD</v>
          </cell>
        </row>
      </sheetData>
      <sheetData sheetId="3754">
        <row r="1">
          <cell r="A1" t="str">
            <v>PHIẾU XỬ LÝ HỒ SƠ THANH TOÁN VƯỢT THẨM QUYỀN PD</v>
          </cell>
        </row>
      </sheetData>
      <sheetData sheetId="3755">
        <row r="1">
          <cell r="A1" t="str">
            <v>PHIẾU XỬ LÝ HỒ SƠ THANH TOÁN VƯỢT THẨM QUYỀN PD</v>
          </cell>
        </row>
      </sheetData>
      <sheetData sheetId="3756">
        <row r="1">
          <cell r="A1" t="str">
            <v>PHIẾU XỬ LÝ HỒ SƠ THANH TOÁN VƯỢT THẨM QUYỀN PD</v>
          </cell>
        </row>
      </sheetData>
      <sheetData sheetId="3757">
        <row r="1">
          <cell r="A1" t="str">
            <v>PHIẾU XỬ LÝ HỒ SƠ THANH TOÁN VƯỢT THẨM QUYỀN PD</v>
          </cell>
        </row>
      </sheetData>
      <sheetData sheetId="3758">
        <row r="1">
          <cell r="A1" t="str">
            <v>PHIẾU XỬ LÝ HỒ SƠ THANH TOÁN VƯỢT THẨM QUYỀN PD</v>
          </cell>
        </row>
      </sheetData>
      <sheetData sheetId="3759">
        <row r="1">
          <cell r="A1" t="str">
            <v>PHIẾU XỬ LÝ HỒ SƠ THANH TOÁN VƯỢT THẨM QUYỀN PD</v>
          </cell>
        </row>
      </sheetData>
      <sheetData sheetId="3760">
        <row r="1">
          <cell r="A1" t="str">
            <v>PHIẾU XỬ LÝ HỒ SƠ THANH TOÁN VƯỢT THẨM QUYỀN PD</v>
          </cell>
        </row>
      </sheetData>
      <sheetData sheetId="3761">
        <row r="1">
          <cell r="A1" t="str">
            <v>PHIẾU XỬ LÝ HỒ SƠ THANH TOÁN VƯỢT THẨM QUYỀN PD</v>
          </cell>
        </row>
      </sheetData>
      <sheetData sheetId="3762">
        <row r="1">
          <cell r="A1" t="str">
            <v>PHIẾU XỬ LÝ HỒ SƠ THANH TOÁN VƯỢT THẨM QUYỀN PD</v>
          </cell>
        </row>
      </sheetData>
      <sheetData sheetId="3763">
        <row r="1">
          <cell r="A1" t="str">
            <v>PHIẾU XỬ LÝ HỒ SƠ THANH TOÁN VƯỢT THẨM QUYỀN PD</v>
          </cell>
        </row>
      </sheetData>
      <sheetData sheetId="3764">
        <row r="1">
          <cell r="A1" t="str">
            <v>PHIẾU XỬ LÝ HỒ SƠ THANH TOÁN VƯỢT THẨM QUYỀN PD</v>
          </cell>
        </row>
      </sheetData>
      <sheetData sheetId="3765">
        <row r="1">
          <cell r="A1" t="str">
            <v>PHIẾU XỬ LÝ HỒ SƠ THANH TOÁN VƯỢT THẨM QUYỀN PD</v>
          </cell>
        </row>
      </sheetData>
      <sheetData sheetId="3766">
        <row r="1">
          <cell r="A1" t="str">
            <v>PHIẾU XỬ LÝ HỒ SƠ THANH TOÁN VƯỢT THẨM QUYỀN PD</v>
          </cell>
        </row>
      </sheetData>
      <sheetData sheetId="3767" refreshError="1"/>
      <sheetData sheetId="3768" refreshError="1"/>
      <sheetData sheetId="3769" refreshError="1"/>
      <sheetData sheetId="3770" refreshError="1"/>
      <sheetData sheetId="3771" refreshError="1"/>
      <sheetData sheetId="3772" refreshError="1"/>
      <sheetData sheetId="3773" refreshError="1"/>
      <sheetData sheetId="3774" refreshError="1"/>
      <sheetData sheetId="3775" refreshError="1"/>
      <sheetData sheetId="3776" refreshError="1"/>
      <sheetData sheetId="3777" refreshError="1"/>
      <sheetData sheetId="3778" refreshError="1"/>
      <sheetData sheetId="3779" refreshError="1"/>
      <sheetData sheetId="3780" refreshError="1"/>
      <sheetData sheetId="3781" refreshError="1"/>
      <sheetData sheetId="3782" refreshError="1"/>
      <sheetData sheetId="3783" refreshError="1"/>
      <sheetData sheetId="3784" refreshError="1"/>
      <sheetData sheetId="3785" refreshError="1"/>
      <sheetData sheetId="3786" refreshError="1"/>
      <sheetData sheetId="3787" refreshError="1"/>
      <sheetData sheetId="3788" refreshError="1"/>
      <sheetData sheetId="3789" refreshError="1"/>
      <sheetData sheetId="3790" refreshError="1"/>
      <sheetData sheetId="3791" refreshError="1"/>
      <sheetData sheetId="3792" refreshError="1"/>
      <sheetData sheetId="3793" refreshError="1"/>
      <sheetData sheetId="3794" refreshError="1"/>
      <sheetData sheetId="3795" refreshError="1"/>
      <sheetData sheetId="3796" refreshError="1"/>
      <sheetData sheetId="3797" refreshError="1"/>
      <sheetData sheetId="3798" refreshError="1"/>
      <sheetData sheetId="3799" refreshError="1"/>
      <sheetData sheetId="3800" refreshError="1"/>
      <sheetData sheetId="3801" refreshError="1"/>
      <sheetData sheetId="3802" refreshError="1"/>
      <sheetData sheetId="3803" refreshError="1"/>
      <sheetData sheetId="3804" refreshError="1"/>
      <sheetData sheetId="3805" refreshError="1"/>
      <sheetData sheetId="3806" refreshError="1"/>
      <sheetData sheetId="3807" refreshError="1"/>
      <sheetData sheetId="3808" refreshError="1"/>
      <sheetData sheetId="3809" refreshError="1"/>
      <sheetData sheetId="3810" refreshError="1"/>
      <sheetData sheetId="3811" refreshError="1"/>
      <sheetData sheetId="3812">
        <row r="1">
          <cell r="A1" t="str">
            <v>PHIẾU XỬ LÝ HỒ SƠ THANH TOÁN VƯỢT THẨM QUYỀN PD</v>
          </cell>
        </row>
      </sheetData>
      <sheetData sheetId="3813">
        <row r="1">
          <cell r="A1" t="str">
            <v>PHIẾU XỬ LÝ HỒ SƠ THANH TOÁN VƯỢT THẨM QUYỀN PD</v>
          </cell>
        </row>
      </sheetData>
      <sheetData sheetId="3814">
        <row r="1">
          <cell r="A1" t="str">
            <v>PHIẾU XỬ LÝ HỒ SƠ THANH TOÁN VƯỢT THẨM QUYỀN PD</v>
          </cell>
        </row>
      </sheetData>
      <sheetData sheetId="3815">
        <row r="1">
          <cell r="A1" t="str">
            <v>PHIẾU XỬ LÝ HỒ SƠ THANH TOÁN VƯỢT THẨM QUYỀN PD</v>
          </cell>
        </row>
      </sheetData>
      <sheetData sheetId="3816">
        <row r="1">
          <cell r="A1" t="str">
            <v>PHIẾU XỬ LÝ HỒ SƠ THANH TOÁN VƯỢT THẨM QUYỀN PD</v>
          </cell>
        </row>
      </sheetData>
      <sheetData sheetId="3817">
        <row r="1">
          <cell r="A1" t="str">
            <v>PHIẾU XỬ LÝ HỒ SƠ THANH TOÁN VƯỢT THẨM QUYỀN PD</v>
          </cell>
        </row>
      </sheetData>
      <sheetData sheetId="3818">
        <row r="1">
          <cell r="A1" t="str">
            <v>PHIẾU XỬ LÝ HỒ SƠ THANH TOÁN VƯỢT THẨM QUYỀN PD</v>
          </cell>
        </row>
      </sheetData>
      <sheetData sheetId="3819">
        <row r="1">
          <cell r="A1" t="str">
            <v>PHIẾU XỬ LÝ HỒ SƠ THANH TOÁN VƯỢT THẨM QUYỀN PD</v>
          </cell>
        </row>
      </sheetData>
      <sheetData sheetId="3820">
        <row r="1">
          <cell r="A1" t="str">
            <v>PHIẾU XỬ LÝ HỒ SƠ THANH TOÁN VƯỢT THẨM QUYỀN PD</v>
          </cell>
        </row>
      </sheetData>
      <sheetData sheetId="3821">
        <row r="1">
          <cell r="A1" t="str">
            <v>PHIẾU XỬ LÝ HỒ SƠ THANH TOÁN VƯỢT THẨM QUYỀN PD</v>
          </cell>
        </row>
      </sheetData>
      <sheetData sheetId="3822">
        <row r="1">
          <cell r="A1" t="str">
            <v>PHIẾU XỬ LÝ HỒ SƠ THANH TOÁN VƯỢT THẨM QUYỀN PD</v>
          </cell>
        </row>
      </sheetData>
      <sheetData sheetId="3823" refreshError="1"/>
      <sheetData sheetId="3824" refreshError="1"/>
      <sheetData sheetId="3825" refreshError="1"/>
      <sheetData sheetId="3826" refreshError="1"/>
      <sheetData sheetId="3827" refreshError="1"/>
      <sheetData sheetId="3828" refreshError="1"/>
      <sheetData sheetId="3829" refreshError="1"/>
      <sheetData sheetId="3830" refreshError="1"/>
      <sheetData sheetId="3831">
        <row r="1">
          <cell r="A1" t="str">
            <v>PHIẾU XỬ LÝ HỒ SƠ THANH TOÁN VƯỢT THẨM QUYỀN PD</v>
          </cell>
        </row>
      </sheetData>
      <sheetData sheetId="3832">
        <row r="1">
          <cell r="A1" t="str">
            <v>PHIẾU XỬ LÝ HỒ SƠ THANH TOÁN VƯỢT THẨM QUYỀN PD</v>
          </cell>
        </row>
      </sheetData>
      <sheetData sheetId="3833" refreshError="1"/>
      <sheetData sheetId="3834" refreshError="1"/>
      <sheetData sheetId="3835">
        <row r="1">
          <cell r="A1" t="str">
            <v>PHIẾU XỬ LÝ HỒ SƠ THANH TOÁN VƯỢT THẨM QUYỀN PD</v>
          </cell>
        </row>
      </sheetData>
      <sheetData sheetId="3836">
        <row r="1">
          <cell r="A1" t="str">
            <v>PHIẾU XỬ LÝ HỒ SƠ THANH TOÁN VƯỢT THẨM QUYỀN PD</v>
          </cell>
        </row>
      </sheetData>
      <sheetData sheetId="3837">
        <row r="1">
          <cell r="A1" t="str">
            <v>PHIẾU XỬ LÝ HỒ SƠ THANH TOÁN VƯỢT THẨM QUYỀN PD</v>
          </cell>
        </row>
      </sheetData>
      <sheetData sheetId="3838">
        <row r="1">
          <cell r="A1" t="str">
            <v>PHIẾU XỬ LÝ HỒ SƠ THANH TOÁN VƯỢT THẨM QUYỀN PD</v>
          </cell>
        </row>
      </sheetData>
      <sheetData sheetId="3839">
        <row r="1">
          <cell r="A1" t="str">
            <v>PHIẾU XỬ LÝ HỒ SƠ THANH TOÁN VƯỢT THẨM QUYỀN PD</v>
          </cell>
        </row>
      </sheetData>
      <sheetData sheetId="3840">
        <row r="1">
          <cell r="A1" t="str">
            <v>PHIẾU XỬ LÝ HỒ SƠ THANH TOÁN VƯỢT THẨM QUYỀN PD</v>
          </cell>
        </row>
      </sheetData>
      <sheetData sheetId="3841">
        <row r="1">
          <cell r="A1" t="str">
            <v>PHIẾU XỬ LÝ HỒ SƠ THANH TOÁN VƯỢT THẨM QUYỀN PD</v>
          </cell>
        </row>
      </sheetData>
      <sheetData sheetId="3842">
        <row r="1">
          <cell r="A1" t="str">
            <v>PHIẾU XỬ LÝ HỒ SƠ THANH TOÁN VƯỢT THẨM QUYỀN PD</v>
          </cell>
        </row>
      </sheetData>
      <sheetData sheetId="3843">
        <row r="1">
          <cell r="A1" t="str">
            <v>PHIẾU XỬ LÝ HỒ SƠ THANH TOÁN VƯỢT THẨM QUYỀN PD</v>
          </cell>
        </row>
      </sheetData>
      <sheetData sheetId="3844">
        <row r="1">
          <cell r="A1" t="str">
            <v>PHIẾU XỬ LÝ HỒ SƠ THANH TOÁN VƯỢT THẨM QUYỀN PD</v>
          </cell>
        </row>
      </sheetData>
      <sheetData sheetId="3845">
        <row r="1">
          <cell r="A1" t="str">
            <v>PHIẾU XỬ LÝ HỒ SƠ THANH TOÁN VƯỢT THẨM QUYỀN PD</v>
          </cell>
        </row>
      </sheetData>
      <sheetData sheetId="3846">
        <row r="1">
          <cell r="A1" t="str">
            <v>PHIẾU XỬ LÝ HỒ SƠ THANH TOÁN VƯỢT THẨM QUYỀN PD</v>
          </cell>
        </row>
      </sheetData>
      <sheetData sheetId="3847">
        <row r="1">
          <cell r="A1" t="str">
            <v>PHIẾU XỬ LÝ HỒ SƠ THANH TOÁN VƯỢT THẨM QUYỀN PD</v>
          </cell>
        </row>
      </sheetData>
      <sheetData sheetId="3848">
        <row r="1">
          <cell r="A1" t="str">
            <v>PHIẾU XỬ LÝ HỒ SƠ THANH TOÁN VƯỢT THẨM QUYỀN PD</v>
          </cell>
        </row>
      </sheetData>
      <sheetData sheetId="3849">
        <row r="1">
          <cell r="A1" t="str">
            <v>PHIẾU XỬ LÝ HỒ SƠ THANH TOÁN VƯỢT THẨM QUYỀN PD</v>
          </cell>
        </row>
      </sheetData>
      <sheetData sheetId="3850">
        <row r="1">
          <cell r="A1" t="str">
            <v>PHIẾU XỬ LÝ HỒ SƠ THANH TOÁN VƯỢT THẨM QUYỀN PD</v>
          </cell>
        </row>
      </sheetData>
      <sheetData sheetId="3851">
        <row r="1">
          <cell r="A1" t="str">
            <v>PHIẾU XỬ LÝ HỒ SƠ THANH TOÁN VƯỢT THẨM QUYỀN PD</v>
          </cell>
        </row>
      </sheetData>
      <sheetData sheetId="3852">
        <row r="1">
          <cell r="A1" t="str">
            <v>PHIẾU XỬ LÝ HỒ SƠ THANH TOÁN VƯỢT THẨM QUYỀN PD</v>
          </cell>
        </row>
      </sheetData>
      <sheetData sheetId="3853">
        <row r="1">
          <cell r="A1" t="str">
            <v>PHIẾU XỬ LÝ HỒ SƠ THANH TOÁN VƯỢT THẨM QUYỀN PD</v>
          </cell>
        </row>
      </sheetData>
      <sheetData sheetId="3854">
        <row r="1">
          <cell r="A1" t="str">
            <v>PHIẾU XỬ LÝ HỒ SƠ THANH TOÁN VƯỢT THẨM QUYỀN PD</v>
          </cell>
        </row>
      </sheetData>
      <sheetData sheetId="3855">
        <row r="1">
          <cell r="A1" t="str">
            <v>PHIẾU XỬ LÝ HỒ SƠ THANH TOÁN VƯỢT THẨM QUYỀN PD</v>
          </cell>
        </row>
      </sheetData>
      <sheetData sheetId="3856">
        <row r="1">
          <cell r="A1" t="str">
            <v>PHIẾU XỬ LÝ HỒ SƠ THANH TOÁN VƯỢT THẨM QUYỀN PD</v>
          </cell>
        </row>
      </sheetData>
      <sheetData sheetId="3857">
        <row r="1">
          <cell r="A1" t="str">
            <v>PHIẾU XỬ LÝ HỒ SƠ THANH TOÁN VƯỢT THẨM QUYỀN PD</v>
          </cell>
        </row>
      </sheetData>
      <sheetData sheetId="3858">
        <row r="1">
          <cell r="A1" t="str">
            <v>PHIẾU XỬ LÝ HỒ SƠ THANH TOÁN VƯỢT THẨM QUYỀN PD</v>
          </cell>
        </row>
      </sheetData>
      <sheetData sheetId="3859">
        <row r="1">
          <cell r="A1" t="str">
            <v>PHIẾU XỬ LÝ HỒ SƠ THANH TOÁN VƯỢT THẨM QUYỀN PD</v>
          </cell>
        </row>
      </sheetData>
      <sheetData sheetId="3860">
        <row r="1">
          <cell r="A1" t="str">
            <v>PHIẾU XỬ LÝ HỒ SƠ THANH TOÁN VƯỢT THẨM QUYỀN PD</v>
          </cell>
        </row>
      </sheetData>
      <sheetData sheetId="3861">
        <row r="1">
          <cell r="A1" t="str">
            <v>PHIẾU XỬ LÝ HỒ SƠ THANH TOÁN VƯỢT THẨM QUYỀN PD</v>
          </cell>
        </row>
      </sheetData>
      <sheetData sheetId="3862">
        <row r="1">
          <cell r="A1" t="str">
            <v>PHIẾU XỬ LÝ HỒ SƠ THANH TOÁN VƯỢT THẨM QUYỀN PD</v>
          </cell>
        </row>
      </sheetData>
      <sheetData sheetId="3863">
        <row r="1">
          <cell r="A1" t="str">
            <v>PHIẾU XỬ LÝ HỒ SƠ THANH TOÁN VƯỢT THẨM QUYỀN PD</v>
          </cell>
        </row>
      </sheetData>
      <sheetData sheetId="3864">
        <row r="1">
          <cell r="A1" t="str">
            <v>PHIẾU XỬ LÝ HỒ SƠ THANH TOÁN VƯỢT THẨM QUYỀN PD</v>
          </cell>
        </row>
      </sheetData>
      <sheetData sheetId="3865">
        <row r="1">
          <cell r="A1" t="str">
            <v>PHIẾU XỬ LÝ HỒ SƠ THANH TOÁN VƯỢT THẨM QUYỀN PD</v>
          </cell>
        </row>
      </sheetData>
      <sheetData sheetId="3866">
        <row r="1">
          <cell r="A1" t="str">
            <v>PHIẾU XỬ LÝ HỒ SƠ THANH TOÁN VƯỢT THẨM QUYỀN PD</v>
          </cell>
        </row>
      </sheetData>
      <sheetData sheetId="3867">
        <row r="1">
          <cell r="A1" t="str">
            <v>PHIẾU XỬ LÝ HỒ SƠ THANH TOÁN VƯỢT THẨM QUYỀN PD</v>
          </cell>
        </row>
      </sheetData>
      <sheetData sheetId="3868">
        <row r="1">
          <cell r="A1" t="str">
            <v>PHIẾU XỬ LÝ HỒ SƠ THANH TOÁN VƯỢT THẨM QUYỀN PD</v>
          </cell>
        </row>
      </sheetData>
      <sheetData sheetId="3869">
        <row r="1">
          <cell r="A1" t="str">
            <v>PHIẾU XỬ LÝ HỒ SƠ THANH TOÁN VƯỢT THẨM QUYỀN PD</v>
          </cell>
        </row>
      </sheetData>
      <sheetData sheetId="3870">
        <row r="1">
          <cell r="A1" t="str">
            <v>PHIẾU XỬ LÝ HỒ SƠ THANH TOÁN VƯỢT THẨM QUYỀN PD</v>
          </cell>
        </row>
      </sheetData>
      <sheetData sheetId="3871">
        <row r="1">
          <cell r="A1" t="str">
            <v>PHIẾU XỬ LÝ HỒ SƠ THANH TOÁN VƯỢT THẨM QUYỀN PD</v>
          </cell>
        </row>
      </sheetData>
      <sheetData sheetId="3872">
        <row r="1">
          <cell r="A1" t="str">
            <v>PHIẾU XỬ LÝ HỒ SƠ THANH TOÁN VƯỢT THẨM QUYỀN PD</v>
          </cell>
        </row>
      </sheetData>
      <sheetData sheetId="3873">
        <row r="1">
          <cell r="A1" t="str">
            <v>PHIẾU XỬ LÝ HỒ SƠ THANH TOÁN VƯỢT THẨM QUYỀN PD</v>
          </cell>
        </row>
      </sheetData>
      <sheetData sheetId="3874">
        <row r="1">
          <cell r="A1" t="str">
            <v>PHIẾU XỬ LÝ HỒ SƠ THANH TOÁN VƯỢT THẨM QUYỀN PD</v>
          </cell>
        </row>
      </sheetData>
      <sheetData sheetId="3875">
        <row r="1">
          <cell r="A1" t="str">
            <v>PHIẾU XỬ LÝ HỒ SƠ THANH TOÁN VƯỢT THẨM QUYỀN PD</v>
          </cell>
        </row>
      </sheetData>
      <sheetData sheetId="3876">
        <row r="1">
          <cell r="A1" t="str">
            <v>PHIẾU XỬ LÝ HỒ SƠ THANH TOÁN VƯỢT THẨM QUYỀN PD</v>
          </cell>
        </row>
      </sheetData>
      <sheetData sheetId="3877">
        <row r="1">
          <cell r="A1" t="str">
            <v>PHIẾU XỬ LÝ HỒ SƠ THANH TOÁN VƯỢT THẨM QUYỀN PD</v>
          </cell>
        </row>
      </sheetData>
      <sheetData sheetId="3878">
        <row r="1">
          <cell r="A1" t="str">
            <v>PHIẾU XỬ LÝ HỒ SƠ THANH TOÁN VƯỢT THẨM QUYỀN PD</v>
          </cell>
        </row>
      </sheetData>
      <sheetData sheetId="3879">
        <row r="1">
          <cell r="A1" t="str">
            <v>PHIẾU XỬ LÝ HỒ SƠ THANH TOÁN VƯỢT THẨM QUYỀN PD</v>
          </cell>
        </row>
      </sheetData>
      <sheetData sheetId="3880">
        <row r="1">
          <cell r="A1" t="str">
            <v>PHIẾU XỬ LÝ HỒ SƠ THANH TOÁN VƯỢT THẨM QUYỀN PD</v>
          </cell>
        </row>
      </sheetData>
      <sheetData sheetId="3881">
        <row r="1">
          <cell r="A1" t="str">
            <v>PHIẾU XỬ LÝ HỒ SƠ THANH TOÁN VƯỢT THẨM QUYỀN PD</v>
          </cell>
        </row>
      </sheetData>
      <sheetData sheetId="3882">
        <row r="1">
          <cell r="A1" t="str">
            <v>PHIẾU XỬ LÝ HỒ SƠ THANH TOÁN VƯỢT THẨM QUYỀN PD</v>
          </cell>
        </row>
      </sheetData>
      <sheetData sheetId="3883">
        <row r="1">
          <cell r="A1" t="str">
            <v>PHIẾU XỬ LÝ HỒ SƠ THANH TOÁN VƯỢT THẨM QUYỀN PD</v>
          </cell>
        </row>
      </sheetData>
      <sheetData sheetId="3884">
        <row r="1">
          <cell r="A1" t="str">
            <v>PHIẾU XỬ LÝ HỒ SƠ THANH TOÁN VƯỢT THẨM QUYỀN PD</v>
          </cell>
        </row>
      </sheetData>
      <sheetData sheetId="3885">
        <row r="1">
          <cell r="A1" t="str">
            <v>PHIẾU XỬ LÝ HỒ SƠ THANH TOÁN VƯỢT THẨM QUYỀN PD</v>
          </cell>
        </row>
      </sheetData>
      <sheetData sheetId="3886">
        <row r="1">
          <cell r="A1" t="str">
            <v>PHIẾU XỬ LÝ HỒ SƠ THANH TOÁN VƯỢT THẨM QUYỀN PD</v>
          </cell>
        </row>
      </sheetData>
      <sheetData sheetId="3887">
        <row r="1">
          <cell r="A1" t="str">
            <v>PHIẾU XỬ LÝ HỒ SƠ THANH TOÁN VƯỢT THẨM QUYỀN PD</v>
          </cell>
        </row>
      </sheetData>
      <sheetData sheetId="3888">
        <row r="1">
          <cell r="A1" t="str">
            <v>PHIẾU XỬ LÝ HỒ SƠ THANH TOÁN VƯỢT THẨM QUYỀN PD</v>
          </cell>
        </row>
      </sheetData>
      <sheetData sheetId="3889">
        <row r="1">
          <cell r="A1" t="str">
            <v>PHIẾU XỬ LÝ HỒ SƠ THANH TOÁN VƯỢT THẨM QUYỀN PD</v>
          </cell>
        </row>
      </sheetData>
      <sheetData sheetId="3890">
        <row r="1">
          <cell r="A1" t="str">
            <v>PHIẾU XỬ LÝ HỒ SƠ THANH TOÁN VƯỢT THẨM QUYỀN PD</v>
          </cell>
        </row>
      </sheetData>
      <sheetData sheetId="3891">
        <row r="1">
          <cell r="A1" t="str">
            <v>PHIẾU XỬ LÝ HỒ SƠ THANH TOÁN VƯỢT THẨM QUYỀN PD</v>
          </cell>
        </row>
      </sheetData>
      <sheetData sheetId="3892">
        <row r="1">
          <cell r="A1" t="str">
            <v>PHIẾU XỬ LÝ HỒ SƠ THANH TOÁN VƯỢT THẨM QUYỀN PD</v>
          </cell>
        </row>
      </sheetData>
      <sheetData sheetId="3893">
        <row r="1">
          <cell r="A1" t="str">
            <v>PHIẾU XỬ LÝ HỒ SƠ THANH TOÁN VƯỢT THẨM QUYỀN PD</v>
          </cell>
        </row>
      </sheetData>
      <sheetData sheetId="3894">
        <row r="1">
          <cell r="A1" t="str">
            <v>PHIẾU XỬ LÝ HỒ SƠ THANH TOÁN VƯỢT THẨM QUYỀN PD</v>
          </cell>
        </row>
      </sheetData>
      <sheetData sheetId="3895">
        <row r="1">
          <cell r="A1" t="str">
            <v>PHIẾU XỬ LÝ HỒ SƠ THANH TOÁN VƯỢT THẨM QUYỀN PD</v>
          </cell>
        </row>
      </sheetData>
      <sheetData sheetId="3896">
        <row r="1">
          <cell r="A1" t="str">
            <v>PHIẾU XỬ LÝ HỒ SƠ THANH TOÁN VƯỢT THẨM QUYỀN PD</v>
          </cell>
        </row>
      </sheetData>
      <sheetData sheetId="3897">
        <row r="1">
          <cell r="A1" t="str">
            <v>PHIẾU XỬ LÝ HỒ SƠ THANH TOÁN VƯỢT THẨM QUYỀN PD</v>
          </cell>
        </row>
      </sheetData>
      <sheetData sheetId="3898">
        <row r="1">
          <cell r="A1" t="str">
            <v>PHIẾU XỬ LÝ HỒ SƠ THANH TOÁN VƯỢT THẨM QUYỀN PD</v>
          </cell>
        </row>
      </sheetData>
      <sheetData sheetId="3899">
        <row r="1">
          <cell r="A1" t="str">
            <v>PHIẾU XỬ LÝ HỒ SƠ THANH TOÁN VƯỢT THẨM QUYỀN PD</v>
          </cell>
        </row>
      </sheetData>
      <sheetData sheetId="3900">
        <row r="1">
          <cell r="A1" t="str">
            <v>PHIẾU XỬ LÝ HỒ SƠ THANH TOÁN VƯỢT THẨM QUYỀN PD</v>
          </cell>
        </row>
      </sheetData>
      <sheetData sheetId="3901">
        <row r="1">
          <cell r="A1" t="str">
            <v>PHIẾU XỬ LÝ HỒ SƠ THANH TOÁN VƯỢT THẨM QUYỀN PD</v>
          </cell>
        </row>
      </sheetData>
      <sheetData sheetId="3902">
        <row r="1">
          <cell r="A1" t="str">
            <v>PHIẾU XỬ LÝ HỒ SƠ THANH TOÁN VƯỢT THẨM QUYỀN PD</v>
          </cell>
        </row>
      </sheetData>
      <sheetData sheetId="3903">
        <row r="1">
          <cell r="A1" t="str">
            <v>PHIẾU XỬ LÝ HỒ SƠ THANH TOÁN VƯỢT THẨM QUYỀN PD</v>
          </cell>
        </row>
      </sheetData>
      <sheetData sheetId="3904">
        <row r="1">
          <cell r="A1" t="str">
            <v>PHIẾU XỬ LÝ HỒ SƠ THANH TOÁN VƯỢT THẨM QUYỀN PD</v>
          </cell>
        </row>
      </sheetData>
      <sheetData sheetId="3905">
        <row r="1">
          <cell r="A1" t="str">
            <v>PHIẾU XỬ LÝ HỒ SƠ THANH TOÁN VƯỢT THẨM QUYỀN PD</v>
          </cell>
        </row>
      </sheetData>
      <sheetData sheetId="3906">
        <row r="1">
          <cell r="A1" t="str">
            <v>PHIẾU XỬ LÝ HỒ SƠ THANH TOÁN VƯỢT THẨM QUYỀN PD</v>
          </cell>
        </row>
      </sheetData>
      <sheetData sheetId="3907">
        <row r="1">
          <cell r="A1" t="str">
            <v>PHIẾU XỬ LÝ HỒ SƠ THANH TOÁN VƯỢT THẨM QUYỀN PD</v>
          </cell>
        </row>
      </sheetData>
      <sheetData sheetId="3908">
        <row r="1">
          <cell r="A1" t="str">
            <v>PHIẾU XỬ LÝ HỒ SƠ THANH TOÁN VƯỢT THẨM QUYỀN PD</v>
          </cell>
        </row>
      </sheetData>
      <sheetData sheetId="3909">
        <row r="1">
          <cell r="A1" t="str">
            <v>PHIẾU XỬ LÝ HỒ SƠ THANH TOÁN VƯỢT THẨM QUYỀN PD</v>
          </cell>
        </row>
      </sheetData>
      <sheetData sheetId="3910">
        <row r="1">
          <cell r="A1" t="str">
            <v>PHIẾU XỬ LÝ HỒ SƠ THANH TOÁN VƯỢT THẨM QUYỀN PD</v>
          </cell>
        </row>
      </sheetData>
      <sheetData sheetId="3911">
        <row r="1">
          <cell r="A1" t="str">
            <v>PHIẾU XỬ LÝ HỒ SƠ THANH TOÁN VƯỢT THẨM QUYỀN PD</v>
          </cell>
        </row>
      </sheetData>
      <sheetData sheetId="3912">
        <row r="1">
          <cell r="A1" t="str">
            <v>PHIẾU XỬ LÝ HỒ SƠ THANH TOÁN VƯỢT THẨM QUYỀN PD</v>
          </cell>
        </row>
      </sheetData>
      <sheetData sheetId="3913">
        <row r="1">
          <cell r="A1" t="str">
            <v>PHIẾU XỬ LÝ HỒ SƠ THANH TOÁN VƯỢT THẨM QUYỀN PD</v>
          </cell>
        </row>
      </sheetData>
      <sheetData sheetId="3914">
        <row r="1">
          <cell r="A1" t="str">
            <v>PHIẾU XỬ LÝ HỒ SƠ THANH TOÁN VƯỢT THẨM QUYỀN PD</v>
          </cell>
        </row>
      </sheetData>
      <sheetData sheetId="3915">
        <row r="1">
          <cell r="A1" t="str">
            <v>PHIẾU XỬ LÝ HỒ SƠ THANH TOÁN VƯỢT THẨM QUYỀN PD</v>
          </cell>
        </row>
      </sheetData>
      <sheetData sheetId="3916">
        <row r="1">
          <cell r="A1" t="str">
            <v>PHIẾU XỬ LÝ HỒ SƠ THANH TOÁN VƯỢT THẨM QUYỀN PD</v>
          </cell>
        </row>
      </sheetData>
      <sheetData sheetId="3917">
        <row r="1">
          <cell r="A1" t="str">
            <v>PHIẾU XỬ LÝ HỒ SƠ THANH TOÁN VƯỢT THẨM QUYỀN PD</v>
          </cell>
        </row>
      </sheetData>
      <sheetData sheetId="3918">
        <row r="1">
          <cell r="A1" t="str">
            <v>PHIẾU XỬ LÝ HỒ SƠ THANH TOÁN VƯỢT THẨM QUYỀN PD</v>
          </cell>
        </row>
      </sheetData>
      <sheetData sheetId="3919">
        <row r="1">
          <cell r="A1" t="str">
            <v>PHIẾU XỬ LÝ HỒ SƠ THANH TOÁN VƯỢT THẨM QUYỀN PD</v>
          </cell>
        </row>
      </sheetData>
      <sheetData sheetId="3920">
        <row r="1">
          <cell r="A1" t="str">
            <v>PHIẾU XỬ LÝ HỒ SƠ THANH TOÁN VƯỢT THẨM QUYỀN PD</v>
          </cell>
        </row>
      </sheetData>
      <sheetData sheetId="3921">
        <row r="1">
          <cell r="A1" t="str">
            <v>PHIẾU XỬ LÝ HỒ SƠ THANH TOÁN VƯỢT THẨM QUYỀN PD</v>
          </cell>
        </row>
      </sheetData>
      <sheetData sheetId="3922">
        <row r="1">
          <cell r="A1" t="str">
            <v>PHIẾU XỬ LÝ HỒ SƠ THANH TOÁN VƯỢT THẨM QUYỀN PD</v>
          </cell>
        </row>
      </sheetData>
      <sheetData sheetId="3923">
        <row r="1">
          <cell r="A1" t="str">
            <v>PHIẾU XỬ LÝ HỒ SƠ THANH TOÁN VƯỢT THẨM QUYỀN PD</v>
          </cell>
        </row>
      </sheetData>
      <sheetData sheetId="3924">
        <row r="1">
          <cell r="A1" t="str">
            <v>PHIẾU XỬ LÝ HỒ SƠ THANH TOÁN VƯỢT THẨM QUYỀN PD</v>
          </cell>
        </row>
      </sheetData>
      <sheetData sheetId="3925">
        <row r="1">
          <cell r="A1" t="str">
            <v>PHIẾU XỬ LÝ HỒ SƠ THANH TOÁN VƯỢT THẨM QUYỀN PD</v>
          </cell>
        </row>
      </sheetData>
      <sheetData sheetId="3926">
        <row r="1">
          <cell r="A1" t="str">
            <v>PHIẾU XỬ LÝ HỒ SƠ THANH TOÁN VƯỢT THẨM QUYỀN PD</v>
          </cell>
        </row>
      </sheetData>
      <sheetData sheetId="3927">
        <row r="1">
          <cell r="A1" t="str">
            <v>PHIẾU XỬ LÝ HỒ SƠ THANH TOÁN VƯỢT THẨM QUYỀN PD</v>
          </cell>
        </row>
      </sheetData>
      <sheetData sheetId="3928">
        <row r="1">
          <cell r="A1" t="str">
            <v>PHIẾU XỬ LÝ HỒ SƠ THANH TOÁN VƯỢT THẨM QUYỀN PD</v>
          </cell>
        </row>
      </sheetData>
      <sheetData sheetId="3929">
        <row r="1">
          <cell r="A1" t="str">
            <v>PHIẾU XỬ LÝ HỒ SƠ THANH TOÁN VƯỢT THẨM QUYỀN PD</v>
          </cell>
        </row>
      </sheetData>
      <sheetData sheetId="3930">
        <row r="1">
          <cell r="A1" t="str">
            <v>PHIẾU XỬ LÝ HỒ SƠ THANH TOÁN VƯỢT THẨM QUYỀN PD</v>
          </cell>
        </row>
      </sheetData>
      <sheetData sheetId="3931">
        <row r="1">
          <cell r="A1" t="str">
            <v>PHIẾU XỬ LÝ HỒ SƠ THANH TOÁN VƯỢT THẨM QUYỀN PD</v>
          </cell>
        </row>
      </sheetData>
      <sheetData sheetId="3932">
        <row r="1">
          <cell r="A1" t="str">
            <v>PHIẾU XỬ LÝ HỒ SƠ THANH TOÁN VƯỢT THẨM QUYỀN PD</v>
          </cell>
        </row>
      </sheetData>
      <sheetData sheetId="3933">
        <row r="1">
          <cell r="A1" t="str">
            <v>PHIẾU XỬ LÝ HỒ SƠ THANH TOÁN VƯỢT THẨM QUYỀN PD</v>
          </cell>
        </row>
      </sheetData>
      <sheetData sheetId="3934">
        <row r="1">
          <cell r="A1" t="str">
            <v>PHIẾU XỬ LÝ HỒ SƠ THANH TOÁN VƯỢT THẨM QUYỀN PD</v>
          </cell>
        </row>
      </sheetData>
      <sheetData sheetId="3935">
        <row r="1">
          <cell r="A1" t="str">
            <v>PHIẾU XỬ LÝ HỒ SƠ THANH TOÁN VƯỢT THẨM QUYỀN PD</v>
          </cell>
        </row>
      </sheetData>
      <sheetData sheetId="3936">
        <row r="1">
          <cell r="A1" t="str">
            <v>PHIẾU XỬ LÝ HỒ SƠ THANH TOÁN VƯỢT THẨM QUYỀN PD</v>
          </cell>
        </row>
      </sheetData>
      <sheetData sheetId="3937">
        <row r="1">
          <cell r="A1" t="str">
            <v>PHIẾU XỬ LÝ HỒ SƠ THANH TOÁN VƯỢT THẨM QUYỀN PD</v>
          </cell>
        </row>
      </sheetData>
      <sheetData sheetId="3938">
        <row r="1">
          <cell r="A1" t="str">
            <v>PHIẾU XỬ LÝ HỒ SƠ THANH TOÁN VƯỢT THẨM QUYỀN PD</v>
          </cell>
        </row>
      </sheetData>
      <sheetData sheetId="3939">
        <row r="1">
          <cell r="A1" t="str">
            <v>PHIẾU XỬ LÝ HỒ SƠ THANH TOÁN VƯỢT THẨM QUYỀN PD</v>
          </cell>
        </row>
      </sheetData>
      <sheetData sheetId="3940">
        <row r="1">
          <cell r="A1" t="str">
            <v>PHIẾU XỬ LÝ HỒ SƠ THANH TOÁN VƯỢT THẨM QUYỀN PD</v>
          </cell>
        </row>
      </sheetData>
      <sheetData sheetId="3941">
        <row r="1">
          <cell r="A1" t="str">
            <v>PHIẾU XỬ LÝ HỒ SƠ THANH TOÁN VƯỢT THẨM QUYỀN PD</v>
          </cell>
        </row>
      </sheetData>
      <sheetData sheetId="3942">
        <row r="1">
          <cell r="A1" t="str">
            <v>PHIẾU XỬ LÝ HỒ SƠ THANH TOÁN VƯỢT THẨM QUYỀN PD</v>
          </cell>
        </row>
      </sheetData>
      <sheetData sheetId="3943">
        <row r="1">
          <cell r="A1" t="str">
            <v>PHIẾU XỬ LÝ HỒ SƠ THANH TOÁN VƯỢT THẨM QUYỀN PD</v>
          </cell>
        </row>
      </sheetData>
      <sheetData sheetId="3944">
        <row r="1">
          <cell r="A1" t="str">
            <v>PHIẾU XỬ LÝ HỒ SƠ THANH TOÁN VƯỢT THẨM QUYỀN PD</v>
          </cell>
        </row>
      </sheetData>
      <sheetData sheetId="3945">
        <row r="1">
          <cell r="A1" t="str">
            <v>PHIẾU XỬ LÝ HỒ SƠ THANH TOÁN VƯỢT THẨM QUYỀN PD</v>
          </cell>
        </row>
      </sheetData>
      <sheetData sheetId="3946">
        <row r="1">
          <cell r="A1" t="str">
            <v>PHIẾU XỬ LÝ HỒ SƠ THANH TOÁN VƯỢT THẨM QUYỀN PD</v>
          </cell>
        </row>
      </sheetData>
      <sheetData sheetId="3947">
        <row r="1">
          <cell r="A1" t="str">
            <v>PHIẾU XỬ LÝ HỒ SƠ THANH TOÁN VƯỢT THẨM QUYỀN PD</v>
          </cell>
        </row>
      </sheetData>
      <sheetData sheetId="3948">
        <row r="1">
          <cell r="A1" t="str">
            <v>PHIẾU XỬ LÝ HỒ SƠ THANH TOÁN VƯỢT THẨM QUYỀN PD</v>
          </cell>
        </row>
      </sheetData>
      <sheetData sheetId="3949">
        <row r="1">
          <cell r="A1" t="str">
            <v>PHIẾU XỬ LÝ HỒ SƠ THANH TOÁN VƯỢT THẨM QUYỀN PD</v>
          </cell>
        </row>
      </sheetData>
      <sheetData sheetId="3950">
        <row r="1">
          <cell r="A1" t="str">
            <v>PHIẾU XỬ LÝ HỒ SƠ THANH TOÁN VƯỢT THẨM QUYỀN PD</v>
          </cell>
        </row>
      </sheetData>
      <sheetData sheetId="3951">
        <row r="1">
          <cell r="A1" t="str">
            <v>PHIẾU XỬ LÝ HỒ SƠ THANH TOÁN VƯỢT THẨM QUYỀN PD</v>
          </cell>
        </row>
      </sheetData>
      <sheetData sheetId="3952">
        <row r="1">
          <cell r="A1" t="str">
            <v>PHIẾU XỬ LÝ HỒ SƠ THANH TOÁN VƯỢT THẨM QUYỀN PD</v>
          </cell>
        </row>
      </sheetData>
      <sheetData sheetId="3953">
        <row r="1">
          <cell r="A1" t="str">
            <v>PHIẾU XỬ LÝ HỒ SƠ THANH TOÁN VƯỢT THẨM QUYỀN PD</v>
          </cell>
        </row>
      </sheetData>
      <sheetData sheetId="3954">
        <row r="1">
          <cell r="A1" t="str">
            <v>PHIẾU XỬ LÝ HỒ SƠ THANH TOÁN VƯỢT THẨM QUYỀN PD</v>
          </cell>
        </row>
      </sheetData>
      <sheetData sheetId="3955">
        <row r="1">
          <cell r="A1" t="str">
            <v>PHIẾU XỬ LÝ HỒ SƠ THANH TOÁN VƯỢT THẨM QUYỀN PD</v>
          </cell>
        </row>
      </sheetData>
      <sheetData sheetId="3956">
        <row r="1">
          <cell r="A1" t="str">
            <v>PHIẾU XỬ LÝ HỒ SƠ THANH TOÁN VƯỢT THẨM QUYỀN PD</v>
          </cell>
        </row>
      </sheetData>
      <sheetData sheetId="3957">
        <row r="1">
          <cell r="A1" t="str">
            <v>PHIẾU XỬ LÝ HỒ SƠ THANH TOÁN VƯỢT THẨM QUYỀN PD</v>
          </cell>
        </row>
      </sheetData>
      <sheetData sheetId="3958">
        <row r="1">
          <cell r="A1" t="str">
            <v>PHIẾU XỬ LÝ HỒ SƠ THANH TOÁN VƯỢT THẨM QUYỀN PD</v>
          </cell>
        </row>
      </sheetData>
      <sheetData sheetId="3959">
        <row r="1">
          <cell r="A1" t="str">
            <v>PHIẾU XỬ LÝ HỒ SƠ THANH TOÁN VƯỢT THẨM QUYỀN PD</v>
          </cell>
        </row>
      </sheetData>
      <sheetData sheetId="3960">
        <row r="1">
          <cell r="A1" t="str">
            <v>PHIẾU XỬ LÝ HỒ SƠ THANH TOÁN VƯỢT THẨM QUYỀN PD</v>
          </cell>
        </row>
      </sheetData>
      <sheetData sheetId="3961">
        <row r="1">
          <cell r="A1" t="str">
            <v>PHIẾU XỬ LÝ HỒ SƠ THANH TOÁN VƯỢT THẨM QUYỀN PD</v>
          </cell>
        </row>
      </sheetData>
      <sheetData sheetId="3962">
        <row r="1">
          <cell r="A1" t="str">
            <v>PHIẾU XỬ LÝ HỒ SƠ THANH TOÁN VƯỢT THẨM QUYỀN PD</v>
          </cell>
        </row>
      </sheetData>
      <sheetData sheetId="3963">
        <row r="1">
          <cell r="A1" t="str">
            <v>PHIẾU XỬ LÝ HỒ SƠ THANH TOÁN VƯỢT THẨM QUYỀN PD</v>
          </cell>
        </row>
      </sheetData>
      <sheetData sheetId="3964">
        <row r="1">
          <cell r="A1" t="str">
            <v>PHIẾU XỬ LÝ HỒ SƠ THANH TOÁN VƯỢT THẨM QUYỀN PD</v>
          </cell>
        </row>
      </sheetData>
      <sheetData sheetId="3965">
        <row r="1">
          <cell r="A1" t="str">
            <v>PHIẾU XỬ LÝ HỒ SƠ THANH TOÁN VƯỢT THẨM QUYỀN PD</v>
          </cell>
        </row>
      </sheetData>
      <sheetData sheetId="3966">
        <row r="1">
          <cell r="A1" t="str">
            <v>PHIẾU XỬ LÝ HỒ SƠ THANH TOÁN VƯỢT THẨM QUYỀN PD</v>
          </cell>
        </row>
      </sheetData>
      <sheetData sheetId="3967">
        <row r="1">
          <cell r="A1" t="str">
            <v>PHIẾU XỬ LÝ HỒ SƠ THANH TOÁN VƯỢT THẨM QUYỀN PD</v>
          </cell>
        </row>
      </sheetData>
      <sheetData sheetId="3968">
        <row r="1">
          <cell r="A1" t="str">
            <v>PHIẾU XỬ LÝ HỒ SƠ THANH TOÁN VƯỢT THẨM QUYỀN PD</v>
          </cell>
        </row>
      </sheetData>
      <sheetData sheetId="3969">
        <row r="1">
          <cell r="A1" t="str">
            <v>PHIẾU XỬ LÝ HỒ SƠ THANH TOÁN VƯỢT THẨM QUYỀN PD</v>
          </cell>
        </row>
      </sheetData>
      <sheetData sheetId="3970">
        <row r="1">
          <cell r="A1" t="str">
            <v>PHIẾU XỬ LÝ HỒ SƠ THANH TOÁN VƯỢT THẨM QUYỀN PD</v>
          </cell>
        </row>
      </sheetData>
      <sheetData sheetId="3971">
        <row r="1">
          <cell r="A1" t="str">
            <v>PHIẾU XỬ LÝ HỒ SƠ THANH TOÁN VƯỢT THẨM QUYỀN PD</v>
          </cell>
        </row>
      </sheetData>
      <sheetData sheetId="3972">
        <row r="1">
          <cell r="A1" t="str">
            <v>PHIẾU XỬ LÝ HỒ SƠ THANH TOÁN VƯỢT THẨM QUYỀN PD</v>
          </cell>
        </row>
      </sheetData>
      <sheetData sheetId="3973">
        <row r="1">
          <cell r="A1" t="str">
            <v>PHIẾU XỬ LÝ HỒ SƠ THANH TOÁN VƯỢT THẨM QUYỀN PD</v>
          </cell>
        </row>
      </sheetData>
      <sheetData sheetId="3974">
        <row r="1">
          <cell r="A1" t="str">
            <v>PHIẾU XỬ LÝ HỒ SƠ THANH TOÁN VƯỢT THẨM QUYỀN PD</v>
          </cell>
        </row>
      </sheetData>
      <sheetData sheetId="3975">
        <row r="1">
          <cell r="A1" t="str">
            <v>PHIẾU XỬ LÝ HỒ SƠ THANH TOÁN VƯỢT THẨM QUYỀN PD</v>
          </cell>
        </row>
      </sheetData>
      <sheetData sheetId="3976">
        <row r="1">
          <cell r="A1" t="str">
            <v>PHIẾU XỬ LÝ HỒ SƠ THANH TOÁN VƯỢT THẨM QUYỀN PD</v>
          </cell>
        </row>
      </sheetData>
      <sheetData sheetId="3977">
        <row r="1">
          <cell r="A1" t="str">
            <v>PHIẾU XỬ LÝ HỒ SƠ THANH TOÁN VƯỢT THẨM QUYỀN PD</v>
          </cell>
        </row>
      </sheetData>
      <sheetData sheetId="3978">
        <row r="1">
          <cell r="A1" t="str">
            <v>PHIẾU XỬ LÝ HỒ SƠ THANH TOÁN VƯỢT THẨM QUYỀN PD</v>
          </cell>
        </row>
      </sheetData>
      <sheetData sheetId="3979">
        <row r="1">
          <cell r="A1" t="str">
            <v>PHIẾU XỬ LÝ HỒ SƠ THANH TOÁN VƯỢT THẨM QUYỀN PD</v>
          </cell>
        </row>
      </sheetData>
      <sheetData sheetId="3980">
        <row r="1">
          <cell r="A1" t="str">
            <v>PHIẾU XỬ LÝ HỒ SƠ THANH TOÁN VƯỢT THẨM QUYỀN PD</v>
          </cell>
        </row>
      </sheetData>
      <sheetData sheetId="3981">
        <row r="1">
          <cell r="A1" t="str">
            <v>PHIẾU XỬ LÝ HỒ SƠ THANH TOÁN VƯỢT THẨM QUYỀN PD</v>
          </cell>
        </row>
      </sheetData>
      <sheetData sheetId="3982">
        <row r="1">
          <cell r="A1" t="str">
            <v>PHIẾU XỬ LÝ HỒ SƠ THANH TOÁN VƯỢT THẨM QUYỀN PD</v>
          </cell>
        </row>
      </sheetData>
      <sheetData sheetId="3983">
        <row r="1">
          <cell r="A1" t="str">
            <v>PHIẾU XỬ LÝ HỒ SƠ THANH TOÁN VƯỢT THẨM QUYỀN PD</v>
          </cell>
        </row>
      </sheetData>
      <sheetData sheetId="3984">
        <row r="1">
          <cell r="A1" t="str">
            <v>PHIẾU XỬ LÝ HỒ SƠ THANH TOÁN VƯỢT THẨM QUYỀN PD</v>
          </cell>
        </row>
      </sheetData>
      <sheetData sheetId="3985">
        <row r="1">
          <cell r="A1" t="str">
            <v>PHIẾU XỬ LÝ HỒ SƠ THANH TOÁN VƯỢT THẨM QUYỀN PD</v>
          </cell>
        </row>
      </sheetData>
      <sheetData sheetId="3986">
        <row r="1">
          <cell r="A1" t="str">
            <v>PHIẾU XỬ LÝ HỒ SƠ THANH TOÁN VƯỢT THẨM QUYỀN PD</v>
          </cell>
        </row>
      </sheetData>
      <sheetData sheetId="3987">
        <row r="1">
          <cell r="A1" t="str">
            <v>PHIẾU XỬ LÝ HỒ SƠ THANH TOÁN VƯỢT THẨM QUYỀN PD</v>
          </cell>
        </row>
      </sheetData>
      <sheetData sheetId="3988">
        <row r="1">
          <cell r="A1" t="str">
            <v>PHIẾU XỬ LÝ HỒ SƠ THANH TOÁN VƯỢT THẨM QUYỀN PD</v>
          </cell>
        </row>
      </sheetData>
      <sheetData sheetId="3989">
        <row r="1">
          <cell r="A1" t="str">
            <v>PHIẾU XỬ LÝ HỒ SƠ THANH TOÁN VƯỢT THẨM QUYỀN PD</v>
          </cell>
        </row>
      </sheetData>
      <sheetData sheetId="3990">
        <row r="1">
          <cell r="A1" t="str">
            <v>PHIẾU XỬ LÝ HỒ SƠ THANH TOÁN VƯỢT THẨM QUYỀN PD</v>
          </cell>
        </row>
      </sheetData>
      <sheetData sheetId="3991">
        <row r="1">
          <cell r="A1" t="str">
            <v>PHIẾU XỬ LÝ HỒ SƠ THANH TOÁN VƯỢT THẨM QUYỀN PD</v>
          </cell>
        </row>
      </sheetData>
      <sheetData sheetId="3992">
        <row r="1">
          <cell r="A1" t="str">
            <v>PHIẾU XỬ LÝ HỒ SƠ THANH TOÁN VƯỢT THẨM QUYỀN PD</v>
          </cell>
        </row>
      </sheetData>
      <sheetData sheetId="3993">
        <row r="1">
          <cell r="A1" t="str">
            <v>PHIẾU XỬ LÝ HỒ SƠ THANH TOÁN VƯỢT THẨM QUYỀN PD</v>
          </cell>
        </row>
      </sheetData>
      <sheetData sheetId="3994">
        <row r="1">
          <cell r="A1" t="str">
            <v>PHIẾU XỬ LÝ HỒ SƠ THANH TOÁN VƯỢT THẨM QUYỀN PD</v>
          </cell>
        </row>
      </sheetData>
      <sheetData sheetId="3995">
        <row r="1">
          <cell r="A1" t="str">
            <v>PHIẾU XỬ LÝ HỒ SƠ THANH TOÁN VƯỢT THẨM QUYỀN PD</v>
          </cell>
        </row>
      </sheetData>
      <sheetData sheetId="3996">
        <row r="1">
          <cell r="A1" t="str">
            <v>PHIẾU XỬ LÝ HỒ SƠ THANH TOÁN VƯỢT THẨM QUYỀN PD</v>
          </cell>
        </row>
      </sheetData>
      <sheetData sheetId="3997">
        <row r="1">
          <cell r="A1" t="str">
            <v>PHIẾU XỬ LÝ HỒ SƠ THANH TOÁN VƯỢT THẨM QUYỀN PD</v>
          </cell>
        </row>
      </sheetData>
      <sheetData sheetId="3998">
        <row r="1">
          <cell r="A1" t="str">
            <v>PHIẾU XỬ LÝ HỒ SƠ THANH TOÁN VƯỢT THẨM QUYỀN PD</v>
          </cell>
        </row>
      </sheetData>
      <sheetData sheetId="3999">
        <row r="1">
          <cell r="A1" t="str">
            <v>PHIẾU XỬ LÝ HỒ SƠ THANH TOÁN VƯỢT THẨM QUYỀN PD</v>
          </cell>
        </row>
      </sheetData>
      <sheetData sheetId="4000">
        <row r="1">
          <cell r="A1" t="str">
            <v>PHIẾU XỬ LÝ HỒ SƠ THANH TOÁN VƯỢT THẨM QUYỀN PD</v>
          </cell>
        </row>
      </sheetData>
      <sheetData sheetId="4001">
        <row r="1">
          <cell r="A1" t="str">
            <v>PHIẾU XỬ LÝ HỒ SƠ THANH TOÁN VƯỢT THẨM QUYỀN PD</v>
          </cell>
        </row>
      </sheetData>
      <sheetData sheetId="4002">
        <row r="1">
          <cell r="A1" t="str">
            <v>PHIẾU XỬ LÝ HỒ SƠ THANH TOÁN VƯỢT THẨM QUYỀN PD</v>
          </cell>
        </row>
      </sheetData>
      <sheetData sheetId="4003">
        <row r="1">
          <cell r="A1" t="str">
            <v>PHIẾU XỬ LÝ HỒ SƠ THANH TOÁN VƯỢT THẨM QUYỀN PD</v>
          </cell>
        </row>
      </sheetData>
      <sheetData sheetId="4004">
        <row r="1">
          <cell r="A1" t="str">
            <v>PHIẾU XỬ LÝ HỒ SƠ THANH TOÁN VƯỢT THẨM QUYỀN PD</v>
          </cell>
        </row>
      </sheetData>
      <sheetData sheetId="4005">
        <row r="1">
          <cell r="A1" t="str">
            <v>PHIẾU XỬ LÝ HỒ SƠ THANH TOÁN VƯỢT THẨM QUYỀN PD</v>
          </cell>
        </row>
      </sheetData>
      <sheetData sheetId="4006">
        <row r="1">
          <cell r="A1" t="str">
            <v>PHIẾU XỬ LÝ HỒ SƠ THANH TOÁN VƯỢT THẨM QUYỀN PD</v>
          </cell>
        </row>
      </sheetData>
      <sheetData sheetId="4007">
        <row r="1">
          <cell r="A1" t="str">
            <v>PHIẾU XỬ LÝ HỒ SƠ THANH TOÁN VƯỢT THẨM QUYỀN PD</v>
          </cell>
        </row>
      </sheetData>
      <sheetData sheetId="4008">
        <row r="1">
          <cell r="A1" t="str">
            <v>PHIẾU XỬ LÝ HỒ SƠ THANH TOÁN VƯỢT THẨM QUYỀN PD</v>
          </cell>
        </row>
      </sheetData>
      <sheetData sheetId="4009">
        <row r="1">
          <cell r="A1" t="str">
            <v>PHIẾU XỬ LÝ HỒ SƠ THANH TOÁN VƯỢT THẨM QUYỀN PD</v>
          </cell>
        </row>
      </sheetData>
      <sheetData sheetId="4010">
        <row r="1">
          <cell r="A1" t="str">
            <v>PHIẾU XỬ LÝ HỒ SƠ THANH TOÁN VƯỢT THẨM QUYỀN PD</v>
          </cell>
        </row>
      </sheetData>
      <sheetData sheetId="4011"/>
      <sheetData sheetId="4012">
        <row r="1">
          <cell r="A1" t="str">
            <v>PHIẾU XỬ LÝ HỒ SƠ THANH TOÁN VƯỢT THẨM QUYỀN PD</v>
          </cell>
        </row>
      </sheetData>
      <sheetData sheetId="4013">
        <row r="1">
          <cell r="A1" t="str">
            <v>PHIẾU XỬ LÝ HỒ SƠ THANH TOÁN VƯỢT THẨM QUYỀN PD</v>
          </cell>
        </row>
      </sheetData>
      <sheetData sheetId="4014">
        <row r="1">
          <cell r="A1" t="str">
            <v>PHIẾU XỬ LÝ HỒ SƠ THANH TOÁN VƯỢT THẨM QUYỀN PD</v>
          </cell>
        </row>
      </sheetData>
      <sheetData sheetId="4015">
        <row r="1">
          <cell r="A1" t="str">
            <v>PHIẾU XỬ LÝ HỒ SƠ THANH TOÁN VƯỢT THẨM QUYỀN PD</v>
          </cell>
        </row>
      </sheetData>
      <sheetData sheetId="4016">
        <row r="1">
          <cell r="A1" t="str">
            <v>PHIẾU XỬ LÝ HỒ SƠ THANH TOÁN VƯỢT THẨM QUYỀN PD</v>
          </cell>
        </row>
      </sheetData>
      <sheetData sheetId="4017">
        <row r="1">
          <cell r="A1" t="str">
            <v>PHIẾU XỬ LÝ HỒ SƠ THANH TOÁN VƯỢT THẨM QUYỀN PD</v>
          </cell>
        </row>
      </sheetData>
      <sheetData sheetId="4018">
        <row r="1">
          <cell r="A1" t="str">
            <v>PHIẾU XỬ LÝ HỒ SƠ THANH TOÁN VƯỢT THẨM QUYỀN PD</v>
          </cell>
        </row>
      </sheetData>
      <sheetData sheetId="4019">
        <row r="1">
          <cell r="A1" t="str">
            <v>PHIẾU XỬ LÝ HỒ SƠ THANH TOÁN VƯỢT THẨM QUYỀN PD</v>
          </cell>
        </row>
      </sheetData>
      <sheetData sheetId="4020">
        <row r="1">
          <cell r="A1" t="str">
            <v>PHIẾU XỬ LÝ HỒ SƠ THANH TOÁN VƯỢT THẨM QUYỀN PD</v>
          </cell>
        </row>
      </sheetData>
      <sheetData sheetId="4021">
        <row r="1">
          <cell r="A1" t="str">
            <v>PHIẾU XỬ LÝ HỒ SƠ THANH TOÁN VƯỢT THẨM QUYỀN PD</v>
          </cell>
        </row>
      </sheetData>
      <sheetData sheetId="4022">
        <row r="1">
          <cell r="A1" t="str">
            <v>PHIẾU XỬ LÝ HỒ SƠ THANH TOÁN VƯỢT THẨM QUYỀN PD</v>
          </cell>
        </row>
      </sheetData>
      <sheetData sheetId="4023">
        <row r="1">
          <cell r="A1" t="str">
            <v>PHIẾU XỬ LÝ HỒ SƠ THANH TOÁN VƯỢT THẨM QUYỀN PD</v>
          </cell>
        </row>
      </sheetData>
      <sheetData sheetId="4024">
        <row r="1">
          <cell r="A1" t="str">
            <v>PHIẾU XỬ LÝ HỒ SƠ THANH TOÁN VƯỢT THẨM QUYỀN PD</v>
          </cell>
        </row>
      </sheetData>
      <sheetData sheetId="4025">
        <row r="1">
          <cell r="A1" t="str">
            <v>PHIẾU XỬ LÝ HỒ SƠ THANH TOÁN VƯỢT THẨM QUYỀN PD</v>
          </cell>
        </row>
      </sheetData>
      <sheetData sheetId="4026">
        <row r="1">
          <cell r="A1" t="str">
            <v>PHIẾU XỬ LÝ HỒ SƠ THANH TOÁN VƯỢT THẨM QUYỀN PD</v>
          </cell>
        </row>
      </sheetData>
      <sheetData sheetId="4027">
        <row r="1">
          <cell r="A1" t="str">
            <v>PHIẾU XỬ LÝ HỒ SƠ THANH TOÁN VƯỢT THẨM QUYỀN PD</v>
          </cell>
        </row>
      </sheetData>
      <sheetData sheetId="4028">
        <row r="1">
          <cell r="A1" t="str">
            <v>PHIẾU XỬ LÝ HỒ SƠ THANH TOÁN VƯỢT THẨM QUYỀN PD</v>
          </cell>
        </row>
      </sheetData>
      <sheetData sheetId="4029">
        <row r="1">
          <cell r="A1" t="str">
            <v>PHIẾU XỬ LÝ HỒ SƠ THANH TOÁN VƯỢT THẨM QUYỀN PD</v>
          </cell>
        </row>
      </sheetData>
      <sheetData sheetId="4030">
        <row r="1">
          <cell r="A1" t="str">
            <v>PHIẾU XỬ LÝ HỒ SƠ THANH TOÁN VƯỢT THẨM QUYỀN PD</v>
          </cell>
        </row>
      </sheetData>
      <sheetData sheetId="4031">
        <row r="1">
          <cell r="A1" t="str">
            <v>PHIẾU XỬ LÝ HỒ SƠ THANH TOÁN VƯỢT THẨM QUYỀN PD</v>
          </cell>
        </row>
      </sheetData>
      <sheetData sheetId="4032">
        <row r="1">
          <cell r="A1" t="str">
            <v>PHIẾU XỬ LÝ HỒ SƠ THANH TOÁN VƯỢT THẨM QUYỀN PD</v>
          </cell>
        </row>
      </sheetData>
      <sheetData sheetId="4033">
        <row r="1">
          <cell r="A1" t="str">
            <v>PHIẾU XỬ LÝ HỒ SƠ THANH TOÁN VƯỢT THẨM QUYỀN PD</v>
          </cell>
        </row>
      </sheetData>
      <sheetData sheetId="4034">
        <row r="1">
          <cell r="A1" t="str">
            <v>PHIẾU XỬ LÝ HỒ SƠ THANH TOÁN VƯỢT THẨM QUYỀN PD</v>
          </cell>
        </row>
      </sheetData>
      <sheetData sheetId="4035">
        <row r="1">
          <cell r="A1" t="str">
            <v>PHIẾU XỬ LÝ HỒ SƠ THANH TOÁN VƯỢT THẨM QUYỀN PD</v>
          </cell>
        </row>
      </sheetData>
      <sheetData sheetId="4036">
        <row r="1">
          <cell r="A1" t="str">
            <v>PHIẾU XỬ LÝ HỒ SƠ THANH TOÁN VƯỢT THẨM QUYỀN PD</v>
          </cell>
        </row>
      </sheetData>
      <sheetData sheetId="4037">
        <row r="1">
          <cell r="A1" t="str">
            <v>PHIẾU XỬ LÝ HỒ SƠ THANH TOÁN VƯỢT THẨM QUYỀN PD</v>
          </cell>
        </row>
      </sheetData>
      <sheetData sheetId="4038">
        <row r="1">
          <cell r="A1" t="str">
            <v>PHIẾU XỬ LÝ HỒ SƠ THANH TOÁN VƯỢT THẨM QUYỀN PD</v>
          </cell>
        </row>
      </sheetData>
      <sheetData sheetId="4039">
        <row r="1">
          <cell r="A1" t="str">
            <v>PHIẾU XỬ LÝ HỒ SƠ THANH TOÁN VƯỢT THẨM QUYỀN PD</v>
          </cell>
        </row>
      </sheetData>
      <sheetData sheetId="4040">
        <row r="1">
          <cell r="A1" t="str">
            <v>PHIẾU XỬ LÝ HỒ SƠ THANH TOÁN VƯỢT THẨM QUYỀN PD</v>
          </cell>
        </row>
      </sheetData>
      <sheetData sheetId="4041">
        <row r="1">
          <cell r="A1" t="str">
            <v>PHIẾU XỬ LÝ HỒ SƠ THANH TOÁN VƯỢT THẨM QUYỀN PD</v>
          </cell>
        </row>
      </sheetData>
      <sheetData sheetId="4042">
        <row r="1">
          <cell r="A1" t="str">
            <v>PHIẾU XỬ LÝ HỒ SƠ THANH TOÁN VƯỢT THẨM QUYỀN PD</v>
          </cell>
        </row>
      </sheetData>
      <sheetData sheetId="4043">
        <row r="1">
          <cell r="A1" t="str">
            <v>PHIẾU XỬ LÝ HỒ SƠ THANH TOÁN VƯỢT THẨM QUYỀN PD</v>
          </cell>
        </row>
      </sheetData>
      <sheetData sheetId="4044">
        <row r="1">
          <cell r="A1" t="str">
            <v>PHIẾU XỬ LÝ HỒ SƠ THANH TOÁN VƯỢT THẨM QUYỀN PD</v>
          </cell>
        </row>
      </sheetData>
      <sheetData sheetId="4045">
        <row r="1">
          <cell r="A1" t="str">
            <v>PHIẾU XỬ LÝ HỒ SƠ THANH TOÁN VƯỢT THẨM QUYỀN PD</v>
          </cell>
        </row>
      </sheetData>
      <sheetData sheetId="4046">
        <row r="1">
          <cell r="A1" t="str">
            <v>PHIẾU XỬ LÝ HỒ SƠ THANH TOÁN VƯỢT THẨM QUYỀN PD</v>
          </cell>
        </row>
      </sheetData>
      <sheetData sheetId="4047">
        <row r="1">
          <cell r="A1" t="str">
            <v>PHIẾU XỬ LÝ HỒ SƠ THANH TOÁN VƯỢT THẨM QUYỀN PD</v>
          </cell>
        </row>
      </sheetData>
      <sheetData sheetId="4048">
        <row r="1">
          <cell r="A1" t="str">
            <v>PHIẾU XỬ LÝ HỒ SƠ THANH TOÁN VƯỢT THẨM QUYỀN PD</v>
          </cell>
        </row>
      </sheetData>
      <sheetData sheetId="4049">
        <row r="1">
          <cell r="A1" t="str">
            <v>PHIẾU XỬ LÝ HỒ SƠ THANH TOÁN VƯỢT THẨM QUYỀN PD</v>
          </cell>
        </row>
      </sheetData>
      <sheetData sheetId="4050">
        <row r="1">
          <cell r="A1" t="str">
            <v>PHIẾU XỬ LÝ HỒ SƠ THANH TOÁN VƯỢT THẨM QUYỀN PD</v>
          </cell>
        </row>
      </sheetData>
      <sheetData sheetId="4051">
        <row r="1">
          <cell r="A1" t="str">
            <v>PHIẾU XỬ LÝ HỒ SƠ THANH TOÁN VƯỢT THẨM QUYỀN PD</v>
          </cell>
        </row>
      </sheetData>
      <sheetData sheetId="4052">
        <row r="1">
          <cell r="A1" t="str">
            <v>PHIẾU XỬ LÝ HỒ SƠ THANH TOÁN VƯỢT THẨM QUYỀN PD</v>
          </cell>
        </row>
      </sheetData>
      <sheetData sheetId="4053">
        <row r="1">
          <cell r="A1" t="str">
            <v>PHIẾU XỬ LÝ HỒ SƠ THANH TOÁN VƯỢT THẨM QUYỀN PD</v>
          </cell>
        </row>
      </sheetData>
      <sheetData sheetId="4054">
        <row r="1">
          <cell r="A1" t="str">
            <v>PHIẾU XỬ LÝ HỒ SƠ THANH TOÁN VƯỢT THẨM QUYỀN PD</v>
          </cell>
        </row>
      </sheetData>
      <sheetData sheetId="4055">
        <row r="1">
          <cell r="A1" t="str">
            <v>PHIẾU XỬ LÝ HỒ SƠ THANH TOÁN VƯỢT THẨM QUYỀN PD</v>
          </cell>
        </row>
      </sheetData>
      <sheetData sheetId="4056">
        <row r="1">
          <cell r="A1" t="str">
            <v>PHIẾU XỬ LÝ HỒ SƠ THANH TOÁN VƯỢT THẨM QUYỀN PD</v>
          </cell>
        </row>
      </sheetData>
      <sheetData sheetId="4057">
        <row r="1">
          <cell r="A1" t="str">
            <v>PHIẾU XỬ LÝ HỒ SƠ THANH TOÁN VƯỢT THẨM QUYỀN PD</v>
          </cell>
        </row>
      </sheetData>
      <sheetData sheetId="4058">
        <row r="1">
          <cell r="A1" t="str">
            <v>PHIẾU XỬ LÝ HỒ SƠ THANH TOÁN VƯỢT THẨM QUYỀN PD</v>
          </cell>
        </row>
      </sheetData>
      <sheetData sheetId="4059">
        <row r="1">
          <cell r="A1" t="str">
            <v>PHIẾU XỬ LÝ HỒ SƠ THANH TOÁN VƯỢT THẨM QUYỀN PD</v>
          </cell>
        </row>
      </sheetData>
      <sheetData sheetId="4060">
        <row r="1">
          <cell r="A1" t="str">
            <v>PHIẾU XỬ LÝ HỒ SƠ THANH TOÁN VƯỢT THẨM QUYỀN PD</v>
          </cell>
        </row>
      </sheetData>
      <sheetData sheetId="4061">
        <row r="1">
          <cell r="A1" t="str">
            <v>PHIẾU XỬ LÝ HỒ SƠ THANH TOÁN VƯỢT THẨM QUYỀN PD</v>
          </cell>
        </row>
      </sheetData>
      <sheetData sheetId="4062">
        <row r="1">
          <cell r="A1" t="str">
            <v>PHIẾU XỬ LÝ HỒ SƠ THANH TOÁN VƯỢT THẨM QUYỀN PD</v>
          </cell>
        </row>
      </sheetData>
      <sheetData sheetId="4063">
        <row r="1">
          <cell r="A1" t="str">
            <v>PHIẾU XỬ LÝ HỒ SƠ THANH TOÁN VƯỢT THẨM QUYỀN PD</v>
          </cell>
        </row>
      </sheetData>
      <sheetData sheetId="4064">
        <row r="1">
          <cell r="A1" t="str">
            <v>PHIẾU XỬ LÝ HỒ SƠ THANH TOÁN VƯỢT THẨM QUYỀN PD</v>
          </cell>
        </row>
      </sheetData>
      <sheetData sheetId="4065">
        <row r="1">
          <cell r="A1" t="str">
            <v>PHIẾU XỬ LÝ HỒ SƠ THANH TOÁN VƯỢT THẨM QUYỀN PD</v>
          </cell>
        </row>
      </sheetData>
      <sheetData sheetId="4066">
        <row r="1">
          <cell r="A1" t="str">
            <v>PHIẾU XỬ LÝ HỒ SƠ THANH TOÁN VƯỢT THẨM QUYỀN PD</v>
          </cell>
        </row>
      </sheetData>
      <sheetData sheetId="4067">
        <row r="1">
          <cell r="A1" t="str">
            <v>PHIẾU XỬ LÝ HỒ SƠ THANH TOÁN VƯỢT THẨM QUYỀN PD</v>
          </cell>
        </row>
      </sheetData>
      <sheetData sheetId="4068">
        <row r="1">
          <cell r="A1" t="str">
            <v>PHIẾU XỬ LÝ HỒ SƠ THANH TOÁN VƯỢT THẨM QUYỀN PD</v>
          </cell>
        </row>
      </sheetData>
      <sheetData sheetId="4069">
        <row r="1">
          <cell r="A1" t="str">
            <v>PHIẾU XỬ LÝ HỒ SƠ THANH TOÁN VƯỢT THẨM QUYỀN PD</v>
          </cell>
        </row>
      </sheetData>
      <sheetData sheetId="4070">
        <row r="1">
          <cell r="A1" t="str">
            <v>PHIẾU XỬ LÝ HỒ SƠ THANH TOÁN VƯỢT THẨM QUYỀN PD</v>
          </cell>
        </row>
      </sheetData>
      <sheetData sheetId="4071">
        <row r="1">
          <cell r="A1" t="str">
            <v>PHIẾU XỬ LÝ HỒ SƠ THANH TOÁN VƯỢT THẨM QUYỀN PD</v>
          </cell>
        </row>
      </sheetData>
      <sheetData sheetId="4072">
        <row r="1">
          <cell r="A1" t="str">
            <v>PHIẾU XỬ LÝ HỒ SƠ THANH TOÁN VƯỢT THẨM QUYỀN PD</v>
          </cell>
        </row>
      </sheetData>
      <sheetData sheetId="4073">
        <row r="1">
          <cell r="A1" t="str">
            <v>PHIẾU XỬ LÝ HỒ SƠ THANH TOÁN VƯỢT THẨM QUYỀN PD</v>
          </cell>
        </row>
      </sheetData>
      <sheetData sheetId="4074">
        <row r="1">
          <cell r="A1" t="str">
            <v>PHIẾU XỬ LÝ HỒ SƠ THANH TOÁN VƯỢT THẨM QUYỀN PD</v>
          </cell>
        </row>
      </sheetData>
      <sheetData sheetId="4075">
        <row r="1">
          <cell r="A1" t="str">
            <v>PHIẾU XỬ LÝ HỒ SƠ THANH TOÁN VƯỢT THẨM QUYỀN PD</v>
          </cell>
        </row>
      </sheetData>
      <sheetData sheetId="4076">
        <row r="1">
          <cell r="A1" t="str">
            <v>PHIẾU XỬ LÝ HỒ SƠ THANH TOÁN VƯỢT THẨM QUYỀN PD</v>
          </cell>
        </row>
      </sheetData>
      <sheetData sheetId="4077">
        <row r="1">
          <cell r="A1" t="str">
            <v>PHIẾU XỬ LÝ HỒ SƠ THANH TOÁN VƯỢT THẨM QUYỀN PD</v>
          </cell>
        </row>
      </sheetData>
      <sheetData sheetId="4078">
        <row r="1">
          <cell r="A1" t="str">
            <v>PHIẾU XỬ LÝ HỒ SƠ THANH TOÁN VƯỢT THẨM QUYỀN PD</v>
          </cell>
        </row>
      </sheetData>
      <sheetData sheetId="4079">
        <row r="1">
          <cell r="A1" t="str">
            <v>PHIẾU XỬ LÝ HỒ SƠ THANH TOÁN VƯỢT THẨM QUYỀN PD</v>
          </cell>
        </row>
      </sheetData>
      <sheetData sheetId="4080">
        <row r="1">
          <cell r="A1" t="str">
            <v>PHIẾU XỬ LÝ HỒ SƠ THANH TOÁN VƯỢT THẨM QUYỀN PD</v>
          </cell>
        </row>
      </sheetData>
      <sheetData sheetId="4081">
        <row r="1">
          <cell r="A1" t="str">
            <v>PHIẾU XỬ LÝ HỒ SƠ THANH TOÁN VƯỢT THẨM QUYỀN PD</v>
          </cell>
        </row>
      </sheetData>
      <sheetData sheetId="4082">
        <row r="1">
          <cell r="A1" t="str">
            <v>PHIẾU XỬ LÝ HỒ SƠ THANH TOÁN VƯỢT THẨM QUYỀN PD</v>
          </cell>
        </row>
      </sheetData>
      <sheetData sheetId="4083">
        <row r="1">
          <cell r="A1" t="str">
            <v>PHIẾU XỬ LÝ HỒ SƠ THANH TOÁN VƯỢT THẨM QUYỀN PD</v>
          </cell>
        </row>
      </sheetData>
      <sheetData sheetId="4084">
        <row r="1">
          <cell r="A1" t="str">
            <v>PHIẾU XỬ LÝ HỒ SƠ THANH TOÁN VƯỢT THẨM QUYỀN PD</v>
          </cell>
        </row>
      </sheetData>
      <sheetData sheetId="4085">
        <row r="1">
          <cell r="A1" t="str">
            <v>PHIẾU XỬ LÝ HỒ SƠ THANH TOÁN VƯỢT THẨM QUYỀN PD</v>
          </cell>
        </row>
      </sheetData>
      <sheetData sheetId="4086">
        <row r="1">
          <cell r="A1" t="str">
            <v>PHIẾU XỬ LÝ HỒ SƠ THANH TOÁN VƯỢT THẨM QUYỀN PD</v>
          </cell>
        </row>
      </sheetData>
      <sheetData sheetId="4087">
        <row r="1">
          <cell r="A1" t="str">
            <v>PHIẾU XỬ LÝ HỒ SƠ THANH TOÁN VƯỢT THẨM QUYỀN PD</v>
          </cell>
        </row>
      </sheetData>
      <sheetData sheetId="4088">
        <row r="1">
          <cell r="A1" t="str">
            <v>PHIẾU XỬ LÝ HỒ SƠ THANH TOÁN VƯỢT THẨM QUYỀN PD</v>
          </cell>
        </row>
      </sheetData>
      <sheetData sheetId="4089">
        <row r="1">
          <cell r="A1" t="str">
            <v>PHIẾU XỬ LÝ HỒ SƠ THANH TOÁN VƯỢT THẨM QUYỀN PD</v>
          </cell>
        </row>
      </sheetData>
      <sheetData sheetId="4090">
        <row r="1">
          <cell r="A1" t="str">
            <v>PHIẾU XỬ LÝ HỒ SƠ THANH TOÁN VƯỢT THẨM QUYỀN PD</v>
          </cell>
        </row>
      </sheetData>
      <sheetData sheetId="4091">
        <row r="1">
          <cell r="A1" t="str">
            <v>PHIẾU XỬ LÝ HỒ SƠ THANH TOÁN VƯỢT THẨM QUYỀN PD</v>
          </cell>
        </row>
      </sheetData>
      <sheetData sheetId="4092">
        <row r="1">
          <cell r="A1" t="str">
            <v>PHIẾU XỬ LÝ HỒ SƠ THANH TOÁN VƯỢT THẨM QUYỀN PD</v>
          </cell>
        </row>
      </sheetData>
      <sheetData sheetId="4093">
        <row r="1">
          <cell r="A1" t="str">
            <v>PHIẾU XỬ LÝ HỒ SƠ THANH TOÁN VƯỢT THẨM QUYỀN PD</v>
          </cell>
        </row>
      </sheetData>
      <sheetData sheetId="4094">
        <row r="1">
          <cell r="A1" t="str">
            <v>PHIẾU XỬ LÝ HỒ SƠ THANH TOÁN VƯỢT THẨM QUYỀN PD</v>
          </cell>
        </row>
      </sheetData>
      <sheetData sheetId="4095">
        <row r="1">
          <cell r="A1" t="str">
            <v>PHIẾU XỬ LÝ HỒ SƠ THANH TOÁN VƯỢT THẨM QUYỀN PD</v>
          </cell>
        </row>
      </sheetData>
      <sheetData sheetId="4096">
        <row r="1">
          <cell r="A1" t="str">
            <v>PHIẾU XỬ LÝ HỒ SƠ THANH TOÁN VƯỢT THẨM QUYỀN PD</v>
          </cell>
        </row>
      </sheetData>
      <sheetData sheetId="4097">
        <row r="1">
          <cell r="A1" t="str">
            <v>PHIẾU XỬ LÝ HỒ SƠ THANH TOÁN VƯỢT THẨM QUYỀN PD</v>
          </cell>
        </row>
      </sheetData>
      <sheetData sheetId="4098">
        <row r="1">
          <cell r="A1" t="str">
            <v>PHIẾU XỬ LÝ HỒ SƠ THANH TOÁN VƯỢT THẨM QUYỀN PD</v>
          </cell>
        </row>
      </sheetData>
      <sheetData sheetId="4099">
        <row r="1">
          <cell r="A1" t="str">
            <v>PHIẾU XỬ LÝ HỒ SƠ THANH TOÁN VƯỢT THẨM QUYỀN PD</v>
          </cell>
        </row>
      </sheetData>
      <sheetData sheetId="4100">
        <row r="1">
          <cell r="A1" t="str">
            <v>PHIẾU XỬ LÝ HỒ SƠ THANH TOÁN VƯỢT THẨM QUYỀN PD</v>
          </cell>
        </row>
      </sheetData>
      <sheetData sheetId="4101">
        <row r="1">
          <cell r="A1" t="str">
            <v>PHIẾU XỬ LÝ HỒ SƠ THANH TOÁN VƯỢT THẨM QUYỀN PD</v>
          </cell>
        </row>
      </sheetData>
      <sheetData sheetId="4102">
        <row r="1">
          <cell r="A1" t="str">
            <v>PHIẾU XỬ LÝ HỒ SƠ THANH TOÁN VƯỢT THẨM QUYỀN PD</v>
          </cell>
        </row>
      </sheetData>
      <sheetData sheetId="4103">
        <row r="1">
          <cell r="A1" t="str">
            <v>PHIẾU XỬ LÝ HỒ SƠ THANH TOÁN VƯỢT THẨM QUYỀN PD</v>
          </cell>
        </row>
      </sheetData>
      <sheetData sheetId="4104">
        <row r="1">
          <cell r="A1" t="str">
            <v>PHIẾU XỬ LÝ HỒ SƠ THANH TOÁN VƯỢT THẨM QUYỀN PD</v>
          </cell>
        </row>
      </sheetData>
      <sheetData sheetId="4105">
        <row r="1">
          <cell r="A1" t="str">
            <v>PHIẾU XỬ LÝ HỒ SƠ THANH TOÁN VƯỢT THẨM QUYỀN PD</v>
          </cell>
        </row>
      </sheetData>
      <sheetData sheetId="4106">
        <row r="1">
          <cell r="A1" t="str">
            <v>PHIẾU XỬ LÝ HỒ SƠ THANH TOÁN VƯỢT THẨM QUYỀN PD</v>
          </cell>
        </row>
      </sheetData>
      <sheetData sheetId="4107">
        <row r="1">
          <cell r="A1" t="str">
            <v>PHIẾU XỬ LÝ HỒ SƠ THANH TOÁN VƯỢT THẨM QUYỀN PD</v>
          </cell>
        </row>
      </sheetData>
      <sheetData sheetId="4108">
        <row r="1">
          <cell r="A1" t="str">
            <v>PHIẾU XỬ LÝ HỒ SƠ THANH TOÁN VƯỢT THẨM QUYỀN PD</v>
          </cell>
        </row>
      </sheetData>
      <sheetData sheetId="4109">
        <row r="1">
          <cell r="A1" t="str">
            <v>PHIẾU XỬ LÝ HỒ SƠ THANH TOÁN VƯỢT THẨM QUYỀN PD</v>
          </cell>
        </row>
      </sheetData>
      <sheetData sheetId="4110">
        <row r="1">
          <cell r="A1" t="str">
            <v>PHIẾU XỬ LÝ HỒ SƠ THANH TOÁN VƯỢT THẨM QUYỀN PD</v>
          </cell>
        </row>
      </sheetData>
      <sheetData sheetId="4111">
        <row r="1">
          <cell r="A1" t="str">
            <v>PHIẾU XỬ LÝ HỒ SƠ THANH TOÁN VƯỢT THẨM QUYỀN PD</v>
          </cell>
        </row>
      </sheetData>
      <sheetData sheetId="4112">
        <row r="1">
          <cell r="A1" t="str">
            <v>PHIẾU XỬ LÝ HỒ SƠ THANH TOÁN VƯỢT THẨM QUYỀN PD</v>
          </cell>
        </row>
      </sheetData>
      <sheetData sheetId="4113">
        <row r="1">
          <cell r="A1" t="str">
            <v>PHIẾU XỬ LÝ HỒ SƠ THANH TOÁN VƯỢT THẨM QUYỀN PD</v>
          </cell>
        </row>
      </sheetData>
      <sheetData sheetId="4114">
        <row r="1">
          <cell r="A1" t="str">
            <v>PHIẾU XỬ LÝ HỒ SƠ THANH TOÁN VƯỢT THẨM QUYỀN PD</v>
          </cell>
        </row>
      </sheetData>
      <sheetData sheetId="4115">
        <row r="1">
          <cell r="A1" t="str">
            <v>PHIẾU XỬ LÝ HỒ SƠ THANH TOÁN VƯỢT THẨM QUYỀN PD</v>
          </cell>
        </row>
      </sheetData>
      <sheetData sheetId="4116">
        <row r="1">
          <cell r="A1" t="str">
            <v>PHIẾU XỬ LÝ HỒ SƠ THANH TOÁN VƯỢT THẨM QUYỀN PD</v>
          </cell>
        </row>
      </sheetData>
      <sheetData sheetId="4117">
        <row r="1">
          <cell r="A1" t="str">
            <v>PHIẾU XỬ LÝ HỒ SƠ THANH TOÁN VƯỢT THẨM QUYỀN PD</v>
          </cell>
        </row>
      </sheetData>
      <sheetData sheetId="4118">
        <row r="1">
          <cell r="A1" t="str">
            <v>PHIẾU XỬ LÝ HỒ SƠ THANH TOÁN VƯỢT THẨM QUYỀN PD</v>
          </cell>
        </row>
      </sheetData>
      <sheetData sheetId="4119">
        <row r="1">
          <cell r="A1" t="str">
            <v>PHIẾU XỬ LÝ HỒ SƠ THANH TOÁN VƯỢT THẨM QUYỀN PD</v>
          </cell>
        </row>
      </sheetData>
      <sheetData sheetId="4120">
        <row r="1">
          <cell r="A1" t="str">
            <v>PHIẾU XỬ LÝ HỒ SƠ THANH TOÁN VƯỢT THẨM QUYỀN PD</v>
          </cell>
        </row>
      </sheetData>
      <sheetData sheetId="4121">
        <row r="1">
          <cell r="A1" t="str">
            <v>PHIẾU XỬ LÝ HỒ SƠ THANH TOÁN VƯỢT THẨM QUYỀN PD</v>
          </cell>
        </row>
      </sheetData>
      <sheetData sheetId="4122">
        <row r="1">
          <cell r="A1" t="str">
            <v>PHIẾU XỬ LÝ HỒ SƠ THANH TOÁN VƯỢT THẨM QUYỀN PD</v>
          </cell>
        </row>
      </sheetData>
      <sheetData sheetId="4123">
        <row r="1">
          <cell r="A1" t="str">
            <v>PHIẾU XỬ LÝ HỒ SƠ THANH TOÁN VƯỢT THẨM QUYỀN PD</v>
          </cell>
        </row>
      </sheetData>
      <sheetData sheetId="4124">
        <row r="1">
          <cell r="A1" t="str">
            <v>PHIẾU XỬ LÝ HỒ SƠ THANH TOÁN VƯỢT THẨM QUYỀN PD</v>
          </cell>
        </row>
      </sheetData>
      <sheetData sheetId="4125">
        <row r="1">
          <cell r="A1" t="str">
            <v>PHIẾU XỬ LÝ HỒ SƠ THANH TOÁN VƯỢT THẨM QUYỀN PD</v>
          </cell>
        </row>
      </sheetData>
      <sheetData sheetId="4126">
        <row r="1">
          <cell r="A1" t="str">
            <v>PHIẾU XỬ LÝ HỒ SƠ THANH TOÁN VƯỢT THẨM QUYỀN PD</v>
          </cell>
        </row>
      </sheetData>
      <sheetData sheetId="4127">
        <row r="1">
          <cell r="A1" t="str">
            <v>PHIẾU XỬ LÝ HỒ SƠ THANH TOÁN VƯỢT THẨM QUYỀN PD</v>
          </cell>
        </row>
      </sheetData>
      <sheetData sheetId="4128">
        <row r="1">
          <cell r="A1" t="str">
            <v>PHIẾU XỬ LÝ HỒ SƠ THANH TOÁN VƯỢT THẨM QUYỀN PD</v>
          </cell>
        </row>
      </sheetData>
      <sheetData sheetId="4129">
        <row r="1">
          <cell r="A1" t="str">
            <v>PHIẾU XỬ LÝ HỒ SƠ THANH TOÁN VƯỢT THẨM QUYỀN PD</v>
          </cell>
        </row>
      </sheetData>
      <sheetData sheetId="4130">
        <row r="1">
          <cell r="A1" t="str">
            <v>PHIẾU XỬ LÝ HỒ SƠ THANH TOÁN VƯỢT THẨM QUYỀN PD</v>
          </cell>
        </row>
      </sheetData>
      <sheetData sheetId="4131">
        <row r="1">
          <cell r="A1" t="str">
            <v>PHIẾU XỬ LÝ HỒ SƠ THANH TOÁN VƯỢT THẨM QUYỀN PD</v>
          </cell>
        </row>
      </sheetData>
      <sheetData sheetId="4132">
        <row r="1">
          <cell r="A1" t="str">
            <v>PHIẾU XỬ LÝ HỒ SƠ THANH TOÁN VƯỢT THẨM QUYỀN PD</v>
          </cell>
        </row>
      </sheetData>
      <sheetData sheetId="4133">
        <row r="1">
          <cell r="A1" t="str">
            <v>PHIẾU XỬ LÝ HỒ SƠ THANH TOÁN VƯỢT THẨM QUYỀN PD</v>
          </cell>
        </row>
      </sheetData>
      <sheetData sheetId="4134">
        <row r="1">
          <cell r="A1" t="str">
            <v>PHIẾU XỬ LÝ HỒ SƠ THANH TOÁN VƯỢT THẨM QUYỀN PD</v>
          </cell>
        </row>
      </sheetData>
      <sheetData sheetId="4135">
        <row r="1">
          <cell r="A1" t="str">
            <v>PHIẾU XỬ LÝ HỒ SƠ THANH TOÁN VƯỢT THẨM QUYỀN PD</v>
          </cell>
        </row>
      </sheetData>
      <sheetData sheetId="4136">
        <row r="1">
          <cell r="A1" t="str">
            <v>PHIẾU XỬ LÝ HỒ SƠ THANH TOÁN VƯỢT THẨM QUYỀN PD</v>
          </cell>
        </row>
      </sheetData>
      <sheetData sheetId="4137">
        <row r="1">
          <cell r="A1" t="str">
            <v>PHIẾU XỬ LÝ HỒ SƠ THANH TOÁN VƯỢT THẨM QUYỀN PD</v>
          </cell>
        </row>
      </sheetData>
      <sheetData sheetId="4138">
        <row r="1">
          <cell r="A1" t="str">
            <v>PHIẾU XỬ LÝ HỒ SƠ THANH TOÁN VƯỢT THẨM QUYỀN PD</v>
          </cell>
        </row>
      </sheetData>
      <sheetData sheetId="4139">
        <row r="1">
          <cell r="A1" t="str">
            <v>PHIẾU XỬ LÝ HỒ SƠ THANH TOÁN VƯỢT THẨM QUYỀN PD</v>
          </cell>
        </row>
      </sheetData>
      <sheetData sheetId="4140">
        <row r="1">
          <cell r="A1" t="str">
            <v>PHIẾU XỬ LÝ HỒ SƠ THANH TOÁN VƯỢT THẨM QUYỀN PD</v>
          </cell>
        </row>
      </sheetData>
      <sheetData sheetId="4141">
        <row r="1">
          <cell r="A1" t="str">
            <v>PHIẾU XỬ LÝ HỒ SƠ THANH TOÁN VƯỢT THẨM QUYỀN PD</v>
          </cell>
        </row>
      </sheetData>
      <sheetData sheetId="4142">
        <row r="1">
          <cell r="A1" t="str">
            <v>PHIẾU XỬ LÝ HỒ SƠ THANH TOÁN VƯỢT THẨM QUYỀN PD</v>
          </cell>
        </row>
      </sheetData>
      <sheetData sheetId="4143">
        <row r="1">
          <cell r="A1" t="str">
            <v>PHIẾU XỬ LÝ HỒ SƠ THANH TOÁN VƯỢT THẨM QUYỀN PD</v>
          </cell>
        </row>
      </sheetData>
      <sheetData sheetId="4144"/>
      <sheetData sheetId="4145"/>
      <sheetData sheetId="4146"/>
      <sheetData sheetId="4147"/>
      <sheetData sheetId="4148"/>
      <sheetData sheetId="4149"/>
      <sheetData sheetId="4150"/>
      <sheetData sheetId="4151"/>
      <sheetData sheetId="4152"/>
      <sheetData sheetId="4153">
        <row r="1">
          <cell r="A1" t="str">
            <v>PHIẾU XỬ LÝ HỒ SƠ THANH TOÁN VƯỢT THẨM QUYỀN PD</v>
          </cell>
        </row>
      </sheetData>
      <sheetData sheetId="4154">
        <row r="1">
          <cell r="A1" t="str">
            <v>PHIẾU XỬ LÝ HỒ SƠ THANH TOÁN VƯỢT THẨM QUYỀN PD</v>
          </cell>
        </row>
      </sheetData>
      <sheetData sheetId="4155">
        <row r="1">
          <cell r="A1" t="str">
            <v>PHIẾU XỬ LÝ HỒ SƠ THANH TOÁN VƯỢT THẨM QUYỀN PD</v>
          </cell>
        </row>
      </sheetData>
      <sheetData sheetId="4156">
        <row r="1">
          <cell r="A1" t="str">
            <v>PHIẾU XỬ LÝ HỒ SƠ THANH TOÁN VƯỢT THẨM QUYỀN PD</v>
          </cell>
        </row>
      </sheetData>
      <sheetData sheetId="4157"/>
      <sheetData sheetId="4158">
        <row r="1">
          <cell r="A1" t="str">
            <v>PHIẾU XỬ LÝ HỒ SƠ THANH TOÁN VƯỢT THẨM QUYỀN PD</v>
          </cell>
        </row>
      </sheetData>
      <sheetData sheetId="4159">
        <row r="1">
          <cell r="A1" t="str">
            <v>PHIẾU XỬ LÝ HỒ SƠ THANH TOÁN VƯỢT THẨM QUYỀN PD</v>
          </cell>
        </row>
      </sheetData>
      <sheetData sheetId="4160">
        <row r="1">
          <cell r="A1" t="str">
            <v>PHIẾU XỬ LÝ HỒ SƠ THANH TOÁN VƯỢT THẨM QUYỀN PD</v>
          </cell>
        </row>
      </sheetData>
      <sheetData sheetId="4161">
        <row r="1">
          <cell r="A1" t="str">
            <v>PHIẾU XỬ LÝ HỒ SƠ THANH TOÁN VƯỢT THẨM QUYỀN PD</v>
          </cell>
        </row>
      </sheetData>
      <sheetData sheetId="4162">
        <row r="1">
          <cell r="A1" t="str">
            <v>PHIẾU XỬ LÝ HỒ SƠ THANH TOÁN VƯỢT THẨM QUYỀN PD</v>
          </cell>
        </row>
      </sheetData>
      <sheetData sheetId="4163">
        <row r="1">
          <cell r="A1" t="str">
            <v>PHIẾU XỬ LÝ HỒ SƠ THANH TOÁN VƯỢT THẨM QUYỀN PD</v>
          </cell>
        </row>
      </sheetData>
      <sheetData sheetId="4164">
        <row r="1">
          <cell r="A1" t="str">
            <v>PHIẾU XỬ LÝ HỒ SƠ THANH TOÁN VƯỢT THẨM QUYỀN PD</v>
          </cell>
        </row>
      </sheetData>
      <sheetData sheetId="4165"/>
      <sheetData sheetId="4166"/>
      <sheetData sheetId="4167">
        <row r="1">
          <cell r="A1" t="str">
            <v>PHIẾU XỬ LÝ HỒ SƠ THANH TOÁN VƯỢT THẨM QUYỀN PD</v>
          </cell>
        </row>
      </sheetData>
      <sheetData sheetId="4168"/>
      <sheetData sheetId="4169"/>
      <sheetData sheetId="4170"/>
      <sheetData sheetId="4171"/>
      <sheetData sheetId="4172"/>
      <sheetData sheetId="4173"/>
      <sheetData sheetId="4174"/>
      <sheetData sheetId="4175"/>
      <sheetData sheetId="4176"/>
      <sheetData sheetId="4177">
        <row r="1">
          <cell r="A1" t="str">
            <v>PHIẾU XỬ LÝ HỒ SƠ THANH TOÁN VƯỢT THẨM QUYỀN PD</v>
          </cell>
        </row>
      </sheetData>
      <sheetData sheetId="4178">
        <row r="1">
          <cell r="A1" t="str">
            <v>PHIẾU XỬ LÝ HỒ SƠ THANH TOÁN VƯỢT THẨM QUYỀN PD</v>
          </cell>
        </row>
      </sheetData>
      <sheetData sheetId="4179">
        <row r="1">
          <cell r="A1" t="str">
            <v>PHIẾU XỬ LÝ HỒ SƠ THANH TOÁN VƯỢT THẨM QUYỀN PD</v>
          </cell>
        </row>
      </sheetData>
      <sheetData sheetId="4180">
        <row r="1">
          <cell r="A1" t="str">
            <v>PHIẾU XỬ LÝ HỒ SƠ THANH TOÁN VƯỢT THẨM QUYỀN PD</v>
          </cell>
        </row>
      </sheetData>
      <sheetData sheetId="4181">
        <row r="1">
          <cell r="A1" t="str">
            <v>PHIẾU XỬ LÝ HỒ SƠ THANH TOÁN VƯỢT THẨM QUYỀN PD</v>
          </cell>
        </row>
      </sheetData>
      <sheetData sheetId="4182">
        <row r="1">
          <cell r="A1" t="str">
            <v>PHIẾU XỬ LÝ HỒ SƠ THANH TOÁN VƯỢT THẨM QUYỀN PD</v>
          </cell>
        </row>
      </sheetData>
      <sheetData sheetId="4183">
        <row r="1">
          <cell r="A1" t="str">
            <v>PHIẾU XỬ LÝ HỒ SƠ THANH TOÁN VƯỢT THẨM QUYỀN PD</v>
          </cell>
        </row>
      </sheetData>
      <sheetData sheetId="4184">
        <row r="1">
          <cell r="A1" t="str">
            <v>PHIẾU XỬ LÝ HỒ SƠ THANH TOÁN VƯỢT THẨM QUYỀN PD</v>
          </cell>
        </row>
      </sheetData>
      <sheetData sheetId="4185">
        <row r="1">
          <cell r="A1" t="str">
            <v>PHIẾU XỬ LÝ HỒ SƠ THANH TOÁN VƯỢT THẨM QUYỀN PD</v>
          </cell>
        </row>
      </sheetData>
      <sheetData sheetId="4186">
        <row r="1">
          <cell r="A1" t="str">
            <v>PHIẾU XỬ LÝ HỒ SƠ THANH TOÁN VƯỢT THẨM QUYỀN PD</v>
          </cell>
        </row>
      </sheetData>
      <sheetData sheetId="4187">
        <row r="1">
          <cell r="A1" t="str">
            <v>PHIẾU XỬ LÝ HỒ SƠ THANH TOÁN VƯỢT THẨM QUYỀN PD</v>
          </cell>
        </row>
      </sheetData>
      <sheetData sheetId="4188">
        <row r="1">
          <cell r="A1" t="str">
            <v>PHIẾU XỬ LÝ HỒ SƠ THANH TOÁN VƯỢT THẨM QUYỀN PD</v>
          </cell>
        </row>
      </sheetData>
      <sheetData sheetId="4189">
        <row r="1">
          <cell r="A1" t="str">
            <v>PHIẾU XỬ LÝ HỒ SƠ THANH TOÁN VƯỢT THẨM QUYỀN PD</v>
          </cell>
        </row>
      </sheetData>
      <sheetData sheetId="4190">
        <row r="1">
          <cell r="A1" t="str">
            <v>PHIẾU XỬ LÝ HỒ SƠ THANH TOÁN VƯỢT THẨM QUYỀN PD</v>
          </cell>
        </row>
      </sheetData>
      <sheetData sheetId="4191">
        <row r="1">
          <cell r="A1" t="str">
            <v>PHIẾU XỬ LÝ HỒ SƠ THANH TOÁN VƯỢT THẨM QUYỀN PD</v>
          </cell>
        </row>
      </sheetData>
      <sheetData sheetId="4192">
        <row r="1">
          <cell r="A1" t="str">
            <v>PHIẾU XỬ LÝ HỒ SƠ THANH TOÁN VƯỢT THẨM QUYỀN PD</v>
          </cell>
        </row>
      </sheetData>
      <sheetData sheetId="4193"/>
      <sheetData sheetId="4194"/>
      <sheetData sheetId="4195"/>
      <sheetData sheetId="4196"/>
      <sheetData sheetId="4197">
        <row r="1">
          <cell r="A1" t="str">
            <v>PHIẾU XỬ LÝ HỒ SƠ THANH TOÁN VƯỢT THẨM QUYỀN PD</v>
          </cell>
        </row>
      </sheetData>
      <sheetData sheetId="4198"/>
      <sheetData sheetId="4199"/>
      <sheetData sheetId="4200"/>
      <sheetData sheetId="4201"/>
      <sheetData sheetId="4202"/>
      <sheetData sheetId="4203">
        <row r="1">
          <cell r="A1" t="str">
            <v>PHIẾU XỬ LÝ HỒ SƠ THANH TOÁN VƯỢT THẨM QUYỀN PD</v>
          </cell>
        </row>
      </sheetData>
      <sheetData sheetId="4204">
        <row r="1">
          <cell r="A1" t="str">
            <v>PHIẾU XỬ LÝ HỒ SƠ THANH TOÁN VƯỢT THẨM QUYỀN PD</v>
          </cell>
        </row>
      </sheetData>
      <sheetData sheetId="4205">
        <row r="1">
          <cell r="A1" t="str">
            <v>PHIẾU XỬ LÝ HỒ SƠ THANH TOÁN VƯỢT THẨM QUYỀN PD</v>
          </cell>
        </row>
      </sheetData>
      <sheetData sheetId="4206">
        <row r="1">
          <cell r="A1" t="str">
            <v>PHIẾU XỬ LÝ HỒ SƠ THANH TOÁN VƯỢT THẨM QUYỀN PD</v>
          </cell>
        </row>
      </sheetData>
      <sheetData sheetId="4207"/>
      <sheetData sheetId="4208"/>
      <sheetData sheetId="4209"/>
      <sheetData sheetId="4210"/>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sheetData sheetId="4230"/>
      <sheetData sheetId="4231"/>
      <sheetData sheetId="4232"/>
      <sheetData sheetId="4233"/>
      <sheetData sheetId="4234"/>
      <sheetData sheetId="4235"/>
      <sheetData sheetId="4236"/>
      <sheetData sheetId="4237"/>
      <sheetData sheetId="4238"/>
      <sheetData sheetId="4239"/>
      <sheetData sheetId="4240"/>
      <sheetData sheetId="4241"/>
      <sheetData sheetId="4242"/>
      <sheetData sheetId="4243"/>
      <sheetData sheetId="4244"/>
      <sheetData sheetId="4245"/>
      <sheetData sheetId="4246"/>
      <sheetData sheetId="4247"/>
      <sheetData sheetId="4248"/>
      <sheetData sheetId="4249"/>
      <sheetData sheetId="4250"/>
      <sheetData sheetId="4251"/>
      <sheetData sheetId="4252"/>
      <sheetData sheetId="4253"/>
      <sheetData sheetId="4254"/>
      <sheetData sheetId="4255"/>
      <sheetData sheetId="4256"/>
      <sheetData sheetId="4257"/>
      <sheetData sheetId="4258"/>
      <sheetData sheetId="4259"/>
      <sheetData sheetId="4260"/>
      <sheetData sheetId="4261"/>
      <sheetData sheetId="4262"/>
      <sheetData sheetId="4263"/>
      <sheetData sheetId="4264"/>
      <sheetData sheetId="4265"/>
      <sheetData sheetId="4266"/>
      <sheetData sheetId="4267"/>
      <sheetData sheetId="4268"/>
      <sheetData sheetId="4269"/>
      <sheetData sheetId="4270"/>
      <sheetData sheetId="4271"/>
      <sheetData sheetId="4272"/>
      <sheetData sheetId="4273">
        <row r="1">
          <cell r="A1" t="str">
            <v>PHIẾU XỬ LÝ HỒ SƠ THANH TOÁN VƯỢT THẨM QUYỀN PD</v>
          </cell>
        </row>
      </sheetData>
      <sheetData sheetId="4274">
        <row r="1">
          <cell r="A1" t="str">
            <v>PHIẾU XỬ LÝ HỒ SƠ THANH TOÁN VƯỢT THẨM QUYỀN PD</v>
          </cell>
        </row>
      </sheetData>
      <sheetData sheetId="4275">
        <row r="1">
          <cell r="A1" t="str">
            <v>PHIẾU XỬ LÝ HỒ SƠ THANH TOÁN VƯỢT THẨM QUYỀN PD</v>
          </cell>
        </row>
      </sheetData>
      <sheetData sheetId="4276"/>
      <sheetData sheetId="4277"/>
      <sheetData sheetId="4278"/>
      <sheetData sheetId="4279">
        <row r="1">
          <cell r="A1" t="str">
            <v>PHIẾU XỬ LÝ HỒ SƠ THANH TOÁN VƯỢT THẨM QUYỀN PD</v>
          </cell>
        </row>
      </sheetData>
      <sheetData sheetId="4280"/>
      <sheetData sheetId="4281"/>
      <sheetData sheetId="4282"/>
      <sheetData sheetId="4283"/>
      <sheetData sheetId="4284"/>
      <sheetData sheetId="4285"/>
      <sheetData sheetId="4286">
        <row r="1">
          <cell r="A1" t="str">
            <v>PHIẾU XỬ LÝ HỒ SƠ THANH TOÁN VƯỢT THẨM QUYỀN PD</v>
          </cell>
        </row>
      </sheetData>
      <sheetData sheetId="4287">
        <row r="1">
          <cell r="A1" t="str">
            <v>PHIẾU XỬ LÝ HỒ SƠ THANH TOÁN VƯỢT THẨM QUYỀN PD</v>
          </cell>
        </row>
      </sheetData>
      <sheetData sheetId="4288">
        <row r="1">
          <cell r="A1" t="str">
            <v>PHIẾU XỬ LÝ HỒ SƠ THANH TOÁN VƯỢT THẨM QUYỀN PD</v>
          </cell>
        </row>
      </sheetData>
      <sheetData sheetId="4289">
        <row r="1">
          <cell r="A1" t="str">
            <v>PHIẾU XỬ LÝ HỒ SƠ THANH TOÁN VƯỢT THẨM QUYỀN PD</v>
          </cell>
        </row>
      </sheetData>
      <sheetData sheetId="4290">
        <row r="1">
          <cell r="A1" t="str">
            <v>PHIẾU XỬ LÝ HỒ SƠ THANH TOÁN VƯỢT THẨM QUYỀN PD</v>
          </cell>
        </row>
      </sheetData>
      <sheetData sheetId="4291">
        <row r="1">
          <cell r="A1" t="str">
            <v>PHIẾU XỬ LÝ HỒ SƠ THANH TOÁN VƯỢT THẨM QUYỀN PD</v>
          </cell>
        </row>
      </sheetData>
      <sheetData sheetId="4292"/>
      <sheetData sheetId="4293"/>
      <sheetData sheetId="4294">
        <row r="1">
          <cell r="A1" t="str">
            <v>PHIẾU XỬ LÝ HỒ SƠ THANH TOÁN VƯỢT THẨM QUYỀN PD</v>
          </cell>
        </row>
      </sheetData>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row r="1">
          <cell r="A1" t="str">
            <v>PHIẾU XỬ LÝ HỒ SƠ THANH TOÁN VƯỢT THẨM QUYỀN PD</v>
          </cell>
        </row>
      </sheetData>
      <sheetData sheetId="4422">
        <row r="1">
          <cell r="A1" t="str">
            <v>PHIẾU XỬ LÝ HỒ SƠ THANH TOÁN VƯỢT THẨM QUYỀN PD</v>
          </cell>
        </row>
      </sheetData>
      <sheetData sheetId="4423">
        <row r="1">
          <cell r="A1" t="str">
            <v>PHIẾU XỬ LÝ HỒ SƠ THANH TOÁN VƯỢT THẨM QUYỀN PD</v>
          </cell>
        </row>
      </sheetData>
      <sheetData sheetId="4424">
        <row r="1">
          <cell r="A1" t="str">
            <v>PHIẾU XỬ LÝ HỒ SƠ THANH TOÁN VƯỢT THẨM QUYỀN PD</v>
          </cell>
        </row>
      </sheetData>
      <sheetData sheetId="4425">
        <row r="1">
          <cell r="A1" t="str">
            <v>PHIẾU XỬ LÝ HỒ SƠ THANH TOÁN VƯỢT THẨM QUYỀN PD</v>
          </cell>
        </row>
      </sheetData>
      <sheetData sheetId="4426"/>
      <sheetData sheetId="4427">
        <row r="1">
          <cell r="A1" t="str">
            <v>PHIẾU XỬ LÝ HỒ SƠ THANH TOÁN VƯỢT THẨM QUYỀN PD</v>
          </cell>
        </row>
      </sheetData>
      <sheetData sheetId="4428">
        <row r="1">
          <cell r="A1" t="str">
            <v>PHIẾU XỬ LÝ HỒ SƠ THANH TOÁN VƯỢT THẨM QUYỀN PD</v>
          </cell>
        </row>
      </sheetData>
      <sheetData sheetId="4429">
        <row r="1">
          <cell r="A1" t="str">
            <v>PHIẾU XỬ LÝ HỒ SƠ THANH TOÁN VƯỢT THẨM QUYỀN PD</v>
          </cell>
        </row>
      </sheetData>
      <sheetData sheetId="4430"/>
      <sheetData sheetId="4431">
        <row r="1">
          <cell r="A1" t="str">
            <v>PHIẾU XỬ LÝ HỒ SƠ THANH TOÁN VƯỢT THẨM QUYỀN PD</v>
          </cell>
        </row>
      </sheetData>
      <sheetData sheetId="4432">
        <row r="1">
          <cell r="A1" t="str">
            <v>PHIẾU XỬ LÝ HỒ SƠ THANH TOÁN VƯỢT THẨM QUYỀN PD</v>
          </cell>
        </row>
      </sheetData>
      <sheetData sheetId="4433">
        <row r="1">
          <cell r="A1" t="str">
            <v>PHIẾU XỬ LÝ HỒ SƠ THANH TOÁN VƯỢT THẨM QUYỀN PD</v>
          </cell>
        </row>
      </sheetData>
      <sheetData sheetId="4434">
        <row r="1">
          <cell r="A1" t="str">
            <v>PHIẾU XỬ LÝ HỒ SƠ THANH TOÁN VƯỢT THẨM QUYỀN PD</v>
          </cell>
        </row>
      </sheetData>
      <sheetData sheetId="4435">
        <row r="1">
          <cell r="A1" t="str">
            <v>PHIẾU XỬ LÝ HỒ SƠ THANH TOÁN VƯỢT THẨM QUYỀN PD</v>
          </cell>
        </row>
      </sheetData>
      <sheetData sheetId="4436">
        <row r="1">
          <cell r="A1" t="str">
            <v>PHIẾU XỬ LÝ HỒ SƠ THANH TOÁN VƯỢT THẨM QUYỀN PD</v>
          </cell>
        </row>
      </sheetData>
      <sheetData sheetId="4437">
        <row r="1">
          <cell r="A1" t="str">
            <v>PHIẾU XỬ LÝ HỒ SƠ THANH TOÁN VƯỢT THẨM QUYỀN PD</v>
          </cell>
        </row>
      </sheetData>
      <sheetData sheetId="4438">
        <row r="1">
          <cell r="A1" t="str">
            <v>PHIẾU XỬ LÝ HỒ SƠ THANH TOÁN VƯỢT THẨM QUYỀN PD</v>
          </cell>
        </row>
      </sheetData>
      <sheetData sheetId="4439">
        <row r="1">
          <cell r="A1" t="str">
            <v>PHIẾU XỬ LÝ HỒ SƠ THANH TOÁN VƯỢT THẨM QUYỀN PD</v>
          </cell>
        </row>
      </sheetData>
      <sheetData sheetId="4440">
        <row r="1">
          <cell r="A1" t="str">
            <v>PHIẾU XỬ LÝ HỒ SƠ THANH TOÁN VƯỢT THẨM QUYỀN PD</v>
          </cell>
        </row>
      </sheetData>
      <sheetData sheetId="4441">
        <row r="1">
          <cell r="A1" t="str">
            <v>PHIẾU XỬ LÝ HỒ SƠ THANH TOÁN VƯỢT THẨM QUYỀN PD</v>
          </cell>
        </row>
      </sheetData>
      <sheetData sheetId="4442">
        <row r="1">
          <cell r="A1" t="str">
            <v>PHIẾU XỬ LÝ HỒ SƠ THANH TOÁN VƯỢT THẨM QUYỀN PD</v>
          </cell>
        </row>
      </sheetData>
      <sheetData sheetId="4443">
        <row r="1">
          <cell r="A1" t="str">
            <v>PHIẾU XỬ LÝ HỒ SƠ THANH TOÁN VƯỢT THẨM QUYỀN PD</v>
          </cell>
        </row>
      </sheetData>
      <sheetData sheetId="4444">
        <row r="1">
          <cell r="A1" t="str">
            <v>PHIẾU XỬ LÝ HỒ SƠ THANH TOÁN VƯỢT THẨM QUYỀN PD</v>
          </cell>
        </row>
      </sheetData>
      <sheetData sheetId="4445">
        <row r="1">
          <cell r="A1" t="str">
            <v>PHIẾU XỬ LÝ HỒ SƠ THANH TOÁN VƯỢT THẨM QUYỀN PD</v>
          </cell>
        </row>
      </sheetData>
      <sheetData sheetId="4446">
        <row r="1">
          <cell r="A1" t="str">
            <v>PHIẾU XỬ LÝ HỒ SƠ THANH TOÁN VƯỢT THẨM QUYỀN PD</v>
          </cell>
        </row>
      </sheetData>
      <sheetData sheetId="4447">
        <row r="1">
          <cell r="A1" t="str">
            <v>PHIẾU XỬ LÝ HỒ SƠ THANH TOÁN VƯỢT THẨM QUYỀN PD</v>
          </cell>
        </row>
      </sheetData>
      <sheetData sheetId="4448">
        <row r="1">
          <cell r="A1" t="str">
            <v>PHIẾU XỬ LÝ HỒ SƠ THANH TOÁN VƯỢT THẨM QUYỀN PD</v>
          </cell>
        </row>
      </sheetData>
      <sheetData sheetId="4449">
        <row r="1">
          <cell r="A1" t="str">
            <v>PHIẾU XỬ LÝ HỒ SƠ THANH TOÁN VƯỢT THẨM QUYỀN PD</v>
          </cell>
        </row>
      </sheetData>
      <sheetData sheetId="4450"/>
      <sheetData sheetId="4451"/>
      <sheetData sheetId="4452">
        <row r="1">
          <cell r="A1" t="str">
            <v>PHIẾU XỬ LÝ HỒ SƠ THANH TOÁN VƯỢT THẨM QUYỀN PD</v>
          </cell>
        </row>
      </sheetData>
      <sheetData sheetId="4453"/>
      <sheetData sheetId="4454"/>
      <sheetData sheetId="4455">
        <row r="1">
          <cell r="A1" t="str">
            <v>PHIẾU XỬ LÝ HỒ SƠ THANH TOÁN VƯỢT THẨM QUYỀN PD</v>
          </cell>
        </row>
      </sheetData>
      <sheetData sheetId="4456">
        <row r="1">
          <cell r="A1" t="str">
            <v>PHIẾU XỬ LÝ HỒ SƠ THANH TOÁN VƯỢT THẨM QUYỀN PD</v>
          </cell>
        </row>
      </sheetData>
      <sheetData sheetId="4457">
        <row r="1">
          <cell r="A1" t="str">
            <v>PHIẾU XỬ LÝ HỒ SƠ THANH TOÁN VƯỢT THẨM QUYỀN PD</v>
          </cell>
        </row>
      </sheetData>
      <sheetData sheetId="4458">
        <row r="1">
          <cell r="A1" t="str">
            <v>PHIẾU XỬ LÝ HỒ SƠ THANH TOÁN VƯỢT THẨM QUYỀN PD</v>
          </cell>
        </row>
      </sheetData>
      <sheetData sheetId="4459">
        <row r="1">
          <cell r="A1" t="str">
            <v>PHIẾU XỬ LÝ HỒ SƠ THANH TOÁN VƯỢT THẨM QUYỀN PD</v>
          </cell>
        </row>
      </sheetData>
      <sheetData sheetId="4460">
        <row r="1">
          <cell r="A1" t="str">
            <v>PHIẾU XỬ LÝ HỒ SƠ THANH TOÁN VƯỢT THẨM QUYỀN PD</v>
          </cell>
        </row>
      </sheetData>
      <sheetData sheetId="4461">
        <row r="1">
          <cell r="A1" t="str">
            <v>PHIẾU XỬ LÝ HỒ SƠ THANH TOÁN VƯỢT THẨM QUYỀN PD</v>
          </cell>
        </row>
      </sheetData>
      <sheetData sheetId="4462">
        <row r="1">
          <cell r="A1" t="str">
            <v>PHIẾU XỬ LÝ HỒ SƠ THANH TOÁN VƯỢT THẨM QUYỀN PD</v>
          </cell>
        </row>
      </sheetData>
      <sheetData sheetId="4463"/>
      <sheetData sheetId="4464">
        <row r="1">
          <cell r="A1" t="str">
            <v>PHIẾU XỬ LÝ HỒ SƠ THANH TOÁN VƯỢT THẨM QUYỀN PD</v>
          </cell>
        </row>
      </sheetData>
      <sheetData sheetId="4465">
        <row r="1">
          <cell r="A1" t="str">
            <v>PHIẾU XỬ LÝ HỒ SƠ THANH TOÁN VƯỢT THẨM QUYỀN PD</v>
          </cell>
        </row>
      </sheetData>
      <sheetData sheetId="4466">
        <row r="1">
          <cell r="A1" t="str">
            <v>PHIẾU XỬ LÝ HỒ SƠ THANH TOÁN VƯỢT THẨM QUYỀN PD</v>
          </cell>
        </row>
      </sheetData>
      <sheetData sheetId="4467"/>
      <sheetData sheetId="4468">
        <row r="1">
          <cell r="A1" t="str">
            <v>PHIẾU XỬ LÝ HỒ SƠ THANH TOÁN VƯỢT THẨM QUYỀN PD</v>
          </cell>
        </row>
      </sheetData>
      <sheetData sheetId="4469">
        <row r="1">
          <cell r="A1" t="str">
            <v>PHIẾU XỬ LÝ HỒ SƠ THANH TOÁN VƯỢT THẨM QUYỀN PD</v>
          </cell>
        </row>
      </sheetData>
      <sheetData sheetId="4470">
        <row r="1">
          <cell r="A1" t="str">
            <v>PHIẾU XỬ LÝ HỒ SƠ THANH TOÁN VƯỢT THẨM QUYỀN PD</v>
          </cell>
        </row>
      </sheetData>
      <sheetData sheetId="4471">
        <row r="1">
          <cell r="A1" t="str">
            <v>PHIẾU XỬ LÝ HỒ SƠ THANH TOÁN VƯỢT THẨM QUYỀN PD</v>
          </cell>
        </row>
      </sheetData>
      <sheetData sheetId="4472">
        <row r="1">
          <cell r="A1" t="str">
            <v>PHIẾU XỬ LÝ HỒ SƠ THANH TOÁN VƯỢT THẨM QUYỀN PD</v>
          </cell>
        </row>
      </sheetData>
      <sheetData sheetId="4473">
        <row r="1">
          <cell r="A1" t="str">
            <v>PHIẾU XỬ LÝ HỒ SƠ THANH TOÁN VƯỢT THẨM QUYỀN PD</v>
          </cell>
        </row>
      </sheetData>
      <sheetData sheetId="4474">
        <row r="1">
          <cell r="A1" t="str">
            <v>PHIẾU XỬ LÝ HỒ SƠ THANH TOÁN VƯỢT THẨM QUYỀN PD</v>
          </cell>
        </row>
      </sheetData>
      <sheetData sheetId="4475">
        <row r="1">
          <cell r="A1" t="str">
            <v>PHIẾU XỬ LÝ HỒ SƠ THANH TOÁN VƯỢT THẨM QUYỀN PD</v>
          </cell>
        </row>
      </sheetData>
      <sheetData sheetId="4476">
        <row r="1">
          <cell r="A1" t="str">
            <v>PHIẾU XỬ LÝ HỒ SƠ THANH TOÁN VƯỢT THẨM QUYỀN PD</v>
          </cell>
        </row>
      </sheetData>
      <sheetData sheetId="4477">
        <row r="1">
          <cell r="A1" t="str">
            <v>PHIẾU XỬ LÝ HỒ SƠ THANH TOÁN VƯỢT THẨM QUYỀN PD</v>
          </cell>
        </row>
      </sheetData>
      <sheetData sheetId="4478">
        <row r="1">
          <cell r="A1" t="str">
            <v>PHIẾU XỬ LÝ HỒ SƠ THANH TOÁN VƯỢT THẨM QUYỀN PD</v>
          </cell>
        </row>
      </sheetData>
      <sheetData sheetId="4479">
        <row r="1">
          <cell r="A1" t="str">
            <v>PHIẾU XỬ LÝ HỒ SƠ THANH TOÁN VƯỢT THẨM QUYỀN PD</v>
          </cell>
        </row>
      </sheetData>
      <sheetData sheetId="4480">
        <row r="1">
          <cell r="A1" t="str">
            <v>PHIẾU XỬ LÝ HỒ SƠ THANH TOÁN VƯỢT THẨM QUYỀN PD</v>
          </cell>
        </row>
      </sheetData>
      <sheetData sheetId="4481">
        <row r="1">
          <cell r="A1" t="str">
            <v>PHIẾU XỬ LÝ HỒ SƠ THANH TOÁN VƯỢT THẨM QUYỀN PD</v>
          </cell>
        </row>
      </sheetData>
      <sheetData sheetId="4482"/>
      <sheetData sheetId="4483"/>
      <sheetData sheetId="4484"/>
      <sheetData sheetId="4485"/>
      <sheetData sheetId="4486"/>
      <sheetData sheetId="4487"/>
      <sheetData sheetId="4488"/>
      <sheetData sheetId="4489"/>
      <sheetData sheetId="4490"/>
      <sheetData sheetId="4491"/>
      <sheetData sheetId="4492"/>
      <sheetData sheetId="4493"/>
      <sheetData sheetId="4494"/>
      <sheetData sheetId="4495"/>
      <sheetData sheetId="4496"/>
      <sheetData sheetId="4497"/>
      <sheetData sheetId="4498">
        <row r="1">
          <cell r="A1" t="str">
            <v>PHIẾU XỬ LÝ HỒ SƠ THANH TOÁN VƯỢT THẨM QUYỀN PD</v>
          </cell>
        </row>
      </sheetData>
      <sheetData sheetId="4499">
        <row r="1">
          <cell r="A1" t="str">
            <v>PHIẾU XỬ LÝ HỒ SƠ THANH TOÁN VƯỢT THẨM QUYỀN PD</v>
          </cell>
        </row>
      </sheetData>
      <sheetData sheetId="4500">
        <row r="1">
          <cell r="A1" t="str">
            <v>PHIẾU XỬ LÝ HỒ SƠ THANH TOÁN VƯỢT THẨM QUYỀN PD</v>
          </cell>
        </row>
      </sheetData>
      <sheetData sheetId="4501">
        <row r="1">
          <cell r="A1" t="str">
            <v>PHIẾU XỬ LÝ HỒ SƠ THANH TOÁN VƯỢT THẨM QUYỀN PD</v>
          </cell>
        </row>
      </sheetData>
      <sheetData sheetId="4502">
        <row r="1">
          <cell r="A1" t="str">
            <v>PHIẾU XỬ LÝ HỒ SƠ THANH TOÁN VƯỢT THẨM QUYỀN PD</v>
          </cell>
        </row>
      </sheetData>
      <sheetData sheetId="4503">
        <row r="1">
          <cell r="A1" t="str">
            <v>PHIẾU XỬ LÝ HỒ SƠ THANH TOÁN VƯỢT THẨM QUYỀN PD</v>
          </cell>
        </row>
      </sheetData>
      <sheetData sheetId="4504">
        <row r="1">
          <cell r="A1" t="str">
            <v>PHIẾU XỬ LÝ HỒ SƠ THANH TOÁN VƯỢT THẨM QUYỀN PD</v>
          </cell>
        </row>
      </sheetData>
      <sheetData sheetId="4505">
        <row r="1">
          <cell r="A1" t="str">
            <v>PHIẾU XỬ LÝ HỒ SƠ THANH TOÁN VƯỢT THẨM QUYỀN PD</v>
          </cell>
        </row>
      </sheetData>
      <sheetData sheetId="4506">
        <row r="1">
          <cell r="A1" t="str">
            <v>PHIẾU XỬ LÝ HỒ SƠ THANH TOÁN VƯỢT THẨM QUYỀN PD</v>
          </cell>
        </row>
      </sheetData>
      <sheetData sheetId="4507">
        <row r="1">
          <cell r="A1" t="str">
            <v>PHIẾU XỬ LÝ HỒ SƠ THANH TOÁN VƯỢT THẨM QUYỀN PD</v>
          </cell>
        </row>
      </sheetData>
      <sheetData sheetId="4508">
        <row r="1">
          <cell r="A1" t="str">
            <v>PHIẾU XỬ LÝ HỒ SƠ THANH TOÁN VƯỢT THẨM QUYỀN PD</v>
          </cell>
        </row>
      </sheetData>
      <sheetData sheetId="4509">
        <row r="1">
          <cell r="A1" t="str">
            <v>PHIẾU XỬ LÝ HỒ SƠ THANH TOÁN VƯỢT THẨM QUYỀN PD</v>
          </cell>
        </row>
      </sheetData>
      <sheetData sheetId="4510">
        <row r="1">
          <cell r="A1" t="str">
            <v>PHIẾU XỬ LÝ HỒ SƠ THANH TOÁN VƯỢT THẨM QUYỀN PD</v>
          </cell>
        </row>
      </sheetData>
      <sheetData sheetId="4511">
        <row r="1">
          <cell r="A1" t="str">
            <v>PHIẾU XỬ LÝ HỒ SƠ THANH TOÁN VƯỢT THẨM QUYỀN PD</v>
          </cell>
        </row>
      </sheetData>
      <sheetData sheetId="4512">
        <row r="1">
          <cell r="A1" t="str">
            <v>PHIẾU XỬ LÝ HỒ SƠ THANH TOÁN VƯỢT THẨM QUYỀN PD</v>
          </cell>
        </row>
      </sheetData>
      <sheetData sheetId="4513">
        <row r="1">
          <cell r="A1" t="str">
            <v>PHIẾU XỬ LÝ HỒ SƠ THANH TOÁN VƯỢT THẨM QUYỀN PD</v>
          </cell>
        </row>
      </sheetData>
      <sheetData sheetId="4514">
        <row r="1">
          <cell r="A1" t="str">
            <v>PHIẾU XỬ LÝ HỒ SƠ THANH TOÁN VƯỢT THẨM QUYỀN PD</v>
          </cell>
        </row>
      </sheetData>
      <sheetData sheetId="4515">
        <row r="1">
          <cell r="A1" t="str">
            <v>PHIẾU XỬ LÝ HỒ SƠ THANH TOÁN VƯỢT THẨM QUYỀN PD</v>
          </cell>
        </row>
      </sheetData>
      <sheetData sheetId="4516">
        <row r="1">
          <cell r="A1" t="str">
            <v>PHIẾU XỬ LÝ HỒ SƠ THANH TOÁN VƯỢT THẨM QUYỀN PD</v>
          </cell>
        </row>
      </sheetData>
      <sheetData sheetId="4517">
        <row r="1">
          <cell r="A1" t="str">
            <v>PHIẾU XỬ LÝ HỒ SƠ THANH TOÁN VƯỢT THẨM QUYỀN PD</v>
          </cell>
        </row>
      </sheetData>
      <sheetData sheetId="4518">
        <row r="1">
          <cell r="A1" t="str">
            <v>PHIẾU XỬ LÝ HỒ SƠ THANH TOÁN VƯỢT THẨM QUYỀN PD</v>
          </cell>
        </row>
      </sheetData>
      <sheetData sheetId="4519">
        <row r="1">
          <cell r="A1" t="str">
            <v>PHIẾU XỬ LÝ HỒ SƠ THANH TOÁN VƯỢT THẨM QUYỀN PD</v>
          </cell>
        </row>
      </sheetData>
      <sheetData sheetId="4520">
        <row r="1">
          <cell r="A1" t="str">
            <v>PHIẾU XỬ LÝ HỒ SƠ THANH TOÁN VƯỢT THẨM QUYỀN PD</v>
          </cell>
        </row>
      </sheetData>
      <sheetData sheetId="4521">
        <row r="1">
          <cell r="A1" t="str">
            <v>PHIẾU XỬ LÝ HỒ SƠ THANH TOÁN VƯỢT THẨM QUYỀN PD</v>
          </cell>
        </row>
      </sheetData>
      <sheetData sheetId="4522">
        <row r="1">
          <cell r="A1" t="str">
            <v>PHIẾU XỬ LÝ HỒ SƠ THANH TOÁN VƯỢT THẨM QUYỀN PD</v>
          </cell>
        </row>
      </sheetData>
      <sheetData sheetId="4523">
        <row r="1">
          <cell r="A1" t="str">
            <v>PHIẾU XỬ LÝ HỒ SƠ THANH TOÁN VƯỢT THẨM QUYỀN PD</v>
          </cell>
        </row>
      </sheetData>
      <sheetData sheetId="4524">
        <row r="1">
          <cell r="A1" t="str">
            <v>PHIẾU XỬ LÝ HỒ SƠ THANH TOÁN VƯỢT THẨM QUYỀN PD</v>
          </cell>
        </row>
      </sheetData>
      <sheetData sheetId="4525">
        <row r="1">
          <cell r="A1" t="str">
            <v>PHIẾU XỬ LÝ HỒ SƠ THANH TOÁN VƯỢT THẨM QUYỀN PD</v>
          </cell>
        </row>
      </sheetData>
      <sheetData sheetId="4526">
        <row r="1">
          <cell r="A1" t="str">
            <v>PHIẾU XỬ LÝ HỒ SƠ THANH TOÁN VƯỢT THẨM QUYỀN PD</v>
          </cell>
        </row>
      </sheetData>
      <sheetData sheetId="4527">
        <row r="1">
          <cell r="A1" t="str">
            <v>PHIẾU XỬ LÝ HỒ SƠ THANH TOÁN VƯỢT THẨM QUYỀN PD</v>
          </cell>
        </row>
      </sheetData>
      <sheetData sheetId="4528">
        <row r="1">
          <cell r="A1" t="str">
            <v>PHIẾU XỬ LÝ HỒ SƠ THANH TOÁN VƯỢT THẨM QUYỀN PD</v>
          </cell>
        </row>
      </sheetData>
      <sheetData sheetId="4529">
        <row r="1">
          <cell r="A1" t="str">
            <v>PHIẾU XỬ LÝ HỒ SƠ THANH TOÁN VƯỢT THẨM QUYỀN PD</v>
          </cell>
        </row>
      </sheetData>
      <sheetData sheetId="4530">
        <row r="1">
          <cell r="A1" t="str">
            <v>PHIẾU XỬ LÝ HỒ SƠ THANH TOÁN VƯỢT THẨM QUYỀN PD</v>
          </cell>
        </row>
      </sheetData>
      <sheetData sheetId="4531">
        <row r="1">
          <cell r="A1" t="str">
            <v>PHIẾU XỬ LÝ HỒ SƠ THANH TOÁN VƯỢT THẨM QUYỀN PD</v>
          </cell>
        </row>
      </sheetData>
      <sheetData sheetId="4532">
        <row r="1">
          <cell r="A1" t="str">
            <v>PHIẾU XỬ LÝ HỒ SƠ THANH TOÁN VƯỢT THẨM QUYỀN PD</v>
          </cell>
        </row>
      </sheetData>
      <sheetData sheetId="4533">
        <row r="1">
          <cell r="A1" t="str">
            <v>PHIẾU XỬ LÝ HỒ SƠ THANH TOÁN VƯỢT THẨM QUYỀN PD</v>
          </cell>
        </row>
      </sheetData>
      <sheetData sheetId="4534">
        <row r="1">
          <cell r="A1" t="str">
            <v>PHIẾU XỬ LÝ HỒ SƠ THANH TOÁN VƯỢT THẨM QUYỀN PD</v>
          </cell>
        </row>
      </sheetData>
      <sheetData sheetId="4535">
        <row r="1">
          <cell r="A1" t="str">
            <v>PHIẾU XỬ LÝ HỒ SƠ THANH TOÁN VƯỢT THẨM QUYỀN PD</v>
          </cell>
        </row>
      </sheetData>
      <sheetData sheetId="4536">
        <row r="1">
          <cell r="A1" t="str">
            <v>PHIẾU XỬ LÝ HỒ SƠ THANH TOÁN VƯỢT THẨM QUYỀN PD</v>
          </cell>
        </row>
      </sheetData>
      <sheetData sheetId="4537">
        <row r="1">
          <cell r="A1" t="str">
            <v>PHIẾU XỬ LÝ HỒ SƠ THANH TOÁN VƯỢT THẨM QUYỀN PD</v>
          </cell>
        </row>
      </sheetData>
      <sheetData sheetId="4538">
        <row r="1">
          <cell r="A1" t="str">
            <v>PHIẾU XỬ LÝ HỒ SƠ THANH TOÁN VƯỢT THẨM QUYỀN PD</v>
          </cell>
        </row>
      </sheetData>
      <sheetData sheetId="4539">
        <row r="1">
          <cell r="A1" t="str">
            <v>PHIẾU XỬ LÝ HỒ SƠ THANH TOÁN VƯỢT THẨM QUYỀN PD</v>
          </cell>
        </row>
      </sheetData>
      <sheetData sheetId="4540">
        <row r="1">
          <cell r="A1" t="str">
            <v>PHIẾU XỬ LÝ HỒ SƠ THANH TOÁN VƯỢT THẨM QUYỀN PD</v>
          </cell>
        </row>
      </sheetData>
      <sheetData sheetId="4541">
        <row r="1">
          <cell r="A1" t="str">
            <v>PHIẾU XỬ LÝ HỒ SƠ THANH TOÁN VƯỢT THẨM QUYỀN PD</v>
          </cell>
        </row>
      </sheetData>
      <sheetData sheetId="4542">
        <row r="1">
          <cell r="A1" t="str">
            <v>PHIẾU XỬ LÝ HỒ SƠ THANH TOÁN VƯỢT THẨM QUYỀN PD</v>
          </cell>
        </row>
      </sheetData>
      <sheetData sheetId="4543">
        <row r="1">
          <cell r="A1" t="str">
            <v>PHIẾU XỬ LÝ HỒ SƠ THANH TOÁN VƯỢT THẨM QUYỀN PD</v>
          </cell>
        </row>
      </sheetData>
      <sheetData sheetId="4544">
        <row r="1">
          <cell r="A1" t="str">
            <v>PHIẾU XỬ LÝ HỒ SƠ THANH TOÁN VƯỢT THẨM QUYỀN PD</v>
          </cell>
        </row>
      </sheetData>
      <sheetData sheetId="4545">
        <row r="1">
          <cell r="A1" t="str">
            <v>PHIẾU XỬ LÝ HỒ SƠ THANH TOÁN VƯỢT THẨM QUYỀN PD</v>
          </cell>
        </row>
      </sheetData>
      <sheetData sheetId="4546">
        <row r="1">
          <cell r="A1" t="str">
            <v>PHIẾU XỬ LÝ HỒ SƠ THANH TOÁN VƯỢT THẨM QUYỀN PD</v>
          </cell>
        </row>
      </sheetData>
      <sheetData sheetId="4547">
        <row r="1">
          <cell r="A1" t="str">
            <v>PHIẾU XỬ LÝ HỒ SƠ THANH TOÁN VƯỢT THẨM QUYỀN PD</v>
          </cell>
        </row>
      </sheetData>
      <sheetData sheetId="4548">
        <row r="1">
          <cell r="A1" t="str">
            <v>PHIẾU XỬ LÝ HỒ SƠ THANH TOÁN VƯỢT THẨM QUYỀN PD</v>
          </cell>
        </row>
      </sheetData>
      <sheetData sheetId="4549">
        <row r="1">
          <cell r="A1" t="str">
            <v>PHIẾU XỬ LÝ HỒ SƠ THANH TOÁN VƯỢT THẨM QUYỀN PD</v>
          </cell>
        </row>
      </sheetData>
      <sheetData sheetId="4550">
        <row r="1">
          <cell r="A1" t="str">
            <v>PHIẾU XỬ LÝ HỒ SƠ THANH TOÁN VƯỢT THẨM QUYỀN PD</v>
          </cell>
        </row>
      </sheetData>
      <sheetData sheetId="4551">
        <row r="1">
          <cell r="A1" t="str">
            <v>PHIẾU XỬ LÝ HỒ SƠ THANH TOÁN VƯỢT THẨM QUYỀN PD</v>
          </cell>
        </row>
      </sheetData>
      <sheetData sheetId="4552">
        <row r="1">
          <cell r="A1" t="str">
            <v>PHIẾU XỬ LÝ HỒ SƠ THANH TOÁN VƯỢT THẨM QUYỀN PD</v>
          </cell>
        </row>
      </sheetData>
      <sheetData sheetId="4553">
        <row r="1">
          <cell r="A1" t="str">
            <v>PHIẾU XỬ LÝ HỒ SƠ THANH TOÁN VƯỢT THẨM QUYỀN PD</v>
          </cell>
        </row>
      </sheetData>
      <sheetData sheetId="4554">
        <row r="1">
          <cell r="A1" t="str">
            <v>PHIẾU XỬ LÝ HỒ SƠ THANH TOÁN VƯỢT THẨM QUYỀN PD</v>
          </cell>
        </row>
      </sheetData>
      <sheetData sheetId="4555">
        <row r="1">
          <cell r="A1" t="str">
            <v>PHIẾU XỬ LÝ HỒ SƠ THANH TOÁN VƯỢT THẨM QUYỀN PD</v>
          </cell>
        </row>
      </sheetData>
      <sheetData sheetId="4556">
        <row r="1">
          <cell r="A1" t="str">
            <v>PHIẾU XỬ LÝ HỒ SƠ THANH TOÁN VƯỢT THẨM QUYỀN PD</v>
          </cell>
        </row>
      </sheetData>
      <sheetData sheetId="4557">
        <row r="1">
          <cell r="A1" t="str">
            <v>PHIẾU XỬ LÝ HỒ SƠ THANH TOÁN VƯỢT THẨM QUYỀN PD</v>
          </cell>
        </row>
      </sheetData>
      <sheetData sheetId="4558">
        <row r="1">
          <cell r="A1" t="str">
            <v>PHIẾU XỬ LÝ HỒ SƠ THANH TOÁN VƯỢT THẨM QUYỀN PD</v>
          </cell>
        </row>
      </sheetData>
      <sheetData sheetId="4559">
        <row r="1">
          <cell r="A1" t="str">
            <v>PHIẾU XỬ LÝ HỒ SƠ THANH TOÁN VƯỢT THẨM QUYỀN PD</v>
          </cell>
        </row>
      </sheetData>
      <sheetData sheetId="4560">
        <row r="1">
          <cell r="A1" t="str">
            <v>PHIẾU XỬ LÝ HỒ SƠ THANH TOÁN VƯỢT THẨM QUYỀN PD</v>
          </cell>
        </row>
      </sheetData>
      <sheetData sheetId="4561">
        <row r="1">
          <cell r="A1" t="str">
            <v>PHIẾU XỬ LÝ HỒ SƠ THANH TOÁN VƯỢT THẨM QUYỀN PD</v>
          </cell>
        </row>
      </sheetData>
      <sheetData sheetId="4562">
        <row r="1">
          <cell r="A1" t="str">
            <v>PHIẾU XỬ LÝ HỒ SƠ THANH TOÁN VƯỢT THẨM QUYỀN PD</v>
          </cell>
        </row>
      </sheetData>
      <sheetData sheetId="4563">
        <row r="1">
          <cell r="A1" t="str">
            <v>PHIẾU XỬ LÝ HỒ SƠ THANH TOÁN VƯỢT THẨM QUYỀN PD</v>
          </cell>
        </row>
      </sheetData>
      <sheetData sheetId="4564">
        <row r="1">
          <cell r="A1" t="str">
            <v>PHIẾU XỬ LÝ HỒ SƠ THANH TOÁN VƯỢT THẨM QUYỀN PD</v>
          </cell>
        </row>
      </sheetData>
      <sheetData sheetId="4565">
        <row r="1">
          <cell r="A1" t="str">
            <v>PHIẾU XỬ LÝ HỒ SƠ THANH TOÁN VƯỢT THẨM QUYỀN PD</v>
          </cell>
        </row>
      </sheetData>
      <sheetData sheetId="4566">
        <row r="1">
          <cell r="A1" t="str">
            <v>PHIẾU XỬ LÝ HỒ SƠ THANH TOÁN VƯỢT THẨM QUYỀN PD</v>
          </cell>
        </row>
      </sheetData>
      <sheetData sheetId="4567">
        <row r="1">
          <cell r="A1" t="str">
            <v>PHIẾU XỬ LÝ HỒ SƠ THANH TOÁN VƯỢT THẨM QUYỀN PD</v>
          </cell>
        </row>
      </sheetData>
      <sheetData sheetId="4568">
        <row r="1">
          <cell r="A1" t="str">
            <v>PHIẾU XỬ LÝ HỒ SƠ THANH TOÁN VƯỢT THẨM QUYỀN PD</v>
          </cell>
        </row>
      </sheetData>
      <sheetData sheetId="4569">
        <row r="1">
          <cell r="A1" t="str">
            <v>PHIẾU XỬ LÝ HỒ SƠ THANH TOÁN VƯỢT THẨM QUYỀN PD</v>
          </cell>
        </row>
      </sheetData>
      <sheetData sheetId="4570">
        <row r="1">
          <cell r="A1" t="str">
            <v>PHIẾU XỬ LÝ HỒ SƠ THANH TOÁN VƯỢT THẨM QUYỀN PD</v>
          </cell>
        </row>
      </sheetData>
      <sheetData sheetId="4571">
        <row r="1">
          <cell r="A1" t="str">
            <v>PHIẾU XỬ LÝ HỒ SƠ THANH TOÁN VƯỢT THẨM QUYỀN PD</v>
          </cell>
        </row>
      </sheetData>
      <sheetData sheetId="4572">
        <row r="1">
          <cell r="A1" t="str">
            <v>PHIẾU XỬ LÝ HỒ SƠ THANH TOÁN VƯỢT THẨM QUYỀN PD</v>
          </cell>
        </row>
      </sheetData>
      <sheetData sheetId="4573"/>
      <sheetData sheetId="4574"/>
      <sheetData sheetId="4575"/>
      <sheetData sheetId="4576">
        <row r="1">
          <cell r="A1" t="str">
            <v>PHIẾU XỬ LÝ HỒ SƠ THANH TOÁN VƯỢT THẨM QUYỀN PD</v>
          </cell>
        </row>
      </sheetData>
      <sheetData sheetId="4577"/>
      <sheetData sheetId="4578"/>
      <sheetData sheetId="4579"/>
      <sheetData sheetId="4580"/>
      <sheetData sheetId="4581"/>
      <sheetData sheetId="4582"/>
      <sheetData sheetId="4583">
        <row r="1">
          <cell r="A1" t="str">
            <v>PHIẾU XỬ LÝ HỒ SƠ THANH TOÁN VƯỢT THẨM QUYỀN PD</v>
          </cell>
        </row>
      </sheetData>
      <sheetData sheetId="4584">
        <row r="1">
          <cell r="A1" t="str">
            <v>PHIẾU XỬ LÝ HỒ SƠ THANH TOÁN VƯỢT THẨM QUYỀN PD</v>
          </cell>
        </row>
      </sheetData>
      <sheetData sheetId="4585">
        <row r="1">
          <cell r="A1" t="str">
            <v>PHIẾU XỬ LÝ HỒ SƠ THANH TOÁN VƯỢT THẨM QUYỀN PD</v>
          </cell>
        </row>
      </sheetData>
      <sheetData sheetId="4586">
        <row r="1">
          <cell r="A1" t="str">
            <v>PHIẾU XỬ LÝ HỒ SƠ THANH TOÁN VƯỢT THẨM QUYỀN PD</v>
          </cell>
        </row>
      </sheetData>
      <sheetData sheetId="4587">
        <row r="1">
          <cell r="A1" t="str">
            <v>PHIẾU XỬ LÝ HỒ SƠ THANH TOÁN VƯỢT THẨM QUYỀN PD</v>
          </cell>
        </row>
      </sheetData>
      <sheetData sheetId="4588">
        <row r="1">
          <cell r="A1" t="str">
            <v>PHIẾU XỬ LÝ HỒ SƠ THANH TOÁN VƯỢT THẨM QUYỀN PD</v>
          </cell>
        </row>
      </sheetData>
      <sheetData sheetId="4589"/>
      <sheetData sheetId="4590"/>
      <sheetData sheetId="4591">
        <row r="1">
          <cell r="A1" t="str">
            <v>PHIẾU XỬ LÝ HỒ SƠ THANH TOÁN VƯỢT THẨM QUYỀN PD</v>
          </cell>
        </row>
      </sheetData>
      <sheetData sheetId="4592">
        <row r="1">
          <cell r="A1" t="str">
            <v>PHIẾU XỬ LÝ HỒ SƠ THANH TOÁN VƯỢT THẨM QUYỀN PD</v>
          </cell>
        </row>
      </sheetData>
      <sheetData sheetId="4593">
        <row r="1">
          <cell r="A1" t="str">
            <v>PHIẾU XỬ LÝ HỒ SƠ THANH TOÁN VƯỢT THẨM QUYỀN PD</v>
          </cell>
        </row>
      </sheetData>
      <sheetData sheetId="4594">
        <row r="1">
          <cell r="A1" t="str">
            <v>PHIẾU XỬ LÝ HỒ SƠ THANH TOÁN VƯỢT THẨM QUYỀN PD</v>
          </cell>
        </row>
      </sheetData>
      <sheetData sheetId="4595">
        <row r="1">
          <cell r="A1" t="str">
            <v>PHIẾU XỬ LÝ HỒ SƠ THANH TOÁN VƯỢT THẨM QUYỀN PD</v>
          </cell>
        </row>
      </sheetData>
      <sheetData sheetId="4596"/>
      <sheetData sheetId="4597"/>
      <sheetData sheetId="4598"/>
      <sheetData sheetId="4599"/>
      <sheetData sheetId="4600"/>
      <sheetData sheetId="4601"/>
      <sheetData sheetId="4602">
        <row r="1">
          <cell r="A1" t="str">
            <v>PHIẾU XỬ LÝ HỒ SƠ THANH TOÁN VƯỢT THẨM QUYỀN PD</v>
          </cell>
        </row>
      </sheetData>
      <sheetData sheetId="4603">
        <row r="1">
          <cell r="A1" t="str">
            <v>PHIẾU XỬ LÝ HỒ SƠ THANH TOÁN VƯỢT THẨM QUYỀN PD</v>
          </cell>
        </row>
      </sheetData>
      <sheetData sheetId="4604">
        <row r="1">
          <cell r="A1" t="str">
            <v>PHIẾU XỬ LÝ HỒ SƠ THANH TOÁN VƯỢT THẨM QUYỀN PD</v>
          </cell>
        </row>
      </sheetData>
      <sheetData sheetId="4605"/>
      <sheetData sheetId="4606"/>
      <sheetData sheetId="4607"/>
      <sheetData sheetId="4608"/>
      <sheetData sheetId="4609"/>
      <sheetData sheetId="4610"/>
      <sheetData sheetId="4611"/>
      <sheetData sheetId="4612"/>
      <sheetData sheetId="4613"/>
      <sheetData sheetId="4614"/>
      <sheetData sheetId="4615"/>
      <sheetData sheetId="4616"/>
      <sheetData sheetId="4617"/>
      <sheetData sheetId="4618"/>
      <sheetData sheetId="4619"/>
      <sheetData sheetId="4620"/>
      <sheetData sheetId="4621"/>
      <sheetData sheetId="4622"/>
      <sheetData sheetId="4623"/>
      <sheetData sheetId="4624"/>
      <sheetData sheetId="4625"/>
      <sheetData sheetId="4626"/>
      <sheetData sheetId="4627"/>
      <sheetData sheetId="4628"/>
      <sheetData sheetId="4629"/>
      <sheetData sheetId="4630"/>
      <sheetData sheetId="4631"/>
      <sheetData sheetId="4632"/>
      <sheetData sheetId="4633"/>
      <sheetData sheetId="4634"/>
      <sheetData sheetId="4635"/>
      <sheetData sheetId="4636"/>
      <sheetData sheetId="4637"/>
      <sheetData sheetId="4638"/>
      <sheetData sheetId="4639"/>
      <sheetData sheetId="4640"/>
      <sheetData sheetId="4641"/>
      <sheetData sheetId="4642"/>
      <sheetData sheetId="4643"/>
      <sheetData sheetId="4644"/>
      <sheetData sheetId="4645"/>
      <sheetData sheetId="4646"/>
      <sheetData sheetId="4647"/>
      <sheetData sheetId="4648"/>
      <sheetData sheetId="4649"/>
      <sheetData sheetId="4650"/>
      <sheetData sheetId="4651"/>
      <sheetData sheetId="4652"/>
      <sheetData sheetId="4653"/>
      <sheetData sheetId="4654"/>
      <sheetData sheetId="4655"/>
      <sheetData sheetId="4656">
        <row r="1">
          <cell r="A1" t="str">
            <v>PHIẾU XỬ LÝ HỒ SƠ THANH TOÁN VƯỢT THẨM QUYỀN PD</v>
          </cell>
        </row>
      </sheetData>
      <sheetData sheetId="4657">
        <row r="1">
          <cell r="A1" t="str">
            <v>PHIẾU XỬ LÝ HỒ SƠ THANH TOÁN VƯỢT THẨM QUYỀN PD</v>
          </cell>
        </row>
      </sheetData>
      <sheetData sheetId="4658">
        <row r="1">
          <cell r="A1" t="str">
            <v>PHIẾU XỬ LÝ HỒ SƠ THANH TOÁN VƯỢT THẨM QUYỀN PD</v>
          </cell>
        </row>
      </sheetData>
      <sheetData sheetId="4659"/>
      <sheetData sheetId="4660"/>
      <sheetData sheetId="4661"/>
      <sheetData sheetId="4662">
        <row r="1">
          <cell r="A1" t="str">
            <v>PHIẾU XỬ LÝ HỒ SƠ THANH TOÁN VƯỢT THẨM QUYỀN PD</v>
          </cell>
        </row>
      </sheetData>
      <sheetData sheetId="4663"/>
      <sheetData sheetId="4664"/>
      <sheetData sheetId="4665"/>
      <sheetData sheetId="4666"/>
      <sheetData sheetId="4667">
        <row r="1">
          <cell r="A1" t="str">
            <v>PHIẾU XỬ LÝ HỒ SƠ THANH TOÁN VƯỢT THẨM QUYỀN PD</v>
          </cell>
        </row>
      </sheetData>
      <sheetData sheetId="4668">
        <row r="1">
          <cell r="A1" t="str">
            <v>PHIẾU XỬ LÝ HỒ SƠ THANH TOÁN VƯỢT THẨM QUYỀN PD</v>
          </cell>
        </row>
      </sheetData>
      <sheetData sheetId="4669">
        <row r="1">
          <cell r="A1" t="str">
            <v>PHIẾU XỬ LÝ HỒ SƠ THANH TOÁN VƯỢT THẨM QUYỀN PD</v>
          </cell>
        </row>
      </sheetData>
      <sheetData sheetId="4670">
        <row r="1">
          <cell r="A1" t="str">
            <v>PHIẾU XỬ LÝ HỒ SƠ THANH TOÁN VƯỢT THẨM QUYỀN PD</v>
          </cell>
        </row>
      </sheetData>
      <sheetData sheetId="4671">
        <row r="1">
          <cell r="A1" t="str">
            <v>PHIẾU XỬ LÝ HỒ SƠ THANH TOÁN VƯỢT THẨM QUYỀN PD</v>
          </cell>
        </row>
      </sheetData>
      <sheetData sheetId="4672">
        <row r="1">
          <cell r="A1" t="str">
            <v>PHIẾU XỬ LÝ HỒ SƠ THANH TOÁN VƯỢT THẨM QUYỀN PD</v>
          </cell>
        </row>
      </sheetData>
      <sheetData sheetId="4673">
        <row r="1">
          <cell r="A1" t="str">
            <v>PHIẾU XỬ LÝ HỒ SƠ THANH TOÁN VƯỢT THẨM QUYỀN PD</v>
          </cell>
        </row>
      </sheetData>
      <sheetData sheetId="4674">
        <row r="1">
          <cell r="A1" t="str">
            <v>PHIẾU XỬ LÝ HỒ SƠ THANH TOÁN VƯỢT THẨM QUYỀN PD</v>
          </cell>
        </row>
      </sheetData>
      <sheetData sheetId="4675"/>
      <sheetData sheetId="4676"/>
      <sheetData sheetId="4677">
        <row r="1">
          <cell r="A1" t="str">
            <v>PHIẾU XỬ LÝ HỒ SƠ THANH TOÁN VƯỢT THẨM QUYỀN PD</v>
          </cell>
        </row>
      </sheetData>
      <sheetData sheetId="4678"/>
      <sheetData sheetId="4679"/>
      <sheetData sheetId="4680"/>
      <sheetData sheetId="4681"/>
      <sheetData sheetId="4682"/>
      <sheetData sheetId="4683"/>
      <sheetData sheetId="4684"/>
      <sheetData sheetId="4685"/>
      <sheetData sheetId="4686"/>
      <sheetData sheetId="4687"/>
      <sheetData sheetId="4688"/>
      <sheetData sheetId="4689"/>
      <sheetData sheetId="4690"/>
      <sheetData sheetId="4691"/>
      <sheetData sheetId="4692"/>
      <sheetData sheetId="4693"/>
      <sheetData sheetId="4694"/>
      <sheetData sheetId="4695"/>
      <sheetData sheetId="4696"/>
      <sheetData sheetId="4697"/>
      <sheetData sheetId="4698"/>
      <sheetData sheetId="4699"/>
      <sheetData sheetId="4700"/>
      <sheetData sheetId="4701"/>
      <sheetData sheetId="4702"/>
      <sheetData sheetId="4703"/>
      <sheetData sheetId="4704"/>
      <sheetData sheetId="4705"/>
      <sheetData sheetId="4706"/>
      <sheetData sheetId="4707"/>
      <sheetData sheetId="4708"/>
      <sheetData sheetId="4709"/>
      <sheetData sheetId="4710"/>
      <sheetData sheetId="4711"/>
      <sheetData sheetId="4712"/>
      <sheetData sheetId="4713"/>
      <sheetData sheetId="4714"/>
      <sheetData sheetId="4715"/>
      <sheetData sheetId="4716"/>
      <sheetData sheetId="4717"/>
      <sheetData sheetId="4718"/>
      <sheetData sheetId="4719"/>
      <sheetData sheetId="4720"/>
      <sheetData sheetId="4721"/>
      <sheetData sheetId="4722"/>
      <sheetData sheetId="4723"/>
      <sheetData sheetId="4724"/>
      <sheetData sheetId="4725"/>
      <sheetData sheetId="4726"/>
      <sheetData sheetId="4727"/>
      <sheetData sheetId="4728"/>
      <sheetData sheetId="4729"/>
      <sheetData sheetId="4730"/>
      <sheetData sheetId="4731"/>
      <sheetData sheetId="4732"/>
      <sheetData sheetId="4733"/>
      <sheetData sheetId="4734"/>
      <sheetData sheetId="4735"/>
      <sheetData sheetId="4736"/>
      <sheetData sheetId="4737"/>
      <sheetData sheetId="4738"/>
      <sheetData sheetId="4739"/>
      <sheetData sheetId="4740"/>
      <sheetData sheetId="4741"/>
      <sheetData sheetId="4742"/>
      <sheetData sheetId="4743"/>
      <sheetData sheetId="4744"/>
      <sheetData sheetId="4745"/>
      <sheetData sheetId="4746"/>
      <sheetData sheetId="4747"/>
      <sheetData sheetId="4748"/>
      <sheetData sheetId="4749"/>
      <sheetData sheetId="4750"/>
      <sheetData sheetId="4751"/>
      <sheetData sheetId="4752"/>
      <sheetData sheetId="4753"/>
      <sheetData sheetId="4754"/>
      <sheetData sheetId="4755"/>
      <sheetData sheetId="4756"/>
      <sheetData sheetId="4757"/>
      <sheetData sheetId="4758"/>
      <sheetData sheetId="4759"/>
      <sheetData sheetId="4760"/>
      <sheetData sheetId="4761"/>
      <sheetData sheetId="4762"/>
      <sheetData sheetId="4763"/>
      <sheetData sheetId="4764"/>
      <sheetData sheetId="4765"/>
      <sheetData sheetId="4766"/>
      <sheetData sheetId="4767"/>
      <sheetData sheetId="4768"/>
      <sheetData sheetId="4769"/>
      <sheetData sheetId="4770"/>
      <sheetData sheetId="4771"/>
      <sheetData sheetId="4772"/>
      <sheetData sheetId="4773"/>
      <sheetData sheetId="4774"/>
      <sheetData sheetId="4775"/>
      <sheetData sheetId="4776"/>
      <sheetData sheetId="4777"/>
      <sheetData sheetId="4778"/>
      <sheetData sheetId="4779"/>
      <sheetData sheetId="4780"/>
      <sheetData sheetId="4781"/>
      <sheetData sheetId="4782"/>
      <sheetData sheetId="4783"/>
      <sheetData sheetId="4784"/>
      <sheetData sheetId="4785"/>
      <sheetData sheetId="4786"/>
      <sheetData sheetId="4787"/>
      <sheetData sheetId="4788"/>
      <sheetData sheetId="4789"/>
      <sheetData sheetId="4790"/>
      <sheetData sheetId="4791"/>
      <sheetData sheetId="4792"/>
      <sheetData sheetId="4793"/>
      <sheetData sheetId="4794"/>
      <sheetData sheetId="4795"/>
      <sheetData sheetId="4796"/>
      <sheetData sheetId="4797"/>
      <sheetData sheetId="4798"/>
      <sheetData sheetId="4799"/>
      <sheetData sheetId="4800"/>
      <sheetData sheetId="4801"/>
      <sheetData sheetId="4802"/>
      <sheetData sheetId="4803"/>
      <sheetData sheetId="4804"/>
      <sheetData sheetId="4805"/>
      <sheetData sheetId="4806"/>
      <sheetData sheetId="4807"/>
      <sheetData sheetId="4808"/>
      <sheetData sheetId="4809"/>
      <sheetData sheetId="4810"/>
      <sheetData sheetId="4811"/>
      <sheetData sheetId="4812"/>
      <sheetData sheetId="4813"/>
      <sheetData sheetId="4814"/>
      <sheetData sheetId="4815"/>
      <sheetData sheetId="4816"/>
      <sheetData sheetId="4817"/>
      <sheetData sheetId="4818"/>
      <sheetData sheetId="4819"/>
      <sheetData sheetId="4820"/>
      <sheetData sheetId="4821"/>
      <sheetData sheetId="4822"/>
      <sheetData sheetId="4823"/>
      <sheetData sheetId="4824"/>
      <sheetData sheetId="4825"/>
      <sheetData sheetId="4826"/>
      <sheetData sheetId="4827"/>
      <sheetData sheetId="4828"/>
      <sheetData sheetId="4829"/>
      <sheetData sheetId="4830"/>
      <sheetData sheetId="4831"/>
      <sheetData sheetId="4832"/>
      <sheetData sheetId="4833"/>
      <sheetData sheetId="4834"/>
      <sheetData sheetId="4835"/>
      <sheetData sheetId="4836"/>
      <sheetData sheetId="4837"/>
      <sheetData sheetId="4838"/>
      <sheetData sheetId="4839"/>
      <sheetData sheetId="4840"/>
      <sheetData sheetId="4841"/>
      <sheetData sheetId="4842"/>
      <sheetData sheetId="4843"/>
      <sheetData sheetId="4844"/>
      <sheetData sheetId="4845"/>
      <sheetData sheetId="4846"/>
      <sheetData sheetId="4847"/>
      <sheetData sheetId="4848"/>
      <sheetData sheetId="4849"/>
      <sheetData sheetId="4850"/>
      <sheetData sheetId="4851"/>
      <sheetData sheetId="4852"/>
      <sheetData sheetId="4853"/>
      <sheetData sheetId="4854"/>
      <sheetData sheetId="4855"/>
      <sheetData sheetId="4856"/>
      <sheetData sheetId="4857"/>
      <sheetData sheetId="4858"/>
      <sheetData sheetId="4859"/>
      <sheetData sheetId="4860"/>
      <sheetData sheetId="4861"/>
      <sheetData sheetId="4862"/>
      <sheetData sheetId="4863"/>
      <sheetData sheetId="4864"/>
      <sheetData sheetId="4865"/>
      <sheetData sheetId="4866"/>
      <sheetData sheetId="4867"/>
      <sheetData sheetId="4868"/>
      <sheetData sheetId="4869"/>
      <sheetData sheetId="4870"/>
      <sheetData sheetId="4871"/>
      <sheetData sheetId="4872"/>
      <sheetData sheetId="4873"/>
      <sheetData sheetId="4874"/>
      <sheetData sheetId="4875"/>
      <sheetData sheetId="4876"/>
      <sheetData sheetId="4877"/>
      <sheetData sheetId="4878"/>
      <sheetData sheetId="4879"/>
      <sheetData sheetId="4880"/>
      <sheetData sheetId="4881"/>
      <sheetData sheetId="4882"/>
      <sheetData sheetId="4883"/>
      <sheetData sheetId="4884"/>
      <sheetData sheetId="4885"/>
      <sheetData sheetId="4886"/>
      <sheetData sheetId="4887"/>
      <sheetData sheetId="4888"/>
      <sheetData sheetId="4889"/>
      <sheetData sheetId="4890"/>
      <sheetData sheetId="4891"/>
      <sheetData sheetId="4892">
        <row r="1">
          <cell r="A1" t="str">
            <v>PHIẾU XỬ LÝ HỒ SƠ THANH TOÁN VƯỢT THẨM QUYỀN PD</v>
          </cell>
        </row>
      </sheetData>
      <sheetData sheetId="4893">
        <row r="1">
          <cell r="A1" t="str">
            <v>PHIẾU XỬ LÝ HỒ SƠ THANH TOÁN VƯỢT THẨM QUYỀN PD</v>
          </cell>
        </row>
      </sheetData>
      <sheetData sheetId="4894">
        <row r="1">
          <cell r="A1" t="str">
            <v>PHIẾU XỬ LÝ HỒ SƠ THANH TOÁN VƯỢT THẨM QUYỀN PD</v>
          </cell>
        </row>
      </sheetData>
      <sheetData sheetId="4895">
        <row r="1">
          <cell r="A1" t="str">
            <v>PHIẾU XỬ LÝ HỒ SƠ THANH TOÁN VƯỢT THẨM QUYỀN PD</v>
          </cell>
        </row>
      </sheetData>
      <sheetData sheetId="4896">
        <row r="1">
          <cell r="A1" t="str">
            <v>PHIẾU XỬ LÝ HỒ SƠ THANH TOÁN VƯỢT THẨM QUYỀN PD</v>
          </cell>
        </row>
      </sheetData>
      <sheetData sheetId="4897"/>
      <sheetData sheetId="4898">
        <row r="1">
          <cell r="A1" t="str">
            <v>PHIẾU XỬ LÝ HỒ SƠ THANH TOÁN VƯỢT THẨM QUYỀN PD</v>
          </cell>
        </row>
      </sheetData>
      <sheetData sheetId="4899">
        <row r="1">
          <cell r="A1" t="str">
            <v>PHIẾU XỬ LÝ HỒ SƠ THANH TOÁN VƯỢT THẨM QUYỀN PD</v>
          </cell>
        </row>
      </sheetData>
      <sheetData sheetId="4900">
        <row r="1">
          <cell r="A1" t="str">
            <v>PHIẾU XỬ LÝ HỒ SƠ THANH TOÁN VƯỢT THẨM QUYỀN PD</v>
          </cell>
        </row>
      </sheetData>
      <sheetData sheetId="4901"/>
      <sheetData sheetId="4902">
        <row r="1">
          <cell r="A1" t="str">
            <v>PHIẾU XỬ LÝ HỒ SƠ THANH TOÁN VƯỢT THẨM QUYỀN PD</v>
          </cell>
        </row>
      </sheetData>
      <sheetData sheetId="4903">
        <row r="1">
          <cell r="A1" t="str">
            <v>PHIẾU XỬ LÝ HỒ SƠ THANH TOÁN VƯỢT THẨM QUYỀN PD</v>
          </cell>
        </row>
      </sheetData>
      <sheetData sheetId="4904">
        <row r="1">
          <cell r="A1" t="str">
            <v>PHIẾU XỬ LÝ HỒ SƠ THANH TOÁN VƯỢT THẨM QUYỀN PD</v>
          </cell>
        </row>
      </sheetData>
      <sheetData sheetId="4905">
        <row r="1">
          <cell r="A1" t="str">
            <v>PHIẾU XỬ LÝ HỒ SƠ THANH TOÁN VƯỢT THẨM QUYỀN PD</v>
          </cell>
        </row>
      </sheetData>
      <sheetData sheetId="4906">
        <row r="1">
          <cell r="A1" t="str">
            <v>PHIẾU XỬ LÝ HỒ SƠ THANH TOÁN VƯỢT THẨM QUYỀN PD</v>
          </cell>
        </row>
      </sheetData>
      <sheetData sheetId="4907">
        <row r="1">
          <cell r="A1" t="str">
            <v>PHIẾU XỬ LÝ HỒ SƠ THANH TOÁN VƯỢT THẨM QUYỀN PD</v>
          </cell>
        </row>
      </sheetData>
      <sheetData sheetId="4908">
        <row r="1">
          <cell r="A1" t="str">
            <v>PHIẾU XỬ LÝ HỒ SƠ THANH TOÁN VƯỢT THẨM QUYỀN PD</v>
          </cell>
        </row>
      </sheetData>
      <sheetData sheetId="4909">
        <row r="1">
          <cell r="A1" t="str">
            <v>PHIẾU XỬ LÝ HỒ SƠ THANH TOÁN VƯỢT THẨM QUYỀN PD</v>
          </cell>
        </row>
      </sheetData>
      <sheetData sheetId="4910">
        <row r="1">
          <cell r="A1" t="str">
            <v>PHIẾU XỬ LÝ HỒ SƠ THANH TOÁN VƯỢT THẨM QUYỀN PD</v>
          </cell>
        </row>
      </sheetData>
      <sheetData sheetId="4911">
        <row r="1">
          <cell r="A1" t="str">
            <v>PHIẾU XỬ LÝ HỒ SƠ THANH TOÁN VƯỢT THẨM QUYỀN PD</v>
          </cell>
        </row>
      </sheetData>
      <sheetData sheetId="4912">
        <row r="1">
          <cell r="A1" t="str">
            <v>PHIẾU XỬ LÝ HỒ SƠ THANH TOÁN VƯỢT THẨM QUYỀN PD</v>
          </cell>
        </row>
      </sheetData>
      <sheetData sheetId="4913">
        <row r="1">
          <cell r="A1" t="str">
            <v>PHIẾU XỬ LÝ HỒ SƠ THANH TOÁN VƯỢT THẨM QUYỀN PD</v>
          </cell>
        </row>
      </sheetData>
      <sheetData sheetId="4914">
        <row r="1">
          <cell r="A1" t="str">
            <v>PHIẾU XỬ LÝ HỒ SƠ THANH TOÁN VƯỢT THẨM QUYỀN PD</v>
          </cell>
        </row>
      </sheetData>
      <sheetData sheetId="4915">
        <row r="1">
          <cell r="A1" t="str">
            <v>PHIẾU XỬ LÝ HỒ SƠ THANH TOÁN VƯỢT THẨM QUYỀN PD</v>
          </cell>
        </row>
      </sheetData>
      <sheetData sheetId="4916">
        <row r="1">
          <cell r="A1" t="str">
            <v>PHIẾU XỬ LÝ HỒ SƠ THANH TOÁN VƯỢT THẨM QUYỀN PD</v>
          </cell>
        </row>
      </sheetData>
      <sheetData sheetId="4917">
        <row r="1">
          <cell r="A1" t="str">
            <v>PHIẾU XỬ LÝ HỒ SƠ THANH TOÁN VƯỢT THẨM QUYỀN PD</v>
          </cell>
        </row>
      </sheetData>
      <sheetData sheetId="4918">
        <row r="1">
          <cell r="A1" t="str">
            <v>PHIẾU XỬ LÝ HỒ SƠ THANH TOÁN VƯỢT THẨM QUYỀN PD</v>
          </cell>
        </row>
      </sheetData>
      <sheetData sheetId="4919">
        <row r="1">
          <cell r="A1" t="str">
            <v>PHIẾU XỬ LÝ HỒ SƠ THANH TOÁN VƯỢT THẨM QUYỀN PD</v>
          </cell>
        </row>
      </sheetData>
      <sheetData sheetId="4920">
        <row r="1">
          <cell r="A1" t="str">
            <v>PHIẾU XỬ LÝ HỒ SƠ THANH TOÁN VƯỢT THẨM QUYỀN PD</v>
          </cell>
        </row>
      </sheetData>
      <sheetData sheetId="4921">
        <row r="1">
          <cell r="A1" t="str">
            <v>PHIẾU XỬ LÝ HỒ SƠ THANH TOÁN VƯỢT THẨM QUYỀN PD</v>
          </cell>
        </row>
      </sheetData>
      <sheetData sheetId="4922">
        <row r="1">
          <cell r="A1" t="str">
            <v>PHIẾU XỬ LÝ HỒ SƠ THANH TOÁN VƯỢT THẨM QUYỀN PD</v>
          </cell>
        </row>
      </sheetData>
      <sheetData sheetId="4923">
        <row r="1">
          <cell r="A1" t="str">
            <v>PHIẾU XỬ LÝ HỒ SƠ THANH TOÁN VƯỢT THẨM QUYỀN PD</v>
          </cell>
        </row>
      </sheetData>
      <sheetData sheetId="4924">
        <row r="1">
          <cell r="A1" t="str">
            <v>PHIẾU XỬ LÝ HỒ SƠ THANH TOÁN VƯỢT THẨM QUYỀN PD</v>
          </cell>
        </row>
      </sheetData>
      <sheetData sheetId="4925">
        <row r="1">
          <cell r="A1" t="str">
            <v>PHIẾU XỬ LÝ HỒ SƠ THANH TOÁN VƯỢT THẨM QUYỀN PD</v>
          </cell>
        </row>
      </sheetData>
      <sheetData sheetId="4926">
        <row r="1">
          <cell r="A1" t="str">
            <v>PHIẾU XỬ LÝ HỒ SƠ THANH TOÁN VƯỢT THẨM QUYỀN PD</v>
          </cell>
        </row>
      </sheetData>
      <sheetData sheetId="4927">
        <row r="1">
          <cell r="A1" t="str">
            <v>PHIẾU XỬ LÝ HỒ SƠ THANH TOÁN VƯỢT THẨM QUYỀN PD</v>
          </cell>
        </row>
      </sheetData>
      <sheetData sheetId="4928">
        <row r="1">
          <cell r="A1" t="str">
            <v>PHIẾU XỬ LÝ HỒ SƠ THANH TOÁN VƯỢT THẨM QUYỀN PD</v>
          </cell>
        </row>
      </sheetData>
      <sheetData sheetId="4929">
        <row r="1">
          <cell r="A1" t="str">
            <v>PHIẾU XỬ LÝ HỒ SƠ THANH TOÁN VƯỢT THẨM QUYỀN PD</v>
          </cell>
        </row>
      </sheetData>
      <sheetData sheetId="4930">
        <row r="1">
          <cell r="A1" t="str">
            <v>PHIẾU XỬ LÝ HỒ SƠ THANH TOÁN VƯỢT THẨM QUYỀN PD</v>
          </cell>
        </row>
      </sheetData>
      <sheetData sheetId="4931">
        <row r="1">
          <cell r="A1" t="str">
            <v>PHIẾU XỬ LÝ HỒ SƠ THANH TOÁN VƯỢT THẨM QUYỀN PD</v>
          </cell>
        </row>
      </sheetData>
      <sheetData sheetId="4932">
        <row r="1">
          <cell r="A1" t="str">
            <v>PHIẾU XỬ LÝ HỒ SƠ THANH TOÁN VƯỢT THẨM QUYỀN PD</v>
          </cell>
        </row>
      </sheetData>
      <sheetData sheetId="4933">
        <row r="1">
          <cell r="A1" t="str">
            <v>PHIẾU XỬ LÝ HỒ SƠ THANH TOÁN VƯỢT THẨM QUYỀN PD</v>
          </cell>
        </row>
      </sheetData>
      <sheetData sheetId="4934">
        <row r="1">
          <cell r="A1" t="str">
            <v>PHIẾU XỬ LÝ HỒ SƠ THANH TOÁN VƯỢT THẨM QUYỀN PD</v>
          </cell>
        </row>
      </sheetData>
      <sheetData sheetId="4935">
        <row r="1">
          <cell r="A1" t="str">
            <v>PHIẾU XỬ LÝ HỒ SƠ THANH TOÁN VƯỢT THẨM QUYỀN PD</v>
          </cell>
        </row>
      </sheetData>
      <sheetData sheetId="4936">
        <row r="1">
          <cell r="A1" t="str">
            <v>PHIẾU XỬ LÝ HỒ SƠ THANH TOÁN VƯỢT THẨM QUYỀN PD</v>
          </cell>
        </row>
      </sheetData>
      <sheetData sheetId="4937">
        <row r="1">
          <cell r="A1" t="str">
            <v>PHIẾU XỬ LÝ HỒ SƠ THANH TOÁN VƯỢT THẨM QUYỀN PD</v>
          </cell>
        </row>
      </sheetData>
      <sheetData sheetId="4938">
        <row r="1">
          <cell r="A1" t="str">
            <v>PHIẾU XỬ LÝ HỒ SƠ THANH TOÁN VƯỢT THẨM QUYỀN PD</v>
          </cell>
        </row>
      </sheetData>
      <sheetData sheetId="4939">
        <row r="1">
          <cell r="A1" t="str">
            <v>PHIẾU XỬ LÝ HỒ SƠ THANH TOÁN VƯỢT THẨM QUYỀN PD</v>
          </cell>
        </row>
      </sheetData>
      <sheetData sheetId="4940">
        <row r="1">
          <cell r="A1" t="str">
            <v>PHIẾU XỬ LÝ HỒ SƠ THANH TOÁN VƯỢT THẨM QUYỀN PD</v>
          </cell>
        </row>
      </sheetData>
      <sheetData sheetId="4941">
        <row r="1">
          <cell r="A1" t="str">
            <v>PHIẾU XỬ LÝ HỒ SƠ THANH TOÁN VƯỢT THẨM QUYỀN PD</v>
          </cell>
        </row>
      </sheetData>
      <sheetData sheetId="4942">
        <row r="1">
          <cell r="A1" t="str">
            <v>PHIẾU XỬ LÝ HỒ SƠ THANH TOÁN VƯỢT THẨM QUYỀN PD</v>
          </cell>
        </row>
      </sheetData>
      <sheetData sheetId="4943">
        <row r="1">
          <cell r="A1" t="str">
            <v>PHIẾU XỬ LÝ HỒ SƠ THANH TOÁN VƯỢT THẨM QUYỀN PD</v>
          </cell>
        </row>
      </sheetData>
      <sheetData sheetId="4944">
        <row r="1">
          <cell r="A1" t="str">
            <v>PHIẾU XỬ LÝ HỒ SƠ THANH TOÁN VƯỢT THẨM QUYỀN PD</v>
          </cell>
        </row>
      </sheetData>
      <sheetData sheetId="4945">
        <row r="1">
          <cell r="A1" t="str">
            <v>PHIẾU XỬ LÝ HỒ SƠ THANH TOÁN VƯỢT THẨM QUYỀN PD</v>
          </cell>
        </row>
      </sheetData>
      <sheetData sheetId="4946">
        <row r="1">
          <cell r="A1" t="str">
            <v>PHIẾU XỬ LÝ HỒ SƠ THANH TOÁN VƯỢT THẨM QUYỀN PD</v>
          </cell>
        </row>
      </sheetData>
      <sheetData sheetId="4947">
        <row r="1">
          <cell r="A1" t="str">
            <v>PHIẾU XỬ LÝ HỒ SƠ THANH TOÁN VƯỢT THẨM QUYỀN PD</v>
          </cell>
        </row>
      </sheetData>
      <sheetData sheetId="4948">
        <row r="1">
          <cell r="A1" t="str">
            <v>PHIẾU XỬ LÝ HỒ SƠ THANH TOÁN VƯỢT THẨM QUYỀN PD</v>
          </cell>
        </row>
      </sheetData>
      <sheetData sheetId="4949">
        <row r="1">
          <cell r="A1" t="str">
            <v>PHIẾU XỬ LÝ HỒ SƠ THANH TOÁN VƯỢT THẨM QUYỀN PD</v>
          </cell>
        </row>
      </sheetData>
      <sheetData sheetId="4950">
        <row r="1">
          <cell r="A1" t="str">
            <v>PHIẾU XỬ LÝ HỒ SƠ THANH TOÁN VƯỢT THẨM QUYỀN PD</v>
          </cell>
        </row>
      </sheetData>
      <sheetData sheetId="4951">
        <row r="1">
          <cell r="A1" t="str">
            <v>PHIẾU XỬ LÝ HỒ SƠ THANH TOÁN VƯỢT THẨM QUYỀN PD</v>
          </cell>
        </row>
      </sheetData>
      <sheetData sheetId="4952">
        <row r="1">
          <cell r="A1" t="str">
            <v>PHIẾU XỬ LÝ HỒ SƠ THANH TOÁN VƯỢT THẨM QUYỀN PD</v>
          </cell>
        </row>
      </sheetData>
      <sheetData sheetId="4953">
        <row r="1">
          <cell r="A1" t="str">
            <v>PHIẾU XỬ LÝ HỒ SƠ THANH TOÁN VƯỢT THẨM QUYỀN PD</v>
          </cell>
        </row>
      </sheetData>
      <sheetData sheetId="4954">
        <row r="1">
          <cell r="A1" t="str">
            <v>PHIẾU XỬ LÝ HỒ SƠ THANH TOÁN VƯỢT THẨM QUYỀN PD</v>
          </cell>
        </row>
      </sheetData>
      <sheetData sheetId="4955"/>
      <sheetData sheetId="4956"/>
      <sheetData sheetId="4957"/>
      <sheetData sheetId="4958">
        <row r="1">
          <cell r="A1" t="str">
            <v>PHIẾU XỬ LÝ HỒ SƠ THANH TOÁN VƯỢT THẨM QUYỀN PD</v>
          </cell>
        </row>
      </sheetData>
      <sheetData sheetId="4959">
        <row r="1">
          <cell r="A1" t="str">
            <v>PHIẾU XỬ LÝ HỒ SƠ THANH TOÁN VƯỢT THẨM QUYỀN PD</v>
          </cell>
        </row>
      </sheetData>
      <sheetData sheetId="4960">
        <row r="1">
          <cell r="A1" t="str">
            <v>PHIẾU XỬ LÝ HỒ SƠ THANH TOÁN VƯỢT THẨM QUYỀN PD</v>
          </cell>
        </row>
      </sheetData>
      <sheetData sheetId="4961"/>
      <sheetData sheetId="4962">
        <row r="1">
          <cell r="A1" t="str">
            <v>PHIẾU XỬ LÝ HỒ SƠ THANH TOÁN VƯỢT THẨM QUYỀN PD</v>
          </cell>
        </row>
      </sheetData>
      <sheetData sheetId="4963">
        <row r="1">
          <cell r="A1" t="str">
            <v>PHIẾU XỬ LÝ HỒ SƠ THANH TOÁN VƯỢT THẨM QUYỀN PD</v>
          </cell>
        </row>
      </sheetData>
      <sheetData sheetId="4964">
        <row r="1">
          <cell r="A1" t="str">
            <v>PHIẾU XỬ LÝ HỒ SƠ THANH TOÁN VƯỢT THẨM QUYỀN PD</v>
          </cell>
        </row>
      </sheetData>
      <sheetData sheetId="4965">
        <row r="1">
          <cell r="A1" t="str">
            <v>PHIẾU XỬ LÝ HỒ SƠ THANH TOÁN VƯỢT THẨM QUYỀN PD</v>
          </cell>
        </row>
      </sheetData>
      <sheetData sheetId="4966">
        <row r="1">
          <cell r="A1" t="str">
            <v>PHIẾU XỬ LÝ HỒ SƠ THANH TOÁN VƯỢT THẨM QUYỀN PD</v>
          </cell>
        </row>
      </sheetData>
      <sheetData sheetId="4967">
        <row r="1">
          <cell r="A1" t="str">
            <v>PHIẾU XỬ LÝ HỒ SƠ THANH TOÁN VƯỢT THẨM QUYỀN PD</v>
          </cell>
        </row>
      </sheetData>
      <sheetData sheetId="4968">
        <row r="1">
          <cell r="A1" t="str">
            <v>PHIẾU XỬ LÝ HỒ SƠ THANH TOÁN VƯỢT THẨM QUYỀN PD</v>
          </cell>
        </row>
      </sheetData>
      <sheetData sheetId="4969">
        <row r="1">
          <cell r="A1" t="str">
            <v>PHIẾU XỬ LÝ HỒ SƠ THANH TOÁN VƯỢT THẨM QUYỀN PD</v>
          </cell>
        </row>
      </sheetData>
      <sheetData sheetId="4970">
        <row r="1">
          <cell r="A1" t="str">
            <v>PHIẾU XỬ LÝ HỒ SƠ THANH TOÁN VƯỢT THẨM QUYỀN PD</v>
          </cell>
        </row>
      </sheetData>
      <sheetData sheetId="4971">
        <row r="1">
          <cell r="A1" t="str">
            <v>PHIẾU XỬ LÝ HỒ SƠ THANH TOÁN VƯỢT THẨM QUYỀN PD</v>
          </cell>
        </row>
      </sheetData>
      <sheetData sheetId="4972">
        <row r="1">
          <cell r="A1" t="str">
            <v>PHIẾU XỬ LÝ HỒ SƠ THANH TOÁN VƯỢT THẨM QUYỀN PD</v>
          </cell>
        </row>
      </sheetData>
      <sheetData sheetId="4973">
        <row r="1">
          <cell r="A1" t="str">
            <v>PHIẾU XỬ LÝ HỒ SƠ THANH TOÁN VƯỢT THẨM QUYỀN PD</v>
          </cell>
        </row>
      </sheetData>
      <sheetData sheetId="4974">
        <row r="1">
          <cell r="A1" t="str">
            <v>PHIẾU XỬ LÝ HỒ SƠ THANH TOÁN VƯỢT THẨM QUYỀN PD</v>
          </cell>
        </row>
      </sheetData>
      <sheetData sheetId="4975">
        <row r="1">
          <cell r="A1" t="str">
            <v>PHIẾU XỬ LÝ HỒ SƠ THANH TOÁN VƯỢT THẨM QUYỀN PD</v>
          </cell>
        </row>
      </sheetData>
      <sheetData sheetId="4976">
        <row r="1">
          <cell r="A1" t="str">
            <v>PHIẾU XỬ LÝ HỒ SƠ THANH TOÁN VƯỢT THẨM QUYỀN PD</v>
          </cell>
        </row>
      </sheetData>
      <sheetData sheetId="4977">
        <row r="1">
          <cell r="A1" t="str">
            <v>PHIẾU XỬ LÝ HỒ SƠ THANH TOÁN VƯỢT THẨM QUYỀN PD</v>
          </cell>
        </row>
      </sheetData>
      <sheetData sheetId="4978">
        <row r="1">
          <cell r="A1" t="str">
            <v>PHIẾU XỬ LÝ HỒ SƠ THANH TOÁN VƯỢT THẨM QUYỀN PD</v>
          </cell>
        </row>
      </sheetData>
      <sheetData sheetId="4979">
        <row r="1">
          <cell r="A1" t="str">
            <v>PHIẾU XỬ LÝ HỒ SƠ THANH TOÁN VƯỢT THẨM QUYỀN PD</v>
          </cell>
        </row>
      </sheetData>
      <sheetData sheetId="4980">
        <row r="1">
          <cell r="A1" t="str">
            <v>PHIẾU XỬ LÝ HỒ SƠ THANH TOÁN VƯỢT THẨM QUYỀN PD</v>
          </cell>
        </row>
      </sheetData>
      <sheetData sheetId="4981">
        <row r="1">
          <cell r="A1" t="str">
            <v>PHIẾU XỬ LÝ HỒ SƠ THANH TOÁN VƯỢT THẨM QUYỀN PD</v>
          </cell>
        </row>
      </sheetData>
      <sheetData sheetId="4982">
        <row r="1">
          <cell r="A1" t="str">
            <v>PHIẾU XỬ LÝ HỒ SƠ THANH TOÁN VƯỢT THẨM QUYỀN PD</v>
          </cell>
        </row>
      </sheetData>
      <sheetData sheetId="4983">
        <row r="1">
          <cell r="A1" t="str">
            <v>PHIẾU XỬ LÝ HỒ SƠ THANH TOÁN VƯỢT THẨM QUYỀN PD</v>
          </cell>
        </row>
      </sheetData>
      <sheetData sheetId="4984">
        <row r="1">
          <cell r="A1" t="str">
            <v>PHIẾU XỬ LÝ HỒ SƠ THANH TOÁN VƯỢT THẨM QUYỀN PD</v>
          </cell>
        </row>
      </sheetData>
      <sheetData sheetId="4985">
        <row r="1">
          <cell r="A1" t="str">
            <v>PHIẾU XỬ LÝ HỒ SƠ THANH TOÁN VƯỢT THẨM QUYỀN PD</v>
          </cell>
        </row>
      </sheetData>
      <sheetData sheetId="4986">
        <row r="1">
          <cell r="A1" t="str">
            <v>PHIẾU XỬ LÝ HỒ SƠ THANH TOÁN VƯỢT THẨM QUYỀN PD</v>
          </cell>
        </row>
      </sheetData>
      <sheetData sheetId="4987">
        <row r="1">
          <cell r="A1" t="str">
            <v>PHIẾU XỬ LÝ HỒ SƠ THANH TOÁN VƯỢT THẨM QUYỀN PD</v>
          </cell>
        </row>
      </sheetData>
      <sheetData sheetId="4988">
        <row r="1">
          <cell r="A1" t="str">
            <v>PHIẾU XỬ LÝ HỒ SƠ THANH TOÁN VƯỢT THẨM QUYỀN PD</v>
          </cell>
        </row>
      </sheetData>
      <sheetData sheetId="4989">
        <row r="1">
          <cell r="A1" t="str">
            <v>PHIẾU XỬ LÝ HỒ SƠ THANH TOÁN VƯỢT THẨM QUYỀN PD</v>
          </cell>
        </row>
      </sheetData>
      <sheetData sheetId="4990">
        <row r="1">
          <cell r="A1" t="str">
            <v>PHIẾU XỬ LÝ HỒ SƠ THANH TOÁN VƯỢT THẨM QUYỀN PD</v>
          </cell>
        </row>
      </sheetData>
      <sheetData sheetId="4991">
        <row r="1">
          <cell r="A1" t="str">
            <v>PHIẾU XỬ LÝ HỒ SƠ THANH TOÁN VƯỢT THẨM QUYỀN PD</v>
          </cell>
        </row>
      </sheetData>
      <sheetData sheetId="4992">
        <row r="1">
          <cell r="A1" t="str">
            <v>PHIẾU XỬ LÝ HỒ SƠ THANH TOÁN VƯỢT THẨM QUYỀN PD</v>
          </cell>
        </row>
      </sheetData>
      <sheetData sheetId="4993">
        <row r="1">
          <cell r="A1" t="str">
            <v>PHIẾU XỬ LÝ HỒ SƠ THANH TOÁN VƯỢT THẨM QUYỀN PD</v>
          </cell>
        </row>
      </sheetData>
      <sheetData sheetId="4994">
        <row r="1">
          <cell r="A1" t="str">
            <v>PHIẾU XỬ LÝ HỒ SƠ THANH TOÁN VƯỢT THẨM QUYỀN PD</v>
          </cell>
        </row>
      </sheetData>
      <sheetData sheetId="4995">
        <row r="1">
          <cell r="A1" t="str">
            <v>PHIẾU XỬ LÝ HỒ SƠ THANH TOÁN VƯỢT THẨM QUYỀN PD</v>
          </cell>
        </row>
      </sheetData>
      <sheetData sheetId="4996">
        <row r="1">
          <cell r="A1" t="str">
            <v>PHIẾU XỬ LÝ HỒ SƠ THANH TOÁN VƯỢT THẨM QUYỀN PD</v>
          </cell>
        </row>
      </sheetData>
      <sheetData sheetId="4997">
        <row r="1">
          <cell r="A1" t="str">
            <v>PHIẾU XỬ LÝ HỒ SƠ THANH TOÁN VƯỢT THẨM QUYỀN PD</v>
          </cell>
        </row>
      </sheetData>
      <sheetData sheetId="4998">
        <row r="1">
          <cell r="A1" t="str">
            <v>PHIẾU XỬ LÝ HỒ SƠ THANH TOÁN VƯỢT THẨM QUYỀN PD</v>
          </cell>
        </row>
      </sheetData>
      <sheetData sheetId="4999">
        <row r="1">
          <cell r="A1" t="str">
            <v>PHIẾU XỬ LÝ HỒ SƠ THANH TOÁN VƯỢT THẨM QUYỀN PD</v>
          </cell>
        </row>
      </sheetData>
      <sheetData sheetId="5000">
        <row r="1">
          <cell r="A1" t="str">
            <v>PHIẾU XỬ LÝ HỒ SƠ THANH TOÁN VƯỢT THẨM QUYỀN PD</v>
          </cell>
        </row>
      </sheetData>
      <sheetData sheetId="5001">
        <row r="1">
          <cell r="A1" t="str">
            <v>PHIẾU XỬ LÝ HỒ SƠ THANH TOÁN VƯỢT THẨM QUYỀN PD</v>
          </cell>
        </row>
      </sheetData>
      <sheetData sheetId="5002">
        <row r="1">
          <cell r="A1" t="str">
            <v>PHIẾU XỬ LÝ HỒ SƠ THANH TOÁN VƯỢT THẨM QUYỀN PD</v>
          </cell>
        </row>
      </sheetData>
      <sheetData sheetId="5003">
        <row r="1">
          <cell r="A1" t="str">
            <v>PHIẾU XỬ LÝ HỒ SƠ THANH TOÁN VƯỢT THẨM QUYỀN PD</v>
          </cell>
        </row>
      </sheetData>
      <sheetData sheetId="5004" refreshError="1"/>
      <sheetData sheetId="5005" refreshError="1"/>
      <sheetData sheetId="5006" refreshError="1"/>
      <sheetData sheetId="5007" refreshError="1"/>
      <sheetData sheetId="5008" refreshError="1"/>
      <sheetData sheetId="5009" refreshError="1"/>
      <sheetData sheetId="5010" refreshError="1"/>
      <sheetData sheetId="5011" refreshError="1"/>
      <sheetData sheetId="5012" refreshError="1"/>
      <sheetData sheetId="5013" refreshError="1"/>
      <sheetData sheetId="5014">
        <row r="1">
          <cell r="A1" t="str">
            <v>PHIẾU XỬ LÝ HỒ SƠ THANH TOÁN VƯỢT THẨM QUYỀN PD</v>
          </cell>
        </row>
      </sheetData>
      <sheetData sheetId="5015" refreshError="1"/>
      <sheetData sheetId="5016">
        <row r="1">
          <cell r="A1" t="str">
            <v>PHIẾU XỬ LÝ HỒ SƠ THANH TOÁN VƯỢT THẨM QUYỀN PD</v>
          </cell>
        </row>
      </sheetData>
      <sheetData sheetId="5017" refreshError="1"/>
      <sheetData sheetId="5018" refreshError="1"/>
      <sheetData sheetId="5019" refreshError="1"/>
      <sheetData sheetId="5020" refreshError="1"/>
      <sheetData sheetId="5021" refreshError="1"/>
      <sheetData sheetId="5022" refreshError="1"/>
      <sheetData sheetId="5023" refreshError="1"/>
      <sheetData sheetId="5024" refreshError="1"/>
      <sheetData sheetId="5025"/>
      <sheetData sheetId="5026"/>
      <sheetData sheetId="5027" refreshError="1"/>
      <sheetData sheetId="5028" refreshError="1"/>
      <sheetData sheetId="5029" refreshError="1"/>
      <sheetData sheetId="5030" refreshError="1"/>
      <sheetData sheetId="5031" refreshError="1"/>
      <sheetData sheetId="5032" refreshError="1"/>
      <sheetData sheetId="5033" refreshError="1"/>
      <sheetData sheetId="5034" refreshError="1"/>
      <sheetData sheetId="5035" refreshError="1"/>
      <sheetData sheetId="5036" refreshError="1"/>
      <sheetData sheetId="5037" refreshError="1"/>
      <sheetData sheetId="5038" refreshError="1"/>
      <sheetData sheetId="5039" refreshError="1"/>
      <sheetData sheetId="5040" refreshError="1"/>
      <sheetData sheetId="5041">
        <row r="1">
          <cell r="A1" t="str">
            <v>PHIẾU XỬ LÝ HỒ SƠ THANH TOÁN VƯỢT THẨM QUYỀN PD</v>
          </cell>
        </row>
      </sheetData>
      <sheetData sheetId="5042" refreshError="1"/>
      <sheetData sheetId="5043" refreshError="1"/>
      <sheetData sheetId="5044" refreshError="1"/>
      <sheetData sheetId="5045" refreshError="1"/>
      <sheetData sheetId="5046" refreshError="1"/>
      <sheetData sheetId="5047" refreshError="1"/>
      <sheetData sheetId="5048" refreshError="1"/>
      <sheetData sheetId="5049" refreshError="1"/>
      <sheetData sheetId="5050" refreshError="1"/>
      <sheetData sheetId="5051" refreshError="1"/>
      <sheetData sheetId="5052" refreshError="1"/>
      <sheetData sheetId="5053" refreshError="1"/>
      <sheetData sheetId="5054" refreshError="1"/>
      <sheetData sheetId="5055">
        <row r="1">
          <cell r="A1" t="str">
            <v>PHIẾU XỬ LÝ HỒ SƠ THANH TOÁN VƯỢT THẨM QUYỀN PD</v>
          </cell>
        </row>
      </sheetData>
      <sheetData sheetId="5056">
        <row r="1">
          <cell r="A1" t="str">
            <v>PHIẾU XỬ LÝ HỒ SƠ THANH TOÁN VƯỢT THẨM QUYỀN PD</v>
          </cell>
        </row>
      </sheetData>
      <sheetData sheetId="5057">
        <row r="1">
          <cell r="A1" t="str">
            <v>PHIẾU XỬ LÝ HỒ SƠ THANH TOÁN VƯỢT THẨM QUYỀN PD</v>
          </cell>
        </row>
      </sheetData>
      <sheetData sheetId="5058">
        <row r="1">
          <cell r="A1" t="str">
            <v>PHIẾU XỬ LÝ HỒ SƠ THANH TOÁN VƯỢT THẨM QUYỀN PD</v>
          </cell>
        </row>
      </sheetData>
      <sheetData sheetId="5059" refreshError="1"/>
      <sheetData sheetId="5060" refreshError="1"/>
      <sheetData sheetId="5061" refreshError="1"/>
      <sheetData sheetId="5062" refreshError="1"/>
      <sheetData sheetId="5063" refreshError="1"/>
      <sheetData sheetId="5064">
        <row r="1">
          <cell r="A1" t="str">
            <v>PHIẾU XỬ LÝ HỒ SƠ THANH TOÁN VƯỢT THẨM QUYỀN PD</v>
          </cell>
        </row>
      </sheetData>
      <sheetData sheetId="5065"/>
      <sheetData sheetId="5066"/>
      <sheetData sheetId="5067" refreshError="1"/>
      <sheetData sheetId="5068" refreshError="1"/>
      <sheetData sheetId="5069" refreshError="1"/>
      <sheetData sheetId="5070" refreshError="1"/>
      <sheetData sheetId="5071" refreshError="1"/>
      <sheetData sheetId="5072" refreshError="1"/>
      <sheetData sheetId="5073" refreshError="1"/>
      <sheetData sheetId="5074" refreshError="1"/>
      <sheetData sheetId="5075" refreshError="1"/>
      <sheetData sheetId="5076" refreshError="1"/>
      <sheetData sheetId="5077" refreshError="1"/>
      <sheetData sheetId="5078" refreshError="1"/>
      <sheetData sheetId="5079" refreshError="1"/>
      <sheetData sheetId="5080" refreshError="1"/>
      <sheetData sheetId="5081" refreshError="1"/>
      <sheetData sheetId="5082" refreshError="1"/>
      <sheetData sheetId="5083" refreshError="1"/>
      <sheetData sheetId="5084" refreshError="1"/>
      <sheetData sheetId="5085" refreshError="1"/>
      <sheetData sheetId="5086" refreshError="1"/>
      <sheetData sheetId="5087" refreshError="1"/>
      <sheetData sheetId="5088" refreshError="1"/>
      <sheetData sheetId="5089" refreshError="1"/>
      <sheetData sheetId="5090" refreshError="1"/>
      <sheetData sheetId="5091" refreshError="1"/>
      <sheetData sheetId="5092" refreshError="1"/>
      <sheetData sheetId="5093" refreshError="1"/>
      <sheetData sheetId="5094" refreshError="1"/>
      <sheetData sheetId="5095" refreshError="1"/>
      <sheetData sheetId="5096" refreshError="1"/>
      <sheetData sheetId="5097" refreshError="1"/>
      <sheetData sheetId="5098" refreshError="1"/>
      <sheetData sheetId="5099" refreshError="1"/>
      <sheetData sheetId="5100" refreshError="1"/>
      <sheetData sheetId="5101" refreshError="1"/>
      <sheetData sheetId="5102" refreshError="1"/>
      <sheetData sheetId="5103" refreshError="1"/>
      <sheetData sheetId="5104" refreshError="1"/>
      <sheetData sheetId="5105" refreshError="1"/>
      <sheetData sheetId="5106" refreshError="1"/>
      <sheetData sheetId="5107" refreshError="1"/>
      <sheetData sheetId="5108" refreshError="1"/>
      <sheetData sheetId="5109" refreshError="1"/>
      <sheetData sheetId="5110" refreshError="1"/>
      <sheetData sheetId="5111" refreshError="1"/>
      <sheetData sheetId="5112" refreshError="1"/>
      <sheetData sheetId="5113" refreshError="1"/>
      <sheetData sheetId="5114" refreshError="1"/>
      <sheetData sheetId="5115" refreshError="1"/>
      <sheetData sheetId="5116" refreshError="1"/>
      <sheetData sheetId="5117" refreshError="1"/>
      <sheetData sheetId="5118" refreshError="1"/>
      <sheetData sheetId="5119" refreshError="1"/>
      <sheetData sheetId="5120" refreshError="1"/>
      <sheetData sheetId="5121">
        <row r="1">
          <cell r="A1" t="str">
            <v>PHIẾU XỬ LÝ HỒ SƠ THANH TOÁN VƯỢT THẨM QUYỀN PD</v>
          </cell>
        </row>
      </sheetData>
      <sheetData sheetId="5122">
        <row r="1">
          <cell r="A1" t="str">
            <v>PHIẾU XỬ LÝ HỒ SƠ THANH TOÁN VƯỢT THẨM QUYỀN PD</v>
          </cell>
        </row>
      </sheetData>
      <sheetData sheetId="5123">
        <row r="1">
          <cell r="A1" t="str">
            <v>PHIẾU XỬ LÝ HỒ SƠ THANH TOÁN VƯỢT THẨM QUYỀN PD</v>
          </cell>
        </row>
      </sheetData>
      <sheetData sheetId="5124" refreshError="1"/>
      <sheetData sheetId="5125" refreshError="1"/>
      <sheetData sheetId="5126" refreshError="1"/>
      <sheetData sheetId="5127" refreshError="1"/>
      <sheetData sheetId="5128" refreshError="1"/>
      <sheetData sheetId="5129" refreshError="1"/>
      <sheetData sheetId="5130" refreshError="1"/>
      <sheetData sheetId="5131" refreshError="1"/>
      <sheetData sheetId="5132" refreshError="1"/>
      <sheetData sheetId="5133" refreshError="1"/>
      <sheetData sheetId="5134" refreshError="1"/>
      <sheetData sheetId="5135" refreshError="1"/>
      <sheetData sheetId="5136" refreshError="1"/>
      <sheetData sheetId="5137" refreshError="1"/>
      <sheetData sheetId="5138" refreshError="1"/>
      <sheetData sheetId="5139"/>
      <sheetData sheetId="5140"/>
      <sheetData sheetId="5141"/>
      <sheetData sheetId="5142"/>
      <sheetData sheetId="5143"/>
      <sheetData sheetId="5144"/>
      <sheetData sheetId="5145"/>
      <sheetData sheetId="5146"/>
      <sheetData sheetId="5147"/>
      <sheetData sheetId="5148"/>
      <sheetData sheetId="5149"/>
      <sheetData sheetId="5150"/>
      <sheetData sheetId="5151"/>
      <sheetData sheetId="5152"/>
      <sheetData sheetId="5153"/>
      <sheetData sheetId="5154"/>
      <sheetData sheetId="5155"/>
      <sheetData sheetId="5156"/>
      <sheetData sheetId="5157"/>
      <sheetData sheetId="5158"/>
      <sheetData sheetId="5159"/>
      <sheetData sheetId="5160"/>
      <sheetData sheetId="5161"/>
      <sheetData sheetId="5162"/>
      <sheetData sheetId="5163"/>
      <sheetData sheetId="5164"/>
      <sheetData sheetId="5165"/>
      <sheetData sheetId="5166"/>
      <sheetData sheetId="5167"/>
      <sheetData sheetId="5168"/>
      <sheetData sheetId="5169"/>
      <sheetData sheetId="5170"/>
      <sheetData sheetId="5171"/>
      <sheetData sheetId="5172"/>
      <sheetData sheetId="5173"/>
      <sheetData sheetId="5174"/>
      <sheetData sheetId="5175"/>
      <sheetData sheetId="5176"/>
      <sheetData sheetId="5177"/>
      <sheetData sheetId="5178"/>
      <sheetData sheetId="5179"/>
      <sheetData sheetId="5180"/>
      <sheetData sheetId="5181"/>
      <sheetData sheetId="5182"/>
      <sheetData sheetId="5183"/>
      <sheetData sheetId="5184"/>
      <sheetData sheetId="5185"/>
      <sheetData sheetId="5186"/>
      <sheetData sheetId="5187"/>
      <sheetData sheetId="5188"/>
      <sheetData sheetId="5189"/>
      <sheetData sheetId="5190"/>
      <sheetData sheetId="5191"/>
      <sheetData sheetId="5192"/>
      <sheetData sheetId="5193"/>
      <sheetData sheetId="5194"/>
      <sheetData sheetId="5195"/>
      <sheetData sheetId="5196"/>
      <sheetData sheetId="5197"/>
      <sheetData sheetId="5198"/>
      <sheetData sheetId="5199"/>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sheetData sheetId="5333"/>
      <sheetData sheetId="5334"/>
      <sheetData sheetId="5335"/>
      <sheetData sheetId="5336"/>
      <sheetData sheetId="5337"/>
      <sheetData sheetId="5338"/>
      <sheetData sheetId="5339"/>
      <sheetData sheetId="5340"/>
      <sheetData sheetId="5341"/>
      <sheetData sheetId="5342"/>
      <sheetData sheetId="5343"/>
      <sheetData sheetId="5344"/>
      <sheetData sheetId="5345"/>
      <sheetData sheetId="5346"/>
      <sheetData sheetId="5347"/>
      <sheetData sheetId="5348"/>
      <sheetData sheetId="5349"/>
      <sheetData sheetId="5350"/>
      <sheetData sheetId="5351"/>
      <sheetData sheetId="5352"/>
      <sheetData sheetId="5353"/>
      <sheetData sheetId="5354"/>
      <sheetData sheetId="5355"/>
      <sheetData sheetId="5356"/>
      <sheetData sheetId="5357"/>
      <sheetData sheetId="5358"/>
      <sheetData sheetId="5359"/>
      <sheetData sheetId="5360"/>
      <sheetData sheetId="5361"/>
      <sheetData sheetId="5362"/>
      <sheetData sheetId="5363"/>
      <sheetData sheetId="5364"/>
      <sheetData sheetId="5365"/>
      <sheetData sheetId="5366"/>
      <sheetData sheetId="5367"/>
      <sheetData sheetId="5368"/>
      <sheetData sheetId="5369"/>
      <sheetData sheetId="5370"/>
      <sheetData sheetId="5371"/>
      <sheetData sheetId="5372"/>
      <sheetData sheetId="5373"/>
      <sheetData sheetId="5374"/>
      <sheetData sheetId="5375"/>
      <sheetData sheetId="5376"/>
      <sheetData sheetId="5377"/>
      <sheetData sheetId="5378"/>
      <sheetData sheetId="5379"/>
      <sheetData sheetId="5380"/>
      <sheetData sheetId="5381"/>
      <sheetData sheetId="5382"/>
      <sheetData sheetId="5383"/>
      <sheetData sheetId="5384"/>
      <sheetData sheetId="5385"/>
      <sheetData sheetId="5386"/>
      <sheetData sheetId="5387"/>
      <sheetData sheetId="5388"/>
      <sheetData sheetId="5389"/>
      <sheetData sheetId="5390"/>
      <sheetData sheetId="5391"/>
      <sheetData sheetId="5392"/>
      <sheetData sheetId="5393"/>
      <sheetData sheetId="5394"/>
      <sheetData sheetId="5395"/>
      <sheetData sheetId="5396"/>
      <sheetData sheetId="5397"/>
      <sheetData sheetId="5398"/>
      <sheetData sheetId="5399"/>
      <sheetData sheetId="5400"/>
      <sheetData sheetId="5401"/>
      <sheetData sheetId="5402"/>
      <sheetData sheetId="5403"/>
      <sheetData sheetId="5404"/>
      <sheetData sheetId="5405"/>
      <sheetData sheetId="5406"/>
      <sheetData sheetId="5407"/>
      <sheetData sheetId="5408"/>
      <sheetData sheetId="5409"/>
      <sheetData sheetId="5410"/>
      <sheetData sheetId="5411"/>
      <sheetData sheetId="5412"/>
      <sheetData sheetId="5413"/>
      <sheetData sheetId="5414"/>
      <sheetData sheetId="5415"/>
      <sheetData sheetId="5416"/>
      <sheetData sheetId="5417"/>
      <sheetData sheetId="5418"/>
      <sheetData sheetId="5419"/>
      <sheetData sheetId="5420"/>
      <sheetData sheetId="5421"/>
      <sheetData sheetId="5422"/>
      <sheetData sheetId="5423" refreshError="1"/>
      <sheetData sheetId="5424" refreshError="1"/>
      <sheetData sheetId="5425" refreshError="1"/>
      <sheetData sheetId="5426" refreshError="1"/>
      <sheetData sheetId="5427" refreshError="1"/>
      <sheetData sheetId="5428" refreshError="1"/>
      <sheetData sheetId="5429" refreshError="1"/>
      <sheetData sheetId="5430" refreshError="1"/>
      <sheetData sheetId="5431" refreshError="1"/>
      <sheetData sheetId="5432" refreshError="1"/>
      <sheetData sheetId="5433" refreshError="1"/>
      <sheetData sheetId="5434" refreshError="1"/>
      <sheetData sheetId="5435" refreshError="1"/>
      <sheetData sheetId="5436" refreshError="1"/>
      <sheetData sheetId="5437" refreshError="1"/>
      <sheetData sheetId="5438" refreshError="1"/>
      <sheetData sheetId="5439" refreshError="1"/>
      <sheetData sheetId="5440" refreshError="1"/>
      <sheetData sheetId="5441" refreshError="1"/>
      <sheetData sheetId="5442" refreshError="1"/>
      <sheetData sheetId="5443" refreshError="1"/>
      <sheetData sheetId="5444" refreshError="1"/>
      <sheetData sheetId="5445" refreshError="1"/>
      <sheetData sheetId="5446" refreshError="1"/>
      <sheetData sheetId="5447" refreshError="1"/>
      <sheetData sheetId="5448" refreshError="1"/>
      <sheetData sheetId="5449" refreshError="1"/>
      <sheetData sheetId="5450" refreshError="1"/>
      <sheetData sheetId="5451" refreshError="1"/>
      <sheetData sheetId="5452" refreshError="1"/>
      <sheetData sheetId="5453" refreshError="1"/>
      <sheetData sheetId="5454" refreshError="1"/>
      <sheetData sheetId="5455" refreshError="1"/>
      <sheetData sheetId="5456" refreshError="1"/>
      <sheetData sheetId="5457" refreshError="1"/>
      <sheetData sheetId="5458" refreshError="1"/>
      <sheetData sheetId="5459" refreshError="1"/>
      <sheetData sheetId="5460" refreshError="1"/>
      <sheetData sheetId="5461" refreshError="1"/>
      <sheetData sheetId="5462" refreshError="1"/>
      <sheetData sheetId="5463" refreshError="1"/>
      <sheetData sheetId="5464" refreshError="1"/>
      <sheetData sheetId="5465" refreshError="1"/>
      <sheetData sheetId="5466" refreshError="1"/>
      <sheetData sheetId="5467" refreshError="1"/>
      <sheetData sheetId="5468" refreshError="1"/>
      <sheetData sheetId="5469" refreshError="1"/>
      <sheetData sheetId="5470" refreshError="1"/>
      <sheetData sheetId="5471" refreshError="1"/>
      <sheetData sheetId="5472" refreshError="1"/>
      <sheetData sheetId="5473" refreshError="1"/>
      <sheetData sheetId="5474" refreshError="1"/>
      <sheetData sheetId="5475" refreshError="1"/>
      <sheetData sheetId="5476" refreshError="1"/>
      <sheetData sheetId="5477" refreshError="1"/>
      <sheetData sheetId="5478" refreshError="1"/>
      <sheetData sheetId="5479" refreshError="1"/>
      <sheetData sheetId="5480" refreshError="1"/>
      <sheetData sheetId="5481" refreshError="1"/>
      <sheetData sheetId="5482" refreshError="1"/>
      <sheetData sheetId="5483" refreshError="1"/>
      <sheetData sheetId="5484" refreshError="1"/>
      <sheetData sheetId="5485" refreshError="1"/>
      <sheetData sheetId="5486" refreshError="1"/>
      <sheetData sheetId="5487" refreshError="1"/>
      <sheetData sheetId="5488" refreshError="1"/>
      <sheetData sheetId="5489" refreshError="1"/>
      <sheetData sheetId="5490" refreshError="1"/>
      <sheetData sheetId="5491" refreshError="1"/>
      <sheetData sheetId="5492" refreshError="1"/>
      <sheetData sheetId="5493" refreshError="1"/>
      <sheetData sheetId="5494" refreshError="1"/>
      <sheetData sheetId="5495" refreshError="1"/>
      <sheetData sheetId="5496" refreshError="1"/>
      <sheetData sheetId="5497" refreshError="1"/>
      <sheetData sheetId="5498" refreshError="1"/>
      <sheetData sheetId="5499" refreshError="1"/>
      <sheetData sheetId="5500" refreshError="1"/>
      <sheetData sheetId="5501" refreshError="1"/>
      <sheetData sheetId="5502" refreshError="1"/>
      <sheetData sheetId="5503" refreshError="1"/>
      <sheetData sheetId="5504" refreshError="1"/>
      <sheetData sheetId="5505" refreshError="1"/>
      <sheetData sheetId="5506" refreshError="1"/>
      <sheetData sheetId="5507" refreshError="1"/>
      <sheetData sheetId="5508" refreshError="1"/>
      <sheetData sheetId="5509" refreshError="1"/>
      <sheetData sheetId="5510" refreshError="1"/>
      <sheetData sheetId="5511" refreshError="1"/>
      <sheetData sheetId="5512" refreshError="1"/>
      <sheetData sheetId="5513" refreshError="1"/>
      <sheetData sheetId="5514" refreshError="1"/>
      <sheetData sheetId="5515" refreshError="1"/>
      <sheetData sheetId="5516">
        <row r="1">
          <cell r="A1" t="str">
            <v>PHIẾU XỬ LÝ HỒ SƠ THANH TOÁN VƯỢT THẨM QUYỀN PD</v>
          </cell>
        </row>
      </sheetData>
      <sheetData sheetId="5517" refreshError="1"/>
      <sheetData sheetId="5518" refreshError="1"/>
      <sheetData sheetId="5519" refreshError="1"/>
      <sheetData sheetId="5520" refreshError="1"/>
      <sheetData sheetId="5521" refreshError="1"/>
      <sheetData sheetId="5522">
        <row r="1">
          <cell r="A1" t="str">
            <v>PHIẾU XỬ LÝ HỒ SƠ THANH TOÁN VƯỢT THẨM QUYỀN PD</v>
          </cell>
        </row>
      </sheetData>
      <sheetData sheetId="5523" refreshError="1"/>
      <sheetData sheetId="5524" refreshError="1"/>
      <sheetData sheetId="5525" refreshError="1"/>
      <sheetData sheetId="5526" refreshError="1"/>
      <sheetData sheetId="5527" refreshError="1"/>
      <sheetData sheetId="5528" refreshError="1"/>
      <sheetData sheetId="5529" refreshError="1"/>
      <sheetData sheetId="5530" refreshError="1"/>
      <sheetData sheetId="5531" refreshError="1"/>
      <sheetData sheetId="5532" refreshError="1"/>
      <sheetData sheetId="5533" refreshError="1"/>
      <sheetData sheetId="5534" refreshError="1"/>
      <sheetData sheetId="5535" refreshError="1"/>
      <sheetData sheetId="5536" refreshError="1"/>
      <sheetData sheetId="5537" refreshError="1"/>
      <sheetData sheetId="5538" refreshError="1"/>
      <sheetData sheetId="5539" refreshError="1"/>
      <sheetData sheetId="5540" refreshError="1"/>
      <sheetData sheetId="5541" refreshError="1"/>
      <sheetData sheetId="5542" refreshError="1"/>
      <sheetData sheetId="5543" refreshError="1"/>
      <sheetData sheetId="5544" refreshError="1"/>
      <sheetData sheetId="5545" refreshError="1"/>
      <sheetData sheetId="5546" refreshError="1"/>
      <sheetData sheetId="5547" refreshError="1"/>
      <sheetData sheetId="5548">
        <row r="1">
          <cell r="A1" t="str">
            <v>PHIẾU XỬ LÝ HỒ SƠ THANH TOÁN VƯỢT THẨM QUYỀN PD</v>
          </cell>
        </row>
      </sheetData>
      <sheetData sheetId="5549">
        <row r="1">
          <cell r="A1" t="str">
            <v>PHIẾU XỬ LÝ HỒ SƠ THANH TOÁN VƯỢT THẨM QUYỀN PD</v>
          </cell>
        </row>
      </sheetData>
      <sheetData sheetId="5550">
        <row r="1">
          <cell r="A1" t="str">
            <v>PHIẾU XỬ LÝ HỒ SƠ THANH TOÁN VƯỢT THẨM QUYỀN PD</v>
          </cell>
        </row>
      </sheetData>
      <sheetData sheetId="5551">
        <row r="1">
          <cell r="A1" t="str">
            <v>PHIẾU XỬ LÝ HỒ SƠ THANH TOÁN VƯỢT THẨM QUYỀN PD</v>
          </cell>
        </row>
      </sheetData>
      <sheetData sheetId="5552">
        <row r="1">
          <cell r="A1" t="str">
            <v>PHIẾU XỬ LÝ HỒ SƠ THANH TOÁN VƯỢT THẨM QUYỀN PD</v>
          </cell>
        </row>
      </sheetData>
      <sheetData sheetId="5553">
        <row r="1">
          <cell r="A1" t="str">
            <v>PHIẾU XỬ LÝ HỒ SƠ THANH TOÁN VƯỢT THẨM QUYỀN PD</v>
          </cell>
        </row>
      </sheetData>
      <sheetData sheetId="5554">
        <row r="1">
          <cell r="A1" t="str">
            <v>PHIẾU XỬ LÝ HỒ SƠ THANH TOÁN VƯỢT THẨM QUYỀN PD</v>
          </cell>
        </row>
      </sheetData>
      <sheetData sheetId="5555">
        <row r="1">
          <cell r="A1" t="str">
            <v>PHIẾU XỬ LÝ HỒ SƠ THANH TOÁN VƯỢT THẨM QUYỀN PD</v>
          </cell>
        </row>
      </sheetData>
      <sheetData sheetId="5556">
        <row r="1">
          <cell r="A1" t="str">
            <v>PHIẾU XỬ LÝ HỒ SƠ THANH TOÁN VƯỢT THẨM QUYỀN PD</v>
          </cell>
        </row>
      </sheetData>
      <sheetData sheetId="5557">
        <row r="1">
          <cell r="A1" t="str">
            <v>PHIẾU XỬ LÝ HỒ SƠ THANH TOÁN VƯỢT THẨM QUYỀN PD</v>
          </cell>
        </row>
      </sheetData>
      <sheetData sheetId="5558">
        <row r="1">
          <cell r="A1" t="str">
            <v>PHIẾU XỬ LÝ HỒ SƠ THANH TOÁN VƯỢT THẨM QUYỀN PD</v>
          </cell>
        </row>
      </sheetData>
      <sheetData sheetId="5559">
        <row r="1">
          <cell r="A1" t="str">
            <v>PHIẾU XỬ LÝ HỒ SƠ THANH TOÁN VƯỢT THẨM QUYỀN PD</v>
          </cell>
        </row>
      </sheetData>
      <sheetData sheetId="5560">
        <row r="1">
          <cell r="A1" t="str">
            <v>PHIẾU XỬ LÝ HỒ SƠ THANH TOÁN VƯỢT THẨM QUYỀN PD</v>
          </cell>
        </row>
      </sheetData>
      <sheetData sheetId="5561">
        <row r="1">
          <cell r="A1" t="str">
            <v>PHIẾU XỬ LÝ HỒ SƠ THANH TOÁN VƯỢT THẨM QUYỀN PD</v>
          </cell>
        </row>
      </sheetData>
      <sheetData sheetId="5562">
        <row r="1">
          <cell r="A1" t="str">
            <v>PHIẾU XỬ LÝ HỒ SƠ THANH TOÁN VƯỢT THẨM QUYỀN PD</v>
          </cell>
        </row>
      </sheetData>
      <sheetData sheetId="5563">
        <row r="1">
          <cell r="A1" t="str">
            <v>PHIẾU XỬ LÝ HỒ SƠ THANH TOÁN VƯỢT THẨM QUYỀN PD</v>
          </cell>
        </row>
      </sheetData>
      <sheetData sheetId="5564">
        <row r="1">
          <cell r="A1" t="str">
            <v>PHIẾU XỬ LÝ HỒ SƠ THANH TOÁN VƯỢT THẨM QUYỀN PD</v>
          </cell>
        </row>
      </sheetData>
      <sheetData sheetId="5565" refreshError="1"/>
      <sheetData sheetId="5566" refreshError="1"/>
      <sheetData sheetId="5567">
        <row r="1">
          <cell r="A1" t="str">
            <v>PHIẾU XỬ LÝ HỒ SƠ THANH TOÁN VƯỢT THẨM QUYỀN PD</v>
          </cell>
        </row>
      </sheetData>
      <sheetData sheetId="5568">
        <row r="1">
          <cell r="A1" t="str">
            <v>PHIẾU XỬ LÝ HỒ SƠ THANH TOÁN VƯỢT THẨM QUYỀN PD</v>
          </cell>
        </row>
      </sheetData>
      <sheetData sheetId="5569" refreshError="1"/>
      <sheetData sheetId="5570" refreshError="1"/>
      <sheetData sheetId="5571" refreshError="1"/>
      <sheetData sheetId="5572" refreshError="1"/>
      <sheetData sheetId="5573" refreshError="1"/>
      <sheetData sheetId="5574" refreshError="1"/>
      <sheetData sheetId="5575">
        <row r="1">
          <cell r="A1" t="str">
            <v>PHIẾU XỬ LÝ HỒ SƠ THANH TOÁN VƯỢT THẨM QUYỀN PD</v>
          </cell>
        </row>
      </sheetData>
      <sheetData sheetId="5576">
        <row r="1">
          <cell r="A1" t="str">
            <v>PHIẾU XỬ LÝ HỒ SƠ THANH TOÁN VƯỢT THẨM QUYỀN PD</v>
          </cell>
        </row>
      </sheetData>
      <sheetData sheetId="5577">
        <row r="1">
          <cell r="A1" t="str">
            <v>PHIẾU XỬ LÝ HỒ SƠ THANH TOÁN VƯỢT THẨM QUYỀN PD</v>
          </cell>
        </row>
      </sheetData>
      <sheetData sheetId="5578" refreshError="1"/>
      <sheetData sheetId="5579" refreshError="1"/>
      <sheetData sheetId="5580">
        <row r="1">
          <cell r="A1" t="str">
            <v>PHIẾU XỬ LÝ HỒ SƠ THANH TOÁN VƯỢT THẨM QUYỀN PD</v>
          </cell>
        </row>
      </sheetData>
      <sheetData sheetId="5581">
        <row r="1">
          <cell r="A1" t="str">
            <v>PHIẾU XỬ LÝ HỒ SƠ THANH TOÁN VƯỢT THẨM QUYỀN PD</v>
          </cell>
        </row>
      </sheetData>
      <sheetData sheetId="5582">
        <row r="1">
          <cell r="A1" t="str">
            <v>PHIẾU XỬ LÝ HỒ SƠ THANH TOÁN VƯỢT THẨM QUYỀN PD</v>
          </cell>
        </row>
      </sheetData>
      <sheetData sheetId="5583">
        <row r="1">
          <cell r="A1" t="str">
            <v>PHIẾU XỬ LÝ HỒ SƠ THANH TOÁN VƯỢT THẨM QUYỀN PD</v>
          </cell>
        </row>
      </sheetData>
      <sheetData sheetId="5584">
        <row r="1">
          <cell r="A1" t="str">
            <v>PHIẾU XỬ LÝ HỒ SƠ THANH TOÁN VƯỢT THẨM QUYỀN PD</v>
          </cell>
        </row>
      </sheetData>
      <sheetData sheetId="5585">
        <row r="1">
          <cell r="A1" t="str">
            <v>PHIẾU XỬ LÝ HỒ SƠ THANH TOÁN VƯỢT THẨM QUYỀN PD</v>
          </cell>
        </row>
      </sheetData>
      <sheetData sheetId="5586">
        <row r="1">
          <cell r="A1" t="str">
            <v>PHIẾU XỬ LÝ HỒ SƠ THANH TOÁN VƯỢT THẨM QUYỀN PD</v>
          </cell>
        </row>
      </sheetData>
      <sheetData sheetId="5587">
        <row r="1">
          <cell r="A1" t="str">
            <v>PHIẾU XỬ LÝ HỒ SƠ THANH TOÁN VƯỢT THẨM QUYỀN PD</v>
          </cell>
        </row>
      </sheetData>
      <sheetData sheetId="5588">
        <row r="1">
          <cell r="A1" t="str">
            <v>PHIẾU XỬ LÝ HỒ SƠ THANH TOÁN VƯỢT THẨM QUYỀN PD</v>
          </cell>
        </row>
      </sheetData>
      <sheetData sheetId="5589">
        <row r="1">
          <cell r="A1" t="str">
            <v>PHIẾU XỬ LÝ HỒ SƠ THANH TOÁN VƯỢT THẨM QUYỀN PD</v>
          </cell>
        </row>
      </sheetData>
      <sheetData sheetId="5590" refreshError="1"/>
      <sheetData sheetId="5591">
        <row r="1">
          <cell r="A1" t="str">
            <v>PHIẾU XỬ LÝ HỒ SƠ THANH TOÁN VƯỢT THẨM QUYỀN PD</v>
          </cell>
        </row>
      </sheetData>
      <sheetData sheetId="5592" refreshError="1"/>
      <sheetData sheetId="5593">
        <row r="1">
          <cell r="A1" t="str">
            <v>PHIẾU XỬ LÝ HỒ SƠ THANH TOÁN VƯỢT THẨM QUYỀN PD</v>
          </cell>
        </row>
      </sheetData>
      <sheetData sheetId="5594" refreshError="1"/>
      <sheetData sheetId="5595" refreshError="1"/>
      <sheetData sheetId="5596" refreshError="1"/>
      <sheetData sheetId="5597" refreshError="1"/>
      <sheetData sheetId="5598" refreshError="1"/>
      <sheetData sheetId="5599" refreshError="1"/>
      <sheetData sheetId="5600" refreshError="1"/>
      <sheetData sheetId="5601" refreshError="1"/>
      <sheetData sheetId="5602" refreshError="1"/>
      <sheetData sheetId="5603" refreshError="1"/>
      <sheetData sheetId="5604" refreshError="1"/>
      <sheetData sheetId="5605" refreshError="1"/>
      <sheetData sheetId="5606" refreshError="1"/>
      <sheetData sheetId="5607" refreshError="1"/>
      <sheetData sheetId="5608" refreshError="1"/>
      <sheetData sheetId="5609" refreshError="1"/>
      <sheetData sheetId="5610" refreshError="1"/>
      <sheetData sheetId="5611" refreshError="1"/>
      <sheetData sheetId="5612" refreshError="1"/>
      <sheetData sheetId="5613" refreshError="1"/>
      <sheetData sheetId="5614" refreshError="1"/>
      <sheetData sheetId="5615" refreshError="1"/>
      <sheetData sheetId="5616" refreshError="1"/>
      <sheetData sheetId="5617" refreshError="1"/>
      <sheetData sheetId="5618" refreshError="1"/>
      <sheetData sheetId="5619" refreshError="1"/>
      <sheetData sheetId="5620" refreshError="1"/>
      <sheetData sheetId="5621" refreshError="1"/>
      <sheetData sheetId="5622" refreshError="1"/>
      <sheetData sheetId="5623">
        <row r="1">
          <cell r="A1" t="str">
            <v>PHIẾU XỬ LÝ HỒ SƠ THANH TOÁN VƯỢT THẨM QUYỀN PD</v>
          </cell>
        </row>
      </sheetData>
      <sheetData sheetId="5624">
        <row r="1">
          <cell r="A1" t="str">
            <v>PHIẾU XỬ LÝ HỒ SƠ THANH TOÁN VƯỢT THẨM QUYỀN PD</v>
          </cell>
        </row>
      </sheetData>
      <sheetData sheetId="5625" refreshError="1"/>
      <sheetData sheetId="5626" refreshError="1"/>
      <sheetData sheetId="5627" refreshError="1"/>
      <sheetData sheetId="5628" refreshError="1"/>
      <sheetData sheetId="5629" refreshError="1"/>
      <sheetData sheetId="5630" refreshError="1"/>
      <sheetData sheetId="5631" refreshError="1"/>
      <sheetData sheetId="5632" refreshError="1"/>
      <sheetData sheetId="5633" refreshError="1"/>
      <sheetData sheetId="5634" refreshError="1"/>
      <sheetData sheetId="5635" refreshError="1"/>
      <sheetData sheetId="5636" refreshError="1"/>
      <sheetData sheetId="5637" refreshError="1"/>
      <sheetData sheetId="5638" refreshError="1"/>
      <sheetData sheetId="5639" refreshError="1"/>
      <sheetData sheetId="5640" refreshError="1"/>
      <sheetData sheetId="5641" refreshError="1"/>
      <sheetData sheetId="5642" refreshError="1"/>
      <sheetData sheetId="5643" refreshError="1"/>
      <sheetData sheetId="5644" refreshError="1"/>
      <sheetData sheetId="5645" refreshError="1"/>
      <sheetData sheetId="5646" refreshError="1"/>
      <sheetData sheetId="5647" refreshError="1"/>
      <sheetData sheetId="5648" refreshError="1"/>
      <sheetData sheetId="5649" refreshError="1"/>
      <sheetData sheetId="5650" refreshError="1"/>
      <sheetData sheetId="5651" refreshError="1"/>
      <sheetData sheetId="5652" refreshError="1"/>
      <sheetData sheetId="5653" refreshError="1"/>
      <sheetData sheetId="5654" refreshError="1"/>
      <sheetData sheetId="5655" refreshError="1"/>
      <sheetData sheetId="5656" refreshError="1"/>
      <sheetData sheetId="5657" refreshError="1"/>
      <sheetData sheetId="5658" refreshError="1"/>
      <sheetData sheetId="5659" refreshError="1"/>
      <sheetData sheetId="5660" refreshError="1"/>
      <sheetData sheetId="5661" refreshError="1"/>
      <sheetData sheetId="5662" refreshError="1"/>
      <sheetData sheetId="5663" refreshError="1"/>
      <sheetData sheetId="5664" refreshError="1"/>
      <sheetData sheetId="5665" refreshError="1"/>
      <sheetData sheetId="5666" refreshError="1"/>
      <sheetData sheetId="5667" refreshError="1"/>
      <sheetData sheetId="5668" refreshError="1"/>
      <sheetData sheetId="5669" refreshError="1"/>
      <sheetData sheetId="5670" refreshError="1"/>
      <sheetData sheetId="5671" refreshError="1"/>
      <sheetData sheetId="5672" refreshError="1"/>
      <sheetData sheetId="5673" refreshError="1"/>
      <sheetData sheetId="5674" refreshError="1"/>
      <sheetData sheetId="5675" refreshError="1"/>
      <sheetData sheetId="5676" refreshError="1"/>
      <sheetData sheetId="5677" refreshError="1"/>
      <sheetData sheetId="5678" refreshError="1"/>
      <sheetData sheetId="5679" refreshError="1"/>
      <sheetData sheetId="5680" refreshError="1"/>
      <sheetData sheetId="5681" refreshError="1"/>
      <sheetData sheetId="5682" refreshError="1"/>
      <sheetData sheetId="5683" refreshError="1"/>
      <sheetData sheetId="5684" refreshError="1"/>
      <sheetData sheetId="5685" refreshError="1"/>
      <sheetData sheetId="5686" refreshError="1"/>
      <sheetData sheetId="5687" refreshError="1"/>
      <sheetData sheetId="5688" refreshError="1"/>
      <sheetData sheetId="5689" refreshError="1"/>
      <sheetData sheetId="5690" refreshError="1"/>
      <sheetData sheetId="5691" refreshError="1"/>
      <sheetData sheetId="5692" refreshError="1"/>
      <sheetData sheetId="5693" refreshError="1"/>
      <sheetData sheetId="5694" refreshError="1"/>
      <sheetData sheetId="5695" refreshError="1"/>
      <sheetData sheetId="5696" refreshError="1"/>
      <sheetData sheetId="5697" refreshError="1"/>
      <sheetData sheetId="5698" refreshError="1"/>
      <sheetData sheetId="5699" refreshError="1"/>
      <sheetData sheetId="5700" refreshError="1"/>
      <sheetData sheetId="5701" refreshError="1"/>
      <sheetData sheetId="5702" refreshError="1"/>
      <sheetData sheetId="5703" refreshError="1"/>
      <sheetData sheetId="5704" refreshError="1"/>
      <sheetData sheetId="5705" refreshError="1"/>
      <sheetData sheetId="5706" refreshError="1"/>
      <sheetData sheetId="5707" refreshError="1"/>
      <sheetData sheetId="5708" refreshError="1"/>
      <sheetData sheetId="5709" refreshError="1"/>
      <sheetData sheetId="5710" refreshError="1"/>
      <sheetData sheetId="5711" refreshError="1"/>
      <sheetData sheetId="5712" refreshError="1"/>
      <sheetData sheetId="5713" refreshError="1"/>
      <sheetData sheetId="5714" refreshError="1"/>
      <sheetData sheetId="5715" refreshError="1"/>
      <sheetData sheetId="5716" refreshError="1"/>
      <sheetData sheetId="5717" refreshError="1"/>
      <sheetData sheetId="5718" refreshError="1"/>
      <sheetData sheetId="5719" refreshError="1"/>
      <sheetData sheetId="5720" refreshError="1"/>
      <sheetData sheetId="5721" refreshError="1"/>
      <sheetData sheetId="5722" refreshError="1"/>
      <sheetData sheetId="5723" refreshError="1"/>
      <sheetData sheetId="5724" refreshError="1"/>
      <sheetData sheetId="5725" refreshError="1"/>
      <sheetData sheetId="5726" refreshError="1"/>
      <sheetData sheetId="5727" refreshError="1"/>
      <sheetData sheetId="5728" refreshError="1"/>
      <sheetData sheetId="5729" refreshError="1"/>
      <sheetData sheetId="5730" refreshError="1"/>
      <sheetData sheetId="5731" refreshError="1"/>
      <sheetData sheetId="5732" refreshError="1"/>
      <sheetData sheetId="5733" refreshError="1"/>
      <sheetData sheetId="5734" refreshError="1"/>
      <sheetData sheetId="5735" refreshError="1"/>
      <sheetData sheetId="5736" refreshError="1"/>
      <sheetData sheetId="5737" refreshError="1"/>
      <sheetData sheetId="5738" refreshError="1"/>
      <sheetData sheetId="5739" refreshError="1"/>
      <sheetData sheetId="5740" refreshError="1"/>
      <sheetData sheetId="5741" refreshError="1"/>
      <sheetData sheetId="5742" refreshError="1"/>
      <sheetData sheetId="5743" refreshError="1"/>
      <sheetData sheetId="5744" refreshError="1"/>
      <sheetData sheetId="5745" refreshError="1"/>
      <sheetData sheetId="5746" refreshError="1"/>
      <sheetData sheetId="5747" refreshError="1"/>
      <sheetData sheetId="5748" refreshError="1"/>
      <sheetData sheetId="5749" refreshError="1"/>
      <sheetData sheetId="5750" refreshError="1"/>
      <sheetData sheetId="5751" refreshError="1"/>
      <sheetData sheetId="5752" refreshError="1"/>
      <sheetData sheetId="5753" refreshError="1"/>
      <sheetData sheetId="5754" refreshError="1"/>
      <sheetData sheetId="5755" refreshError="1"/>
      <sheetData sheetId="5756" refreshError="1"/>
      <sheetData sheetId="5757" refreshError="1"/>
      <sheetData sheetId="5758" refreshError="1"/>
      <sheetData sheetId="5759" refreshError="1"/>
      <sheetData sheetId="5760" refreshError="1"/>
      <sheetData sheetId="5761" refreshError="1"/>
      <sheetData sheetId="5762" refreshError="1"/>
      <sheetData sheetId="5763" refreshError="1"/>
      <sheetData sheetId="5764" refreshError="1"/>
      <sheetData sheetId="5765" refreshError="1"/>
      <sheetData sheetId="5766" refreshError="1"/>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refreshError="1"/>
      <sheetData sheetId="5786" refreshError="1"/>
      <sheetData sheetId="5787" refreshError="1"/>
      <sheetData sheetId="5788" refreshError="1"/>
      <sheetData sheetId="5789" refreshError="1"/>
      <sheetData sheetId="5790" refreshError="1"/>
      <sheetData sheetId="5791" refreshError="1"/>
      <sheetData sheetId="5792" refreshError="1"/>
      <sheetData sheetId="5793" refreshError="1"/>
      <sheetData sheetId="5794" refreshError="1"/>
      <sheetData sheetId="5795" refreshError="1"/>
      <sheetData sheetId="5796" refreshError="1"/>
      <sheetData sheetId="5797" refreshError="1"/>
      <sheetData sheetId="5798" refreshError="1"/>
      <sheetData sheetId="5799" refreshError="1"/>
    </sheetDataSet>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품의서"/>
      <sheetName val="총괄표"/>
      <sheetName val="건축집계표"/>
      <sheetName val="건축"/>
      <sheetName val="토목"/>
      <sheetName val="조경"/>
      <sheetName val="경비내역"/>
      <sheetName val="경비"/>
      <sheetName val="기본입력화면"/>
      <sheetName val="환경복리예비"/>
      <sheetName val="매입세"/>
      <sheetName val="조적"/>
      <sheetName val="석"/>
      <sheetName val="방수"/>
      <sheetName val="타일"/>
      <sheetName val="미장"/>
      <sheetName val="일위대가표"/>
      <sheetName val="지질조사"/>
      <sheetName val="안산5차실행1129"/>
      <sheetName val="가격조사서"/>
      <sheetName val="공통,경비내역"/>
      <sheetName val="골조시행"/>
      <sheetName val="출자한도"/>
      <sheetName val="일위대가"/>
      <sheetName val="설계예산2"/>
      <sheetName val="예상"/>
      <sheetName val="금액내역서"/>
      <sheetName val="FB25JN"/>
      <sheetName val="연도별손익계산"/>
      <sheetName val="월별cash flow"/>
      <sheetName val="월별자금회수"/>
      <sheetName val="월별금융비용"/>
      <sheetName val="월별경비집행"/>
      <sheetName val="청산공사"/>
      <sheetName val="sort"/>
      <sheetName val="1.설계조건"/>
      <sheetName val="BOJUNGGM"/>
      <sheetName val="시운전(지역냉방)"/>
      <sheetName val="시운전연료비"/>
      <sheetName val="공사잡비"/>
      <sheetName val="내역"/>
      <sheetName val="찍기"/>
      <sheetName val="Sheet1"/>
      <sheetName val="업무처리전"/>
      <sheetName val="기본정보 입력"/>
      <sheetName val="단가DATA"/>
      <sheetName val="밀양1호신설기초"/>
      <sheetName val="BQ"/>
      <sheetName val="조명시설"/>
      <sheetName val="표준건축비"/>
    </sheetNames>
    <sheetDataSet>
      <sheetData sheetId="0" refreshError="1"/>
      <sheetData sheetId="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sheetData sheetId="12"/>
      <sheetData sheetId="13"/>
      <sheetData sheetId="14"/>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Set>
  </externalBook>
</externalLink>
</file>

<file path=xl/externalLinks/externalLink1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목표세부명세"/>
      <sheetName val="은행"/>
      <sheetName val="양식"/>
      <sheetName val="총괄"/>
      <sheetName val="가리봉pro"/>
      <sheetName val="복합pro"/>
      <sheetName val="연립pro"/>
      <sheetName val="부산1pro"/>
      <sheetName val="경상집계"/>
      <sheetName val="경상총괄"/>
      <sheetName val="수지총괄"/>
      <sheetName val="수지집계"/>
      <sheetName val="양도손익"/>
      <sheetName val="양도손익총괄"/>
      <sheetName val="양도수지집계"/>
      <sheetName val="양도수지총괄"/>
      <sheetName val="부산2pro"/>
      <sheetName val="석관pro"/>
      <sheetName val="수원pro"/>
      <sheetName val="은행pro"/>
      <sheetName val="잠원PRO"/>
      <sheetName val="홍은pro"/>
      <sheetName val="원주pro"/>
      <sheetName val="이천pro"/>
      <sheetName val="창현pro"/>
      <sheetName val="춘천pro"/>
      <sheetName val="오남2차pro"/>
      <sheetName val="창신PRO"/>
      <sheetName val="서곡PRO"/>
      <sheetName val="연성pro"/>
      <sheetName val="팔달pro"/>
      <sheetName val="병점PRO"/>
      <sheetName val="잠원"/>
      <sheetName val="가리봉동"/>
      <sheetName val="석관"/>
      <sheetName val="홍은"/>
      <sheetName val="이천"/>
      <sheetName val="부산"/>
      <sheetName val="부산2"/>
      <sheetName val="창현"/>
      <sheetName val="수원"/>
      <sheetName val="자금추정"/>
      <sheetName val="콘도손익"/>
      <sheetName val="장림"/>
      <sheetName val="장림전제"/>
      <sheetName val="Sheet2"/>
      <sheetName val="Sheet3"/>
      <sheetName val="공문"/>
      <sheetName val="VXXX"/>
      <sheetName val="VXXXXX"/>
      <sheetName val="II손익관리"/>
      <sheetName val="1.종합손익(도급)"/>
      <sheetName val="1.종합손익(주택,개발)"/>
      <sheetName val="2.실행예산"/>
      <sheetName val="2.2과부족"/>
      <sheetName val="2.3원가절감"/>
      <sheetName val="8.외주비집행현황"/>
      <sheetName val="9.자재비"/>
      <sheetName val="10.현장집행"/>
      <sheetName val="3.추가원가"/>
      <sheetName val="3.추가원가 (2)"/>
      <sheetName val="4.사전공사"/>
      <sheetName val="5.추정공사비"/>
      <sheetName val="6.금융비용"/>
      <sheetName val="7.공사비집행현황(총괄)"/>
      <sheetName val="11.1생산성"/>
      <sheetName val="인력대비(정직)"/>
      <sheetName val="11.2인원산출"/>
      <sheetName val="Sheet18"/>
      <sheetName val="Sheet19"/>
      <sheetName val="Sheet20"/>
      <sheetName val="Sheet21"/>
      <sheetName val="Sheet22"/>
      <sheetName val="Sheet23"/>
      <sheetName val="Sheet24"/>
      <sheetName val="Sheet25"/>
      <sheetName val="Sheet26"/>
      <sheetName val="Sheet27"/>
      <sheetName val="Sheet28"/>
      <sheetName val="Sheet29"/>
      <sheetName val="Sheet30"/>
      <sheetName val="Sheet31"/>
      <sheetName val="Sheet32"/>
      <sheetName val="Sheet33"/>
      <sheetName val="Sheet34"/>
      <sheetName val="Sheet35"/>
      <sheetName val="Sheet36"/>
      <sheetName val="Sheet37"/>
      <sheetName val="Sheet38"/>
      <sheetName val="Sheet39"/>
      <sheetName val="Sheet40"/>
      <sheetName val="입찰안"/>
      <sheetName val="시멘트"/>
      <sheetName val="첨부1"/>
      <sheetName val="노임이"/>
      <sheetName val="공통가설"/>
      <sheetName val="간접"/>
      <sheetName val="집계표"/>
      <sheetName val="수입"/>
      <sheetName val="손익"/>
      <sheetName val="현금흐름"/>
      <sheetName val="A4288"/>
      <sheetName val="SG"/>
      <sheetName val="수정시산표"/>
      <sheetName val="주택"/>
      <sheetName val="주택(백만원)"/>
      <sheetName val="신공항A-9(원가수정)"/>
      <sheetName val="KUNGDEVI"/>
      <sheetName val="손익분석"/>
      <sheetName val="자바라1"/>
      <sheetName val="관로내역원"/>
      <sheetName val="SUMMARY"/>
      <sheetName val="PAINT"/>
      <sheetName val="그래프"/>
      <sheetName val="GDP"/>
      <sheetName val="손익기01"/>
      <sheetName val="5Traffic1"/>
      <sheetName val="부문인원3"/>
      <sheetName val="C-A(취합)파리"/>
      <sheetName val="금액내역서"/>
      <sheetName val="CTEMCOST"/>
      <sheetName val="ELECTRIC"/>
      <sheetName val="Sheet1"/>
      <sheetName val="동선(을)"/>
      <sheetName val="실행철강하도"/>
      <sheetName val="COL"/>
      <sheetName val="공사개요"/>
      <sheetName val="설계내역서"/>
      <sheetName val="원가계산서"/>
      <sheetName val="전계가"/>
      <sheetName val="인사자료총집계"/>
      <sheetName val="실행내역"/>
      <sheetName val="내역"/>
      <sheetName val="예가표"/>
      <sheetName val="SCHEDULE"/>
      <sheetName val="현장관리비"/>
      <sheetName val="감독1130"/>
      <sheetName val="금융"/>
      <sheetName val="결재인"/>
      <sheetName val="CC Down load 0716"/>
      <sheetName val="화물2팀"/>
      <sheetName val="변경실행(2차) "/>
      <sheetName val="bm(CIcable)"/>
      <sheetName val="외주수리비"/>
      <sheetName val="계류장사용료"/>
      <sheetName val="정비재료비"/>
      <sheetName val="지상조업료"/>
      <sheetName val="AT"/>
      <sheetName val="B777"/>
      <sheetName val="신공항"/>
      <sheetName val="JJ"/>
      <sheetName val="잡유비"/>
      <sheetName val="MA"/>
      <sheetName val="MC"/>
      <sheetName val="ME"/>
      <sheetName val="MF"/>
      <sheetName val="MI"/>
      <sheetName val="MT"/>
      <sheetName val="QA"/>
      <sheetName val="01"/>
      <sheetName val="단가"/>
      <sheetName val="APT"/>
      <sheetName val="공사비집계"/>
      <sheetName val="나.출고"/>
      <sheetName val="나.입고"/>
      <sheetName val="8월차잔"/>
      <sheetName val="유동성사채"/>
      <sheetName val="3계정별(고속)"/>
      <sheetName val="고속"/>
      <sheetName val="고속목표"/>
      <sheetName val="09년인건비(고속)"/>
      <sheetName val="3계정별(자동주유기)"/>
      <sheetName val="자동주유기"/>
      <sheetName val="자동주유목표"/>
      <sheetName val="고속합산"/>
      <sheetName val="고속합산목표"/>
      <sheetName val="3계정별(속리산)"/>
      <sheetName val="속리산"/>
      <sheetName val="속리산목표"/>
      <sheetName val="09년 인건비(속리산)"/>
      <sheetName val="고속속리산"/>
      <sheetName val="고속속리산목표"/>
      <sheetName val="직행"/>
      <sheetName val="직행목표"/>
      <sheetName val="합산"/>
      <sheetName val="합산목표"/>
      <sheetName val="속리산제외"/>
      <sheetName val="속리산제외목표"/>
      <sheetName val="09년월별예산(운송)"/>
      <sheetName val="합산목표(감가+57.5)"/>
      <sheetName val="6PILE  (돌출)"/>
      <sheetName val="기본DATA"/>
      <sheetName val="산근"/>
      <sheetName val="여흥"/>
      <sheetName val="호프"/>
      <sheetName val="b_balju (2)"/>
      <sheetName val="b_gunmul"/>
      <sheetName val="  한국 AMP ASP-23 판매가격  "/>
      <sheetName val="원가(통신)"/>
      <sheetName val="일위대가표"/>
      <sheetName val="유림골조"/>
      <sheetName val="TR제작사양"/>
      <sheetName val="DATA"/>
      <sheetName val="실적공사"/>
      <sheetName val="JUCKEYK"/>
      <sheetName val="공통비총괄표"/>
      <sheetName val="노무비"/>
      <sheetName val="#REF"/>
      <sheetName val="기성청구 공문"/>
      <sheetName val="IW-LIST"/>
      <sheetName val="내역서"/>
      <sheetName val="2연암거"/>
      <sheetName val="경사수로집계표"/>
      <sheetName val="경사수로"/>
      <sheetName val="진입교량"/>
      <sheetName val="기계경비(시간당)"/>
      <sheetName val="램머"/>
      <sheetName val="노임단가"/>
      <sheetName val="982월원안"/>
      <sheetName val="ABUT수량-A1"/>
      <sheetName val="갑지(추정)"/>
      <sheetName val="견적의뢰"/>
      <sheetName val="중기조종사 단위단가"/>
      <sheetName val="감가상각"/>
      <sheetName val="업무처리전"/>
      <sheetName val="방배동내역(리라)"/>
      <sheetName val="화의-현금흐름"/>
      <sheetName val="Variables"/>
      <sheetName val="woo(mac)"/>
      <sheetName val="제조원가 원단위 분석"/>
      <sheetName val="종합표양식(품의 &amp; 입고)_2"/>
      <sheetName val="상각스케쥴(조정)"/>
      <sheetName val="요약"/>
      <sheetName val="총괄내역서"/>
      <sheetName val="금융비용"/>
      <sheetName val="원가관리 (동월대비)"/>
      <sheetName val="물량표"/>
      <sheetName val="Calen"/>
      <sheetName val="37개월"/>
      <sheetName val="Sheet13"/>
      <sheetName val="Sheet14"/>
      <sheetName val="A-4"/>
      <sheetName val="45,46"/>
      <sheetName val="익월수주전망"/>
      <sheetName val="980731"/>
      <sheetName val="광곡세부내역"/>
      <sheetName val="S&amp;R"/>
      <sheetName val="시산표(매출조정전)"/>
      <sheetName val="93"/>
      <sheetName val="예정(3)"/>
      <sheetName val="동원(3)"/>
      <sheetName val="토목검측서"/>
      <sheetName val="2-2.매출분석"/>
      <sheetName val="RECIMAKE"/>
      <sheetName val="A-100전제"/>
      <sheetName val="몰드시스템 리스트"/>
      <sheetName val="정비손익"/>
      <sheetName val="200"/>
      <sheetName val="MIJIBI"/>
      <sheetName val="장기대여금1"/>
      <sheetName val="Total"/>
      <sheetName val="조명시설"/>
      <sheetName val="SIL98"/>
      <sheetName val="재료"/>
      <sheetName val="MIBK원단위"/>
      <sheetName val="Proposal"/>
      <sheetName val="주형"/>
      <sheetName val="sum1 (2)"/>
      <sheetName val="적격"/>
      <sheetName val="Borrower"/>
      <sheetName val="7 (2)"/>
      <sheetName val="역T형"/>
      <sheetName val="수주현황2월"/>
      <sheetName val="중요02월25일"/>
      <sheetName val="정산표"/>
      <sheetName val="월말명세0912"/>
      <sheetName val="11.외화채무증권(AFS,HTM)08"/>
      <sheetName val="Hedge09"/>
      <sheetName val="13.감액TEST_08"/>
      <sheetName val="해외채권"/>
      <sheetName val="BS09"/>
      <sheetName val="단가추이"/>
      <sheetName val="경유량추이"/>
      <sheetName val="입찰내역서"/>
      <sheetName val="단가산출"/>
      <sheetName val="공통부대관리"/>
      <sheetName val="표지"/>
      <sheetName val="설비원가"/>
      <sheetName val="추가예산"/>
      <sheetName val="점수계산1-2"/>
      <sheetName val="일위대가"/>
      <sheetName val="대비표"/>
      <sheetName val="골조시행"/>
      <sheetName val="SM1-09"/>
      <sheetName val="SM2-09"/>
      <sheetName val="BD-09"/>
      <sheetName val="CAUDIT"/>
      <sheetName val="개발비자산성검토"/>
      <sheetName val="단가표"/>
      <sheetName val="총내역서"/>
      <sheetName val="세부내역서"/>
      <sheetName val="설계명세서"/>
      <sheetName val="전신환매도율"/>
      <sheetName val="경비"/>
      <sheetName val="Sheet1 (2)"/>
      <sheetName val="인원계획-미화"/>
      <sheetName val="Prices"/>
      <sheetName val="ADR"/>
      <sheetName val="A"/>
      <sheetName val="Training"/>
      <sheetName val="Facility Information"/>
      <sheetName val="General"/>
      <sheetName val="Instructions"/>
      <sheetName val="People"/>
      <sheetName val="Quality"/>
      <sheetName val="Risk"/>
      <sheetName val="주차"/>
      <sheetName val="SO416"/>
      <sheetName val="가공MH"/>
      <sheetName val="08년(Form1)"/>
      <sheetName val="손익현황"/>
      <sheetName val="현황CODE"/>
      <sheetName val="지점장"/>
      <sheetName val="부서코드표"/>
      <sheetName val="1_종합손익(도급)"/>
      <sheetName val="1_종합손익(주택,개발)"/>
      <sheetName val="2_실행예산"/>
      <sheetName val="2_2과부족"/>
      <sheetName val="2_3원가절감"/>
      <sheetName val="8_외주비집행현황"/>
      <sheetName val="9_자재비"/>
      <sheetName val="10_현장집행"/>
      <sheetName val="3_추가원가"/>
      <sheetName val="3_추가원가_(2)"/>
      <sheetName val="4_사전공사"/>
      <sheetName val="5_추정공사비"/>
      <sheetName val="6_금융비용"/>
      <sheetName val="7_공사비집행현황(총괄)"/>
      <sheetName val="11_1생산성"/>
      <sheetName val="11_2인원산출"/>
      <sheetName val="XZLC004_PART2"/>
      <sheetName val="XZLC003_PART1"/>
      <sheetName val="월별수입"/>
      <sheetName val="차수"/>
      <sheetName val="담보"/>
      <sheetName val="1유리"/>
      <sheetName val="예적금"/>
      <sheetName val="월별손익"/>
      <sheetName val="매출"/>
      <sheetName val="비가동-20"/>
      <sheetName val="완제품3"/>
      <sheetName val="영동(D)"/>
      <sheetName val="슬래브"/>
      <sheetName val="참조"/>
      <sheetName val="미드수량"/>
      <sheetName val="DATE"/>
      <sheetName val="입찰보고"/>
      <sheetName val="조경"/>
      <sheetName val="12년 CF(9월)"/>
      <sheetName val="LinerWt"/>
      <sheetName val="D-623D"/>
      <sheetName val="BQMPALOC"/>
      <sheetName val="현장지지물물량"/>
      <sheetName val="물량표(신)"/>
      <sheetName val="대공종"/>
      <sheetName val="3.바닥판설계"/>
      <sheetName val="산출근거"/>
      <sheetName val="일위(토목)"/>
      <sheetName val="품셈TABLE"/>
      <sheetName val="집행내역"/>
      <sheetName val="RE9604"/>
      <sheetName val="평가제외"/>
      <sheetName val="2.총괄표"/>
      <sheetName val="품셈표"/>
      <sheetName val="갑근세납세필증명원"/>
      <sheetName val="국내총괄"/>
      <sheetName val="특판제외"/>
      <sheetName val="건축공사실행"/>
      <sheetName val="건축원가"/>
      <sheetName val="5사남"/>
      <sheetName val="020114"/>
      <sheetName val="0111월"/>
      <sheetName val="表21 净利润调节表"/>
      <sheetName val="주현(해보)"/>
      <sheetName val="주현(영광)"/>
      <sheetName val="_x0018__x0000_"/>
      <sheetName val=""/>
      <sheetName val="입출재고현황 (2)"/>
      <sheetName val="97년추정손익계산서"/>
      <sheetName val="업무연락"/>
      <sheetName val="Ethylene"/>
      <sheetName val="월별매출"/>
      <sheetName val="ChlorAlkali"/>
      <sheetName val="VXXXXXXX"/>
      <sheetName val="13월별BS"/>
      <sheetName val="양식3"/>
      <sheetName val="하수급견적대비"/>
      <sheetName val="재고현황"/>
      <sheetName val="발행제기"/>
      <sheetName val="2.대외공문"/>
      <sheetName val="퇴충"/>
      <sheetName val="요약PL"/>
      <sheetName val="원가계산하도"/>
      <sheetName val="적용건축"/>
      <sheetName val="FAB"/>
      <sheetName val="수지"/>
      <sheetName val="BEST"/>
      <sheetName val="TRE TABLE"/>
      <sheetName val="C3"/>
      <sheetName val="slipsumpR"/>
      <sheetName val="입찰내역 발주처 양식"/>
      <sheetName val="자금추ȕ"/>
      <sheetName val="05년말(건재)"/>
      <sheetName val="참조시트"/>
      <sheetName val="통장출금액"/>
      <sheetName val="실적"/>
      <sheetName val="카메라"/>
      <sheetName val="CC_Down_load_0716"/>
      <sheetName val="변경실행(2차)_"/>
      <sheetName val="나_출고"/>
      <sheetName val="나_입고"/>
      <sheetName val="09년_인건비(속리산)"/>
      <sheetName val="합산목표(감가+57_5)"/>
      <sheetName val="기성청구_공문"/>
      <sheetName val="부하계산서"/>
      <sheetName val="자재단가"/>
      <sheetName val="504전기실 동부하-L"/>
      <sheetName val="Sheet15"/>
      <sheetName val="Sheet9"/>
      <sheetName val="DUT-BAT1"/>
      <sheetName val="BAND(200)"/>
      <sheetName val="OUTER AREA(겹침없음)"/>
      <sheetName val="EG-09"/>
      <sheetName val="M3산출"/>
      <sheetName val="EL 표면적"/>
      <sheetName val="양식(직판용)"/>
      <sheetName val="감가상각비"/>
      <sheetName val="部署名"/>
      <sheetName val="車両別燃費及び油類単価"/>
      <sheetName val="1_종합손익(도급)1"/>
      <sheetName val="推移グラフ"/>
      <sheetName val="Year"/>
      <sheetName val="조정내역"/>
      <sheetName val="CF6"/>
      <sheetName val="Cover"/>
      <sheetName val="목차"/>
      <sheetName val="기본원칙"/>
      <sheetName val="예산전제"/>
      <sheetName val="전사 PL"/>
      <sheetName val="자금 제외 PL"/>
      <sheetName val="자금 PL"/>
      <sheetName val="전사 BS"/>
      <sheetName val="자금 제외 BS"/>
      <sheetName val="자금 BS"/>
      <sheetName val="BS 계정 설명"/>
      <sheetName val=" Cash Flow(전사)"/>
      <sheetName val=" Cash Flow(자금제외)"/>
      <sheetName val=" Cash Flow(자금)"/>
      <sheetName val="ROIC "/>
      <sheetName val="인력계획"/>
      <sheetName val="인건비 명세"/>
      <sheetName val="판관비 명세"/>
      <sheetName val="배부판관비내역"/>
      <sheetName val="OH Cost경비(내역)"/>
      <sheetName val="OH Cost경비(배부기준)"/>
      <sheetName val="기타수지&amp;특별손익 명세"/>
      <sheetName val="전사공통손익"/>
      <sheetName val="투자성경비"/>
      <sheetName val="자금계획(장단기차입금)"/>
      <sheetName val="자금계획(순지급이자)"/>
      <sheetName val="투자계획"/>
      <sheetName val="고정자산증감내역"/>
      <sheetName val="조직도"/>
      <sheetName val="9710"/>
      <sheetName val="물량"/>
      <sheetName val="노임"/>
      <sheetName val="전사_PL"/>
      <sheetName val="자금_제외_PL"/>
      <sheetName val="자금_PL"/>
      <sheetName val="전사_BS"/>
      <sheetName val="자금_제외_BS"/>
      <sheetName val="자금_BS"/>
      <sheetName val="BS_계정_설명"/>
      <sheetName val="_Cash_Flow(전사)"/>
      <sheetName val="_Cash_Flow(자금제외)"/>
      <sheetName val="_Cash_Flow(자금)"/>
      <sheetName val="ROIC_"/>
      <sheetName val="인건비_명세"/>
      <sheetName val="판관비_명세"/>
      <sheetName val="OH_Cost경비(내역)"/>
      <sheetName val="OH_Cost경비(배부기준)"/>
      <sheetName val="기타수지&amp;특별손익_명세"/>
      <sheetName val="01_02월_성과급"/>
      <sheetName val="Process List"/>
      <sheetName val="설비등록목록"/>
      <sheetName val="생산직"/>
      <sheetName val="집계확인"/>
      <sheetName val="선수금"/>
      <sheetName val="Sheet11"/>
      <sheetName val="PVM#10"/>
      <sheetName val="재공품"/>
      <sheetName val="제시 손익계산서"/>
      <sheetName val="제시PL(최종)"/>
      <sheetName val="업무연락 (2)"/>
      <sheetName val="제시대차대조표"/>
      <sheetName val="M_7회차 담금_계획"/>
      <sheetName val="통합손익(TGIF)"/>
      <sheetName val="통합손익"/>
      <sheetName val="저속"/>
      <sheetName val="01.02월 성과급"/>
      <sheetName val="발생집계"/>
      <sheetName val="96PAYC"/>
      <sheetName val="뒤차축소"/>
      <sheetName val="09~10년 매출계획"/>
      <sheetName val="??"/>
      <sheetName val="97 사업추정(WEKI)"/>
      <sheetName val="Sound9월"/>
      <sheetName val="_x005f_x0000__x005f_x0000_"/>
      <sheetName val="96월별PL"/>
      <sheetName val="팀별 실적"/>
      <sheetName val="팀별 실적 (환산)"/>
      <sheetName val="손익(11)_수출포함"/>
      <sheetName val="예산대실적"/>
      <sheetName val="품종별월계"/>
      <sheetName val="출입자명단"/>
      <sheetName val="989월실행"/>
      <sheetName val="환산TB"/>
      <sheetName val="6월 공정외주"/>
      <sheetName val="공정단가계약"/>
      <sheetName val="병"/>
      <sheetName val="건축내역"/>
      <sheetName val="실행간접비용"/>
      <sheetName val="단가(반정3교-원주)"/>
      <sheetName val="64061000"/>
      <sheetName val="钢板差异"/>
      <sheetName val="시험연구비상각"/>
      <sheetName val="외화"/>
      <sheetName val="Tong hop"/>
      <sheetName val="MarketData"/>
      <sheetName val="Definitions"/>
      <sheetName val="95.1.1이후취득자산(숨기기상태)"/>
      <sheetName val="RV미수수익보정"/>
      <sheetName val="불균등-거치외(미수)"/>
      <sheetName val="불균등-TOP(선수)"/>
      <sheetName val="법인구분"/>
      <sheetName val="기초코드"/>
      <sheetName val="1.MDF1공장"/>
      <sheetName val="회사정보"/>
      <sheetName val="제1호"/>
      <sheetName val="차액보증"/>
      <sheetName val="KAM설비"/>
      <sheetName val="물량표S"/>
      <sheetName val="2.주요계수총괄"/>
      <sheetName val="INPUT"/>
      <sheetName val="원가서"/>
      <sheetName val="P.M 별"/>
      <sheetName val="FRQ"/>
      <sheetName val="기준"/>
      <sheetName val="Sheet4"/>
      <sheetName val="주행"/>
      <sheetName val="1_종합손익(도급)2"/>
      <sheetName val="1_종합손익(주택,개발)1"/>
      <sheetName val="2_실행예산1"/>
      <sheetName val="2_2과부족1"/>
      <sheetName val="2_3원가절감1"/>
      <sheetName val="8_외주비집행현황1"/>
      <sheetName val="9_자재비1"/>
      <sheetName val="10_현장집행1"/>
      <sheetName val="3_추가원가1"/>
      <sheetName val="3_추가원가_(2)1"/>
      <sheetName val="4_사전공사1"/>
      <sheetName val="5_추정공사비1"/>
      <sheetName val="6_금융비용1"/>
      <sheetName val="7_공사비집행현황(총괄)1"/>
      <sheetName val="11_1생산성1"/>
      <sheetName val="11_2인원산출1"/>
      <sheetName val="변경실행(2차)_1"/>
      <sheetName val="CC_Down_load_07161"/>
      <sheetName val="나_출고1"/>
      <sheetName val="나_입고1"/>
      <sheetName val="__한국_AMP_ASP-23_판매가격__"/>
      <sheetName val="09년_인건비(속리산)1"/>
      <sheetName val="합산목표(감가+57_5)1"/>
      <sheetName val="제조원가_원단위_분석"/>
      <sheetName val="종합표양식(품의_&amp;_입고)_2"/>
      <sheetName val="원가관리_(동월대비)"/>
      <sheetName val="b_balju_(2)"/>
      <sheetName val="2-2_매출분석"/>
      <sheetName val="몰드시스템_리스트"/>
      <sheetName val="11_외화채무증권(AFS,HTM)08"/>
      <sheetName val="13_감액TEST_08"/>
      <sheetName val="7_(2)"/>
      <sheetName val="12년_CF(9월)"/>
      <sheetName val="중기조종사_단위단가"/>
      <sheetName val="6PILE__(돌출)"/>
      <sheetName val="기성청구_공문1"/>
      <sheetName val="Sheet1_(2)"/>
      <sheetName val="2_대외공문"/>
      <sheetName val="表21_净利润调节表"/>
      <sheetName val="sum1_(2)"/>
      <sheetName val="3_바닥판설계"/>
      <sheetName val="504전기실_동부하-L"/>
      <sheetName val="2_총괄표"/>
      <sheetName val="OUTER_AREA(겹침없음)"/>
      <sheetName val="EL_표면적"/>
      <sheetName val="근거 및 가정"/>
      <sheetName val="2 카드채권(대출포함)"/>
      <sheetName val="Data Validation"/>
      <sheetName val="시산표"/>
      <sheetName val="목록"/>
      <sheetName val="중기"/>
      <sheetName val="연돌일위집계"/>
      <sheetName val="월별예산"/>
      <sheetName val="자금운용계획표"/>
      <sheetName val="0001new"/>
      <sheetName val="CC16-내역서"/>
      <sheetName val="부대공"/>
      <sheetName val="cp-e1"/>
      <sheetName val="Y-WORK"/>
      <sheetName val="신공"/>
      <sheetName val="변동인원"/>
      <sheetName val="기초"/>
      <sheetName val="재무상태표"/>
      <sheetName val="1_종합손익(도급)3"/>
      <sheetName val="1_종합손익(주택,개발)2"/>
      <sheetName val="2_실행예산2"/>
      <sheetName val="2_2과부족2"/>
      <sheetName val="2_3원가절감2"/>
      <sheetName val="8_외주비집행현황2"/>
      <sheetName val="9_자재비2"/>
      <sheetName val="10_현장집행2"/>
      <sheetName val="3_추가원가2"/>
      <sheetName val="3_추가원가_(2)2"/>
      <sheetName val="4_사전공사2"/>
      <sheetName val="5_추정공사비2"/>
      <sheetName val="6_금융비용2"/>
      <sheetName val="7_공사비집행현황(총괄)2"/>
      <sheetName val="11_1생산성2"/>
      <sheetName val="11_2인원산출2"/>
      <sheetName val="변경실행(2차)_2"/>
      <sheetName val="CC_Down_load_07162"/>
      <sheetName val="나_출고2"/>
      <sheetName val="나_입고2"/>
      <sheetName val="09년_인건비(속리산)2"/>
      <sheetName val="합산목표(감가+57_5)2"/>
      <sheetName val="__한국_AMP_ASP-23_판매가격__1"/>
      <sheetName val="제조원가_원단위_분석1"/>
      <sheetName val="종합표양식(품의_&amp;_입고)_21"/>
      <sheetName val="원가관리_(동월대비)1"/>
      <sheetName val="b_balju_(2)1"/>
      <sheetName val="2-2_매출분석1"/>
      <sheetName val="몰드시스템_리스트1"/>
      <sheetName val="11_외화채무증권(AFS,HTM)081"/>
      <sheetName val="13_감액TEST_081"/>
      <sheetName val="7_(2)1"/>
      <sheetName val="12년_CF(9월)1"/>
      <sheetName val="중기조종사_단위단가1"/>
      <sheetName val="6PILE__(돌출)1"/>
      <sheetName val="기성청구_공문2"/>
      <sheetName val="Sheet1_(2)1"/>
      <sheetName val="2_대외공문1"/>
      <sheetName val="表21_净利润调节表1"/>
      <sheetName val="sum1_(2)1"/>
      <sheetName val="3_바닥판설계1"/>
      <sheetName val="504전기실_동부하-L1"/>
      <sheetName val="2_총괄표1"/>
      <sheetName val="OUTER_AREA(겹침없음)1"/>
      <sheetName val="EL_표면적1"/>
      <sheetName val="P_M_별"/>
      <sheetName val="대구경북"/>
      <sheetName val="월별손익현황"/>
      <sheetName val="서울서부"/>
      <sheetName val="부산경남"/>
      <sheetName val="서울동부"/>
      <sheetName val="인천경기"/>
      <sheetName val="중부본부"/>
      <sheetName val="호남본부"/>
      <sheetName val="15년"/>
      <sheetName val="16년"/>
      <sheetName val="118.세금과공과"/>
      <sheetName val="수선비"/>
      <sheetName val="교각계산"/>
      <sheetName val="공통비(전체)"/>
      <sheetName val="토목공사"/>
      <sheetName val="새공통(96임금인상기준)"/>
      <sheetName val="비교1"/>
      <sheetName val="유림총괄"/>
      <sheetName val="PIPE"/>
      <sheetName val="FLANGE"/>
      <sheetName val="VALVE"/>
      <sheetName val="단면 (2)"/>
      <sheetName val="GAEYO"/>
      <sheetName val="내역표지"/>
      <sheetName val="현금"/>
      <sheetName val="찍기"/>
      <sheetName val="단가일람"/>
      <sheetName val="단위량당중기"/>
      <sheetName val="수량집계표(舊)"/>
      <sheetName val="정부노임단가"/>
      <sheetName val="Project Brief"/>
      <sheetName val="한강운반비"/>
      <sheetName val="동절기투입(자재)"/>
      <sheetName val="공사비증감"/>
      <sheetName val="부속동"/>
      <sheetName val="MEMORY"/>
      <sheetName val="原価センタ"/>
      <sheetName val="전도품의"/>
      <sheetName val="철골공사"/>
      <sheetName val="구성비"/>
      <sheetName val="YES-T"/>
      <sheetName val="터파기및재료"/>
      <sheetName val="직재"/>
      <sheetName val="PAD TR보호대기초"/>
      <sheetName val="HANDHOLE(2)"/>
      <sheetName val="가로등기초"/>
      <sheetName val="음료실행"/>
      <sheetName val="BOX-1510"/>
      <sheetName val="경비2내역"/>
      <sheetName val="Utility Usage YTN TOWER"/>
      <sheetName val="sheet6"/>
      <sheetName val="Facility_Information"/>
      <sheetName val="0101시산표"/>
      <sheetName val="oct"/>
      <sheetName val="sep"/>
      <sheetName val="미지급금"/>
      <sheetName val="선급금"/>
      <sheetName val="aug"/>
      <sheetName val="단기차입금"/>
      <sheetName val="외화보통예금"/>
      <sheetName val="외회외상매입금"/>
      <sheetName val="외화외상매출금"/>
      <sheetName val="장기차입금"/>
      <sheetName val="일위대가(계측기설치)"/>
      <sheetName val="공사비예산서(토목분)"/>
      <sheetName val="공정"/>
      <sheetName val=" 견적서"/>
      <sheetName val="상가지급현황"/>
      <sheetName val="수량산출"/>
      <sheetName val="22철거수량"/>
      <sheetName val="배수공"/>
      <sheetName val="일위(PN)"/>
      <sheetName val="개산공사비"/>
      <sheetName val="1.본사계정별"/>
      <sheetName val="FB25JN"/>
      <sheetName val="자재목록"/>
      <sheetName val="합천내역"/>
      <sheetName val="전기단가조사서"/>
      <sheetName val="설산1.나"/>
      <sheetName val="본사S"/>
      <sheetName val="위탁매매_1103"/>
      <sheetName val="자기매매_1103"/>
      <sheetName val="위탁매매_1109"/>
      <sheetName val="자기매매_1109"/>
      <sheetName val="해외 기술훈련비 (합계)"/>
      <sheetName val="접대비"/>
      <sheetName val="_x005f_x0018_"/>
      <sheetName val="1.차입금"/>
      <sheetName val="choose"/>
      <sheetName val="FILE1"/>
      <sheetName val="FILE2"/>
      <sheetName val="6-5공구원본"/>
      <sheetName val="부대시행1"/>
      <sheetName val="부대시행1 (2)"/>
      <sheetName val="부대시행2"/>
      <sheetName val="부대토공"/>
      <sheetName val="부대철콘"/>
      <sheetName val="부대토공실"/>
      <sheetName val="부대철콘실"/>
      <sheetName val="Sheet5"/>
      <sheetName val="Sheet8"/>
      <sheetName val="약품공급2"/>
      <sheetName val="_x005f_x0018__x005f_x0000_"/>
      <sheetName val="본문"/>
      <sheetName val="95하U$가격"/>
      <sheetName val="_x0018_?"/>
      <sheetName val="__"/>
      <sheetName val="총괄표"/>
      <sheetName val="Master"/>
      <sheetName val="Macro1"/>
      <sheetName val="설문 평가"/>
      <sheetName val="품목"/>
      <sheetName val="인수기간별S"/>
      <sheetName val="본부유지율"/>
      <sheetName val="4-2물건누계"/>
      <sheetName val="자동차추정자료"/>
      <sheetName val="손해감소유형"/>
      <sheetName val="7"/>
      <sheetName val="공사내역"/>
      <sheetName val="ETC"/>
      <sheetName val="3.6.2남양주택배"/>
      <sheetName val="Manual"/>
      <sheetName val="Back Data 1"/>
      <sheetName val="슬래԰"/>
      <sheetName val="슬래"/>
      <sheetName val="슬래렀"/>
      <sheetName val="슬래㰀"/>
      <sheetName val="슬래밀"/>
      <sheetName val="선급비용"/>
      <sheetName val="슬래　"/>
      <sheetName val="1월 예산"/>
      <sheetName val="슬래尀"/>
      <sheetName val="슬래⠀"/>
      <sheetName val="슬래"/>
      <sheetName val="슬래堌"/>
      <sheetName val="내역(한신APT)"/>
      <sheetName val="도"/>
      <sheetName val="의정부문예회관변경내역"/>
      <sheetName val="슬래䰀"/>
      <sheetName val="11월"/>
      <sheetName val="납부내역총괄표 (수정)"/>
      <sheetName val="선평원내역"/>
      <sheetName val="3본사"/>
      <sheetName val="98지급계획"/>
      <sheetName val="건축2"/>
      <sheetName val="P-산#1-1(WOWA1)"/>
      <sheetName val="분전함신설"/>
      <sheetName val="접지1종"/>
      <sheetName val="시화점실행"/>
      <sheetName val="설치원가"/>
      <sheetName val="설계명세서(선로)"/>
      <sheetName val="1. 시공측량"/>
      <sheetName val="125PIECE"/>
      <sheetName val="부하(성남)"/>
      <sheetName val="감액총괄표"/>
      <sheetName val="9GNG운반"/>
      <sheetName val="수종별수량 (2)"/>
      <sheetName val="구간별수량"/>
      <sheetName val="노동부"/>
      <sheetName val="기둥(원형)"/>
      <sheetName val="판가반영"/>
      <sheetName val="최소가치(간편)-회계"/>
      <sheetName val="회사제시"/>
      <sheetName val="RAW"/>
      <sheetName val="전선 및 전선관"/>
      <sheetName val="입찰내역_발주처_양식"/>
      <sheetName val="Data_Validation"/>
      <sheetName val="품목코드표"/>
      <sheetName val="Bond"/>
      <sheetName val="부서별집계표"/>
      <sheetName val="금년실적"/>
      <sheetName val="원본"/>
      <sheetName val="B-1.기본정보"/>
      <sheetName val="을-ATYPE"/>
      <sheetName val="배열수식"/>
      <sheetName val="Weekly Progress(계장)"/>
      <sheetName val="연습"/>
      <sheetName val="수량산출내역1115"/>
      <sheetName val="준검 내역서"/>
      <sheetName val="선택창"/>
      <sheetName val="항목"/>
      <sheetName val="특외대"/>
      <sheetName val="전체철근집계"/>
      <sheetName val="要員用master"/>
      <sheetName val="기초정보"/>
      <sheetName val="6월 공嚺㓶가"/>
      <sheetName val="소총괄표"/>
      <sheetName val="아파트연면적비율(참고1)"/>
      <sheetName val="슬래簀"/>
      <sheetName val="슬래퀀"/>
      <sheetName val="슬래뀀"/>
      <sheetName val="슬래瀀"/>
      <sheetName val="슬래鰀"/>
      <sheetName val="BD%_70s"/>
      <sheetName val="#1) 투자 구분"/>
      <sheetName val="명단원자료(이전)"/>
      <sheetName val="화전내"/>
      <sheetName val="TB"/>
      <sheetName val="PL"/>
      <sheetName val="CS"/>
      <sheetName val="예산계정INDEX"/>
      <sheetName val="환율change"/>
      <sheetName val="일반관리비"/>
      <sheetName val="보고서"/>
      <sheetName val="1_종합손익(도급)4"/>
      <sheetName val="대투_보관자료 변경"/>
      <sheetName val="내수자재"/>
      <sheetName val="BID"/>
      <sheetName val="식재품셈"/>
      <sheetName val="견적"/>
      <sheetName val="실행기성 갑지"/>
      <sheetName val="Eq. Mobilization"/>
      <sheetName val="원가1"/>
      <sheetName val="원가2"/>
      <sheetName val="U_TYPE_1_"/>
      <sheetName val="1_종합손익(주택,개발)3"/>
      <sheetName val="2_실행예산3"/>
      <sheetName val="2_2과부족3"/>
      <sheetName val="2_3원가절감3"/>
      <sheetName val="8_외주비집행현황3"/>
      <sheetName val="9_자재비3"/>
      <sheetName val="10_현장집행3"/>
      <sheetName val="3_추가원가3"/>
      <sheetName val="3_추가원가_(2)3"/>
      <sheetName val="4_사전공사3"/>
      <sheetName val="5_추정공사비3"/>
      <sheetName val="6_금융비용3"/>
      <sheetName val="7_공사비집행현황(총괄)3"/>
      <sheetName val="11_1생산성3"/>
      <sheetName val="11_2인원산출3"/>
      <sheetName val="CC_Down_load_07163"/>
      <sheetName val="변경실행(2차)_3"/>
      <sheetName val="나_출고3"/>
      <sheetName val="나_입고3"/>
      <sheetName val="09년_인건비(속리산)3"/>
      <sheetName val="합산목표(감가+57_5)3"/>
      <sheetName val="b_balju_(2)2"/>
      <sheetName val="__한국_AMP_ASP-23_판매가격__2"/>
      <sheetName val="중기조종사_단위단가2"/>
      <sheetName val="6PILE__(돌출)2"/>
      <sheetName val="기성청구_공문3"/>
      <sheetName val="2_주요계수총괄"/>
      <sheetName val="제조원가_원단위_분석2"/>
      <sheetName val="종합표양식(품의_&amp;_입고)_22"/>
      <sheetName val="원가관리_(동월대비)2"/>
      <sheetName val="7_(2)2"/>
      <sheetName val="2-2_매출분석2"/>
      <sheetName val="몰드시스템_리스트2"/>
      <sheetName val="sum1_(2)2"/>
      <sheetName val="11_외화채무증권(AFS,HTM)082"/>
      <sheetName val="13_감액TEST_082"/>
      <sheetName val="Sheet1_(2)2"/>
      <sheetName val="3_바닥판설계2"/>
      <sheetName val="2_총괄표2"/>
      <sheetName val="12년_CF(9월)2"/>
      <sheetName val="Project_Brief"/>
      <sheetName val="表21_净利润调节表2"/>
      <sheetName val="입출재고현황_(2)"/>
      <sheetName val="2_대외공문2"/>
      <sheetName val="TRE_TABLE"/>
      <sheetName val="504전기실_동부하-L2"/>
      <sheetName val="OUTER_AREA(겹침없음)2"/>
      <sheetName val="EL_표면적2"/>
      <sheetName val="P_M_별1"/>
      <sheetName val="단면_(2)"/>
      <sheetName val="1_본사계정별"/>
      <sheetName val="전사_PL1"/>
      <sheetName val="자금_제외_PL1"/>
      <sheetName val="자금_PL1"/>
      <sheetName val="전사_BS1"/>
      <sheetName val="자금_제외_BS1"/>
      <sheetName val="자금_BS1"/>
      <sheetName val="BS_계정_설명1"/>
      <sheetName val="_Cash_Flow(전사)1"/>
      <sheetName val="_Cash_Flow(자금제외)1"/>
      <sheetName val="_Cash_Flow(자금)1"/>
      <sheetName val="ROIC_1"/>
      <sheetName val="인건비_명세1"/>
      <sheetName val="판관비_명세1"/>
      <sheetName val="OH_Cost경비(내역)1"/>
      <sheetName val="OH_Cost경비(배부기준)1"/>
      <sheetName val="기타수지&amp;특별손익_명세1"/>
      <sheetName val="Process_List"/>
      <sheetName val="제시_손익계산서"/>
      <sheetName val="업무연락_(2)"/>
      <sheetName val="M_7회차_담금_계획"/>
      <sheetName val="01_02월_성과급1"/>
      <sheetName val="09~10년_매출계획"/>
      <sheetName val="97_사업추정(WEKI)"/>
      <sheetName val="팀별_실적"/>
      <sheetName val="팀별_실적_(환산)"/>
      <sheetName val="6월_공정외주"/>
      <sheetName val="Tong_hop"/>
      <sheetName val="95_1_1이후취득자산(숨기기상태)"/>
      <sheetName val="1_MDF1공장"/>
      <sheetName val="설계조건"/>
      <sheetName val="종단계산"/>
      <sheetName val="산출근거(S4)"/>
      <sheetName val="소야공정계획표"/>
      <sheetName val="表21_净利润夐#奜#"/>
      <sheetName val="기초견적가"/>
      <sheetName val="TANK"/>
      <sheetName val="조건표"/>
      <sheetName val="결과조달"/>
      <sheetName val="견적대비표"/>
      <sheetName val="포장복구집계"/>
      <sheetName val="간선계산"/>
      <sheetName val="AS복구"/>
      <sheetName val="2000년1차"/>
      <sheetName val="Code"/>
      <sheetName val="전기"/>
      <sheetName val="데이타"/>
      <sheetName val="ITEM"/>
      <sheetName val="일반공사"/>
      <sheetName val="터널조도"/>
      <sheetName val="중기터파기"/>
      <sheetName val="G.R300경비"/>
      <sheetName val="계수시트"/>
      <sheetName val="투찰"/>
      <sheetName val="AS포장복구 "/>
      <sheetName val="시설물일위"/>
      <sheetName val="가설공사"/>
      <sheetName val="수목데이타"/>
      <sheetName val="단가조사"/>
      <sheetName val="식재"/>
      <sheetName val="99노임기준"/>
      <sheetName val="변수값"/>
      <sheetName val="청천내"/>
      <sheetName val="요율"/>
      <sheetName val="2공구하도급내역서"/>
      <sheetName val="시설물"/>
      <sheetName val="연결임시"/>
      <sheetName val="구조물공"/>
      <sheetName val="부대tu"/>
      <sheetName val="9509"/>
      <sheetName val="투찰추정"/>
      <sheetName val="하부철근수량"/>
      <sheetName val="식재출력용"/>
      <sheetName val="가로등내역서"/>
      <sheetName val="저"/>
      <sheetName val="Baby일위대가"/>
      <sheetName val="실행대비"/>
      <sheetName val="지급자재"/>
      <sheetName val="노무비단가"/>
      <sheetName val="관리,공감"/>
      <sheetName val="식재인부"/>
      <sheetName val="입찰"/>
      <sheetName val="산출내역서"/>
      <sheetName val="4차원가계산서"/>
      <sheetName val="중기상차"/>
      <sheetName val="단가결정"/>
      <sheetName val="유지관리"/>
      <sheetName val="내역아"/>
      <sheetName val="여과지동"/>
      <sheetName val="울타리"/>
      <sheetName val="기초자료"/>
      <sheetName val="자재대"/>
      <sheetName val="조명율표"/>
      <sheetName val="원가"/>
      <sheetName val="공정코드"/>
      <sheetName val="토공"/>
      <sheetName val="총괄-1"/>
      <sheetName val="도급"/>
      <sheetName val="포장공"/>
      <sheetName val="설 계"/>
      <sheetName val="현경"/>
      <sheetName val="단가대비표"/>
      <sheetName val="기계"/>
      <sheetName val="정화조"/>
      <sheetName val="토목"/>
      <sheetName val="TYPE-1"/>
      <sheetName val="F 월별기성수금현황 "/>
      <sheetName val="MAT"/>
      <sheetName val="설치자재"/>
      <sheetName val="2013.2월 연결대상"/>
      <sheetName val="BS_Package_내부거래"/>
      <sheetName val="PL_Package_내부거래"/>
      <sheetName val="손익실적"/>
      <sheetName val="손익실적(매출원가)"/>
      <sheetName val="당년사별실적"/>
      <sheetName val="VXXXX"/>
      <sheetName val="탄산"/>
      <sheetName val="IS"/>
      <sheetName val="최적단면"/>
      <sheetName val="기계경비"/>
      <sheetName val="수량산출서 갑지"/>
      <sheetName val="98수문일위"/>
      <sheetName val="갑지"/>
      <sheetName val="부산제일극장"/>
      <sheetName val="배수내역"/>
      <sheetName val="제-노임"/>
      <sheetName val="N賃率-職"/>
      <sheetName val="공사비_NDE"/>
      <sheetName val="도급예산내역서봉투"/>
      <sheetName val="공사원가계산서"/>
      <sheetName val="설계산출표지"/>
      <sheetName val="도급예산내역서총괄표"/>
      <sheetName val="을부담운반비"/>
      <sheetName val="운반비산출"/>
      <sheetName val="현장경비"/>
      <sheetName val="세금자료"/>
      <sheetName val="KEY CODE"/>
      <sheetName val="수목단가"/>
      <sheetName val="시설수량표"/>
      <sheetName val="식재수량표"/>
      <sheetName val="FitOutConfCentre"/>
      <sheetName val="Back_Data_1"/>
      <sheetName val="※유형구분분류"/>
      <sheetName val="※类型区分分类"/>
      <sheetName val="외주현황.wq1"/>
      <sheetName val="첨부1(손익관리)"/>
      <sheetName val="카메라2"/>
      <sheetName val="카메라1"/>
      <sheetName val="첨부11(기계정지개선)"/>
      <sheetName val="카메라3"/>
      <sheetName val="카메라-생산실적"/>
      <sheetName val="카메라-생산실적분석"/>
      <sheetName val="2-1.강사료,교통비 지급명세"/>
      <sheetName val="予算実績管理現況"/>
      <sheetName val="FA-LISTING"/>
      <sheetName val="추정pl"/>
      <sheetName val="13.포장용역비표준"/>
      <sheetName val="9.가공부자재표준"/>
      <sheetName val="8.ROLL표준(TSW)"/>
      <sheetName val="4.톤당조관량표준"/>
      <sheetName val="5.조관부자재표준"/>
      <sheetName val="고정자산-회사제시"/>
      <sheetName val="해외_기술훈련비_(합계)"/>
      <sheetName val="118_세금과공과"/>
      <sheetName val="RE"/>
      <sheetName val="FP"/>
      <sheetName val="97년"/>
      <sheetName val="????"/>
      <sheetName val="규"/>
      <sheetName val="규(3)"/>
      <sheetName val="소"/>
      <sheetName val="RE(2)"/>
      <sheetName val="4. Inj 투자상세내역"/>
      <sheetName val="3. Blow 투자 상세내역"/>
      <sheetName val="4__Inj_투자상세내역"/>
      <sheetName val="3__Blow_투자_상세내역"/>
      <sheetName val="Jul-Sep Actual cost (2)"/>
      <sheetName val="97실적"/>
      <sheetName val="을지"/>
      <sheetName val="npv"/>
      <sheetName val="13손익(실적)"/>
      <sheetName val="이름표시"/>
      <sheetName val="요일 테이블"/>
      <sheetName val="요일테이블"/>
      <sheetName val="요일_테이블"/>
      <sheetName val="요일 테이블 (2)"/>
      <sheetName val="TO Data Base"/>
      <sheetName val="YTD Summary"/>
      <sheetName val="Month Summary"/>
      <sheetName val="Trial Balance MAY 2009"/>
      <sheetName val="TB Pivot"/>
      <sheetName val="Freight"/>
      <sheetName val="Freight-loc"/>
      <sheetName val="Freight-Mat"/>
      <sheetName val="Rebates"/>
      <sheetName val="total per LB LB2"/>
      <sheetName val="Trial Balance Vlookup"/>
      <sheetName val="Trial Balance APRIL 2009"/>
      <sheetName val="目录"/>
      <sheetName val="Lists"/>
      <sheetName val="Step2_Correlation"/>
      <sheetName val="Step2_Histogram"/>
      <sheetName val="Roll Out_AQ"/>
      <sheetName val="DePara"/>
      <sheetName val="2004"/>
      <sheetName val="VPO"/>
      <sheetName val="Evolução mandamentos"/>
      <sheetName val="Prod"/>
      <sheetName val="Eficiencia"/>
      <sheetName val="Tabelas"/>
      <sheetName val="Planilha resultados"/>
      <sheetName val="Custos"/>
      <sheetName val="Historico 2003"/>
      <sheetName val="BH"/>
      <sheetName val="Ferias"/>
      <sheetName val="Sig Cycles_Accts &amp; Processes"/>
      <sheetName val="TO_Data_Base"/>
      <sheetName val="YTD_Summary"/>
      <sheetName val="Month_Summary"/>
      <sheetName val="Trial_Balance_MAY_2009"/>
      <sheetName val="TB_Pivot"/>
      <sheetName val="total_per_LB_LB2"/>
      <sheetName val="Trial_Balance_Vlookup"/>
      <sheetName val="Trial_Balance_APRIL_2009"/>
      <sheetName val="Roll_Out_AQ"/>
      <sheetName val="Evolução_mandamentos"/>
      <sheetName val="3 ISo YTD"/>
      <sheetName val="GuV"/>
      <sheetName val="E 法规NC"/>
      <sheetName val="KPI与VIC"/>
      <sheetName val="Données LMU"/>
      <sheetName val="Brazil Sovereign"/>
      <sheetName val="Gauge"/>
      <sheetName val="Resumen Costo"/>
      <sheetName val="Production_REP_CURR"/>
      <sheetName val="Dropdownlists"/>
      <sheetName val="Tabs"/>
      <sheetName val="padajuća_lista"/>
      <sheetName val="Controls_data"/>
      <sheetName val="Assiduidade"/>
      <sheetName val="Fixed ZBB"/>
      <sheetName val="TO_Data_Base1"/>
      <sheetName val="STARTSHEET"/>
      <sheetName val="Base_PEF2"/>
      <sheetName val="CADASTRO"/>
      <sheetName val="dados"/>
      <sheetName val="DIST"/>
      <sheetName val="MALHAD"/>
      <sheetName val="MUG"/>
      <sheetName val="packages"/>
      <sheetName val="Curve"/>
      <sheetName val="PUXADIA"/>
      <sheetName val="Controls_data2"/>
      <sheetName val="5.1"/>
      <sheetName val="Extract Loss"/>
      <sheetName val="QA 跟踪记录表"/>
      <sheetName val="RG Depots"/>
      <sheetName val="Overview"/>
      <sheetName val="material data"/>
      <sheetName val="other data"/>
      <sheetName val="Como Estamos"/>
      <sheetName val="Front"/>
      <sheetName val="#REF!"/>
      <sheetName val="Database (RUR)Mar YTD"/>
      <sheetName val="参数"/>
      <sheetName val="数据"/>
      <sheetName val="Mapping"/>
      <sheetName val="SKU Mapping"/>
      <sheetName val="参数表"/>
      <sheetName val="Drop Down"/>
      <sheetName val="相关字段"/>
      <sheetName val="产品层次"/>
      <sheetName val="Drops"/>
      <sheetName val="HuNan"/>
      <sheetName val="销售组织"/>
      <sheetName val="物料类型清单"/>
      <sheetName val="评估级别"/>
      <sheetName val="Volumen"/>
      <sheetName val="Parameters"/>
      <sheetName val="Cases"/>
      <sheetName val="Revenues"/>
      <sheetName val="Assumptions"/>
      <sheetName val="Raw Data"/>
      <sheetName val="10年KPI预算"/>
      <sheetName val="数据源"/>
      <sheetName val="EBM-2 GHQ"/>
      <sheetName val="Base PEF"/>
      <sheetName val="Canal"/>
      <sheetName val="Ajustes"/>
      <sheetName val="Placas"/>
      <sheetName val="TO_Data_Base3"/>
      <sheetName val="YTD_Summary3"/>
      <sheetName val="Month_Summary3"/>
      <sheetName val="Trial_Balance_MAY_20093"/>
      <sheetName val="TB_Pivot3"/>
      <sheetName val="total_per_LB_LB23"/>
      <sheetName val="Trial_Balance_Vlookup3"/>
      <sheetName val="Trial_Balance_APRIL_20093"/>
      <sheetName val="Evolução_mandamentos3"/>
      <sheetName val="Roll_Out_AQ3"/>
      <sheetName val="Planilha_resultados2"/>
      <sheetName val="Historico_20032"/>
      <sheetName val="Sig_Cycles_Accts_&amp;_Processes2"/>
      <sheetName val="YTD_Summary1"/>
      <sheetName val="Month_Summary1"/>
      <sheetName val="Trial_Balance_MAY_20091"/>
      <sheetName val="TB_Pivot1"/>
      <sheetName val="total_per_LB_LB21"/>
      <sheetName val="Trial_Balance_Vlookup1"/>
      <sheetName val="Trial_Balance_APRIL_20091"/>
      <sheetName val="Evolução_mandamentos1"/>
      <sheetName val="Roll_Out_AQ1"/>
      <sheetName val="Planilha_resultados"/>
      <sheetName val="Historico_2003"/>
      <sheetName val="Sig_Cycles_Accts_&amp;_Processes"/>
      <sheetName val="Feriados"/>
      <sheetName val="Crit"/>
      <sheetName val="Unidades_SAC-REVENDA1"/>
      <sheetName val="Engine"/>
      <sheetName val="REALxMETA_-_CERVEJA"/>
      <sheetName val="menu"/>
      <sheetName val="Principal"/>
      <sheetName val="PM"/>
      <sheetName val="Empresas"/>
      <sheetName val="REALxMETA_-_CERVEJA1"/>
      <sheetName val="Validate"/>
      <sheetName val="Premissas"/>
      <sheetName val="CDI"/>
      <sheetName val="Setup"/>
      <sheetName val="M-Quest"/>
      <sheetName val="Dev_SAC_"/>
      <sheetName val="Fab2"/>
      <sheetName val="MêsBase"/>
      <sheetName val="PREVISÃO"/>
      <sheetName val="12_1"/>
      <sheetName val="CVsku"/>
      <sheetName val="Financials"/>
      <sheetName val="Plan3"/>
      <sheetName val="Anual"/>
      <sheetName val="fabricas"/>
      <sheetName val="Plan1"/>
      <sheetName val="FRA"/>
      <sheetName val="COUPOM"/>
      <sheetName val="Brainstorming1"/>
      <sheetName val="aux"/>
      <sheetName val="Set_Up1"/>
      <sheetName val="BD"/>
      <sheetName val="Listas"/>
      <sheetName val="Meta"/>
      <sheetName val="Months_and_Countries"/>
      <sheetName val="Resumo"/>
      <sheetName val="Entrada_de_Dados1"/>
      <sheetName val="Projects_list"/>
      <sheetName val="Dev_Mercado"/>
      <sheetName val="Nossa_Meta"/>
      <sheetName val="Participantes"/>
      <sheetName val="EI_Calc1"/>
      <sheetName val="Controle"/>
      <sheetName val="9"/>
      <sheetName val="qyrMetas_Real"/>
      <sheetName val="REALxMETA_-_REFRI1"/>
      <sheetName val="Sispec99"/>
      <sheetName val="SispecPSAP"/>
      <sheetName val="Tab_Aux1"/>
      <sheetName val="Custo_Variável"/>
      <sheetName val="Bloomberg"/>
      <sheetName val="Dados_do_Packaging"/>
      <sheetName val="Tendência"/>
      <sheetName val="Perda_Lata"/>
      <sheetName val="Unidades_SAC-REVENDA"/>
      <sheetName val="JUNIO"/>
      <sheetName val="TO_Data_Base2"/>
      <sheetName val="YTD_Summary2"/>
      <sheetName val="Month_Summary2"/>
      <sheetName val="Trial_Balance_MAY_20092"/>
      <sheetName val="TB_Pivot2"/>
      <sheetName val="total_per_LB_LB22"/>
      <sheetName val="Trial_Balance_Vlookup2"/>
      <sheetName val="Trial_Balance_APRIL_20092"/>
      <sheetName val="Evolução_mandamentos2"/>
      <sheetName val="Roll_Out_AQ2"/>
      <sheetName val="Planilha_resultados1"/>
      <sheetName val="Historico_20031"/>
      <sheetName val="Sig_Cycles_Accts_&amp;_Processes1"/>
      <sheetName val="TO_Data_Base4"/>
      <sheetName val="YTD_Summary4"/>
      <sheetName val="Month_Summary4"/>
      <sheetName val="Trial_Balance_MAY_20094"/>
      <sheetName val="TB_Pivot4"/>
      <sheetName val="total_per_LB_LB24"/>
      <sheetName val="Trial_Balance_Vlookup4"/>
      <sheetName val="Trial_Balance_APRIL_20094"/>
      <sheetName val="Evolução_mandamentos4"/>
      <sheetName val="Roll_Out_AQ4"/>
      <sheetName val="Planilha_resultados3"/>
      <sheetName val="Historico_20033"/>
      <sheetName val="Sig_Cycles_Accts_&amp;_Processes3"/>
      <sheetName val="TO_Data_Base5"/>
      <sheetName val="YTD_Summary5"/>
      <sheetName val="Month_Summary5"/>
      <sheetName val="Trial_Balance_MAY_20095"/>
      <sheetName val="TB_Pivot5"/>
      <sheetName val="total_per_LB_LB25"/>
      <sheetName val="Trial_Balance_Vlookup5"/>
      <sheetName val="Trial_Balance_APRIL_20095"/>
      <sheetName val="Evolução_mandamentos5"/>
      <sheetName val="Roll_Out_AQ5"/>
      <sheetName val="Planilha_resultados4"/>
      <sheetName val="Historico_20034"/>
      <sheetName val="Sig_Cycles_Accts_&amp;_Processes4"/>
      <sheetName val="POA"/>
      <sheetName val="Parâmetros"/>
      <sheetName val="Base de Dados"/>
      <sheetName val="Margem_OE"/>
      <sheetName val="Testing Template Guidance"/>
      <sheetName val="Test Programs"/>
      <sheetName val="List"/>
      <sheetName val="VIC"/>
      <sheetName val="VLC"/>
      <sheetName val="BaseDados"/>
      <sheetName val="TO_Data_Base6"/>
      <sheetName val="YTD_Summary6"/>
      <sheetName val="Month_Summary6"/>
      <sheetName val="Trial_Balance_MAY_20096"/>
      <sheetName val="TB_Pivot6"/>
      <sheetName val="total_per_LB_LB26"/>
      <sheetName val="Trial_Balance_Vlookup6"/>
      <sheetName val="Trial_Balance_APRIL_20096"/>
      <sheetName val="Evolução_mandamentos6"/>
      <sheetName val="Roll_Out_AQ6"/>
      <sheetName val="Planilha_resultados5"/>
      <sheetName val="Historico_20035"/>
      <sheetName val="Sig_Cycles_Accts_&amp;_Processes5"/>
      <sheetName val="Back-up"/>
      <sheetName val="MOL"/>
      <sheetName val="Dados BLP"/>
      <sheetName val="Controls data"/>
      <sheetName val="核心经销商销量"/>
      <sheetName val="ValidDataDrops"/>
      <sheetName val="BLP"/>
      <sheetName val="FJJX Bud_IB"/>
      <sheetName val="DATOS"/>
      <sheetName val="look-up data"/>
      <sheetName val="Tabela1"/>
      <sheetName val="[손익기01.XL_x0000__x0000_DePara"/>
      <sheetName val="JOB PROFILE - LAS"/>
      <sheetName val="ARdistr (2)"/>
      <sheetName val="MonthlyChart_Budget"/>
      <sheetName val="Forecast_Chart"/>
      <sheetName val="Forecast_Chart_2"/>
      <sheetName val="Monthly_Forecast"/>
      <sheetName val="MonthlyChart_Simple"/>
      <sheetName val="MonthlyChart_Sloped"/>
      <sheetName val="lookup"/>
      <sheetName val="基本信息"/>
      <sheetName val="SKU_Profile"/>
      <sheetName val="Prd.Hierarchy(产品层级)"/>
      <sheetName val="600ML"/>
      <sheetName val="producto"/>
      <sheetName val="Com (2PK)"/>
      <sheetName val="ctmg"/>
      <sheetName val="Asset"/>
      <sheetName val="MODELO"/>
      <sheetName val="ANS-Ap_Result_2003"/>
      <sheetName val="SupplyChainData"/>
      <sheetName val="Reasons"/>
      <sheetName val="Fun_Bl_Prod"/>
      <sheetName val="Calculos"/>
      <sheetName val="backlog"/>
      <sheetName val="Prd.Hierarchy(产品层次)"/>
      <sheetName val="Project Code"/>
      <sheetName val="Base_PEF"/>
      <sheetName val="Нарушения"/>
      <sheetName val="15년 BL 사계"/>
      <sheetName val="_손익기01.XL"/>
      <sheetName val="TargIS"/>
      <sheetName val="drop down list"/>
      <sheetName val="источник"/>
      <sheetName val="Fixed_ZBB"/>
      <sheetName val="E_法规NC"/>
      <sheetName val="3_ISo_YTD"/>
      <sheetName val="Données_LMU"/>
      <sheetName val="Brazil_Sovereign"/>
      <sheetName val="Base_de_Dados"/>
      <sheetName val="Resumen_Costo"/>
      <sheetName val="Extract_Loss"/>
      <sheetName val="TO_Data_Base7"/>
      <sheetName val="Groupings"/>
      <sheetName val="cat&amp;ee"/>
      <sheetName val="SKU"/>
      <sheetName val="[손익기01.XL_x005f_x0000__x005f_x0000_DePara"/>
      <sheetName val="ES部行动跟踪记录"/>
      <sheetName val="TO_Data_Base8"/>
      <sheetName val="YTD_Summary7"/>
      <sheetName val="Month_Summary7"/>
      <sheetName val="Trial_Balance_MAY_20097"/>
      <sheetName val="TB_Pivot7"/>
      <sheetName val="total_per_LB_LB27"/>
      <sheetName val="Trial_Balance_Vlookup7"/>
      <sheetName val="Trial_Balance_APRIL_20097"/>
      <sheetName val="Roll_Out_AQ7"/>
      <sheetName val="Evolução_mandamentos7"/>
      <sheetName val="Planilha_resultados6"/>
      <sheetName val="Historico_20036"/>
      <sheetName val="[손익기01.XL"/>
      <sheetName val="Sig_Cycles_Accts_&amp;_Processes6"/>
      <sheetName val="Como_Estamos"/>
      <sheetName val="ARdistr_(2)"/>
      <sheetName val="QA_跟踪记录表"/>
      <sheetName val="5_1"/>
      <sheetName val="Controls_data1"/>
      <sheetName val="RG_Depots"/>
      <sheetName val="material_data"/>
      <sheetName val="other_data"/>
      <sheetName val="Database_(RUR)Mar_YTD"/>
      <sheetName val="SKU_Mapping"/>
      <sheetName val="Drop_Down"/>
      <sheetName val="Raw_Data"/>
      <sheetName val="EBM-2_GHQ"/>
      <sheetName val="Testing_Template_Guidance"/>
      <sheetName val="Test_Programs"/>
      <sheetName val="Dados_BLP"/>
      <sheetName val="[손익기01_XLDePara"/>
      <sheetName val="Execution"/>
      <sheetName val="Tablas"/>
      <sheetName val="Income Stmt"/>
      <sheetName val="JOB_PROFILE_-_LAS"/>
      <sheetName val="Quarterly LBO Model"/>
      <sheetName val="_손익기01.XL_x005f_x0000__x005f_x0000_DePara"/>
      <sheetName val="전사_PL2"/>
      <sheetName val="자금_제외_PL2"/>
      <sheetName val="자금_PL2"/>
      <sheetName val="전사_BS2"/>
      <sheetName val="자금_제외_BS2"/>
      <sheetName val="자금_BS2"/>
      <sheetName val="BS_계정_설명2"/>
      <sheetName val="_Cash_Flow(전사)2"/>
      <sheetName val="_Cash_Flow(자금제외)2"/>
      <sheetName val="_Cash_Flow(자금)2"/>
      <sheetName val="ROIC_2"/>
      <sheetName val="인건비_명세2"/>
      <sheetName val="판관비_명세2"/>
      <sheetName val="OH_Cost경비(내역)2"/>
      <sheetName val="OH_Cost경비(배부기준)2"/>
      <sheetName val="기타수지&amp;특별손익_명세2"/>
      <sheetName val="업무연락_(2)1"/>
      <sheetName val="제시_손익계산서1"/>
      <sheetName val="01_02월_성과급2"/>
      <sheetName val="M_7회차_담금_계획1"/>
      <sheetName val="팀별_실적1"/>
      <sheetName val="팀별_실적_(환산)1"/>
      <sheetName val="4__Inj_투자상세내역1"/>
      <sheetName val="3__Blow_투자_상세내역1"/>
      <sheetName val="Process_List1"/>
      <sheetName val="요일_테이블1"/>
      <sheetName val="요일_테이블_(2)"/>
      <sheetName val="TO_Data_Base9"/>
      <sheetName val="YTD_Summary8"/>
      <sheetName val="Month_Summary8"/>
      <sheetName val="Trial_Balance_MAY_20098"/>
      <sheetName val="TB_Pivot8"/>
      <sheetName val="total_per_LB_LB28"/>
      <sheetName val="Trial_Balance_Vlookup8"/>
      <sheetName val="Trial_Balance_APRIL_20098"/>
      <sheetName val="Roll_Out_AQ8"/>
      <sheetName val="Evolução_mandamentos8"/>
      <sheetName val="Planilha_resultados7"/>
      <sheetName val="Historico_20037"/>
      <sheetName val="Sig_Cycles_Accts_&amp;_Processes7"/>
      <sheetName val="3_ISo_YTD1"/>
      <sheetName val="E_法规NC1"/>
      <sheetName val="Données_LMU1"/>
      <sheetName val="Brazil_Sovereign1"/>
      <sheetName val="Resumen_Costo1"/>
      <sheetName val="Fixed_ZBB1"/>
      <sheetName val="5_11"/>
      <sheetName val="Extract_Loss1"/>
      <sheetName val="QA_跟踪记录表1"/>
      <sheetName val="RG_Depots1"/>
      <sheetName val="material_data1"/>
      <sheetName val="other_data1"/>
      <sheetName val="Como_Estamos1"/>
      <sheetName val="Database_(RUR)Mar_YTD1"/>
      <sheetName val="SKU_Mapping1"/>
      <sheetName val="Drop_Down1"/>
      <sheetName val="Raw_Data1"/>
      <sheetName val="EBM-2_GHQ1"/>
      <sheetName val="Base_PEF1"/>
      <sheetName val="Base_de_Dados1"/>
      <sheetName val="Testing_Template_Guidance1"/>
      <sheetName val="Test_Programs1"/>
      <sheetName val="Dados_BLP1"/>
      <sheetName val="Controls_data3"/>
      <sheetName val="FJJX_Bud_IB"/>
      <sheetName val="look-up_data"/>
      <sheetName val="JOB_PROFILE_-_LAS1"/>
      <sheetName val="ARdistr_(2)1"/>
      <sheetName val="Prd_Hierarchy(产品层级)"/>
      <sheetName val="15년_BL_사계"/>
      <sheetName val="Com_(2PK)"/>
      <sheetName val="Prd_Hierarchy(产品层次)"/>
      <sheetName val="Project_Code"/>
      <sheetName val="_손익기01_XL"/>
      <sheetName val="drop_down_list"/>
      <sheetName val="[손익기01_XL_x005f_x0000__x005f_x0000_DePara"/>
      <sheetName val="Income_Stmt"/>
      <sheetName val="Quarterly_LBO_Model"/>
      <sheetName val="_손익기01_XL_x005f_x0000__x005f_x0000_DePara"/>
      <sheetName val="[손익기01_XL"/>
      <sheetName val="986월원안"/>
      <sheetName val="오승"/>
      <sheetName val="팀별"/>
      <sheetName val="Action-Log"/>
      <sheetName val="Classification 分类"/>
      <sheetName val="Figures Report"/>
      <sheetName val="Set Up"/>
      <sheetName val="CONFIG"/>
      <sheetName val="Fare prices"/>
      <sheetName val="Hotel prices"/>
      <sheetName val="Intro"/>
      <sheetName val="DropDowns"/>
      <sheetName val="CPT倒罐记录"/>
      <sheetName val="extent"/>
      <sheetName val="Tab"/>
      <sheetName val="Arm_PNP"/>
      <sheetName val="cl"/>
      <sheetName val="XLRpt_TempSheet"/>
      <sheetName val="Suporte_2"/>
      <sheetName val="tab STATUS DO PROCESSO "/>
      <sheetName val="Results"/>
      <sheetName val="Perf. Plan. Diário1"/>
      <sheetName val="In (2)"/>
      <sheetName val="slide 24 cat A"/>
      <sheetName val="slide 82 cat b"/>
      <sheetName val="Prog"/>
      <sheetName val="PLANNER6"/>
      <sheetName val="Hoja2"/>
      <sheetName val="Hoja3"/>
      <sheetName val="범주"/>
      <sheetName val="Incident 유형구분표"/>
      <sheetName val="Macro"/>
      <sheetName val="광주"/>
      <sheetName val="TNC(1안)"/>
      <sheetName val="CLASIFICACION DE AI"/>
      <sheetName val="Base da Datos"/>
      <sheetName val="Apoio"/>
      <sheetName val="SAM"/>
      <sheetName val="DAG"/>
      <sheetName val="Dados dos Produtos"/>
      <sheetName val="Maestro"/>
      <sheetName val="DD list"/>
      <sheetName val="3YP2016-Bottom up"/>
      <sheetName val="부서별12월추계액"/>
      <sheetName val="One_Pager"/>
      <sheetName val="DE-PARA"/>
      <sheetName val="FornecD"/>
      <sheetName val="FornecDAjustado"/>
      <sheetName val="Detalle"/>
      <sheetName val="auxiliar"/>
      <sheetName val="MASTER APP"/>
      <sheetName val="Hoja1"/>
      <sheetName val="Cond. Inseguros"/>
      <sheetName val="Comp. Inseguros"/>
      <sheetName val="Lista de datos"/>
      <sheetName val="Base de Datos"/>
      <sheetName val="Motivos"/>
      <sheetName val="Parametros"/>
      <sheetName val="Actionlog"/>
      <sheetName val="_손익기01.XL_x0000__x0000_DePara"/>
      <sheetName val="_손익기01_XLDePara"/>
      <sheetName val="link"/>
      <sheetName val="Vol-Rev"/>
      <sheetName val="来源"/>
      <sheetName val=" DD List"/>
      <sheetName val="Formula"/>
      <sheetName val="各支柱模块清单"/>
      <sheetName val="Share Price 2002"/>
      <sheetName val="隐患分析"/>
      <sheetName val="安全隐患"/>
      <sheetName val="班组分析"/>
      <sheetName val="源"/>
      <sheetName val="Clasif."/>
      <sheetName val="Lista CI"/>
      <sheetName val="Resumen"/>
      <sheetName val="BBDD"/>
      <sheetName val="Farol Acciones"/>
      <sheetName val="Lista de Entrenamientos"/>
      <sheetName val="Package-SubPackage"/>
      <sheetName val="Supply Cost Centers"/>
      <sheetName val="Basetables"/>
      <sheetName val="BEP 加薪 KPI"/>
      <sheetName val="유형(분류표)"/>
      <sheetName val="PREMISAS"/>
      <sheetName val="ACTION"/>
      <sheetName val="LE"/>
      <sheetName val="表3筛选项"/>
      <sheetName val="진천"/>
      <sheetName val="중연"/>
      <sheetName val="용연"/>
      <sheetName val="울산"/>
      <sheetName val="대구"/>
      <sheetName val="구미"/>
      <sheetName val="언양"/>
      <sheetName val="대차대조표"/>
      <sheetName val="입력자료"/>
      <sheetName val="compare2"/>
      <sheetName val="Krw"/>
      <sheetName val="BS"/>
      <sheetName val="MTP"/>
      <sheetName val="조도계산서 (도서)"/>
      <sheetName val="대전-교대(A1-A2)"/>
      <sheetName val="날개수량1.5"/>
      <sheetName val="1_종합손익(도급)5"/>
      <sheetName val="1_종합손익(주택,개발)4"/>
      <sheetName val="2_실행예산4"/>
      <sheetName val="2_2과부족4"/>
      <sheetName val="2_3원가절감4"/>
      <sheetName val="8_외주비집행현황4"/>
      <sheetName val="9_자재비4"/>
      <sheetName val="10_현장집행4"/>
      <sheetName val="3_추가원가4"/>
      <sheetName val="3_추가원가_(2)4"/>
      <sheetName val="4_사전공사4"/>
      <sheetName val="5_추정공사비4"/>
      <sheetName val="6_금융비용4"/>
      <sheetName val="7_공사비집행현황(총괄)4"/>
      <sheetName val="11_1생산성4"/>
      <sheetName val="11_2인원산출4"/>
      <sheetName val="변경실행(2차)_4"/>
      <sheetName val="CC_Down_load_07164"/>
      <sheetName val="나_출고4"/>
      <sheetName val="나_입고4"/>
      <sheetName val="09년_인건비(속리산)4"/>
      <sheetName val="합산목표(감가+57_5)4"/>
      <sheetName val="__한국_AMP_ASP-23_판매가격__3"/>
      <sheetName val="제조원가_원단위_분석3"/>
      <sheetName val="종합표양식(품의_&amp;_입고)_23"/>
      <sheetName val="원가관리_(동월대비)3"/>
      <sheetName val="b_balju_(2)3"/>
      <sheetName val="2-2_매출분석3"/>
      <sheetName val="몰드시스템_리스트3"/>
      <sheetName val="7_(2)3"/>
      <sheetName val="11_외화채무증권(AFS,HTM)083"/>
      <sheetName val="13_감액TEST_083"/>
      <sheetName val="12년_CF(9월)3"/>
      <sheetName val="중기조종사_단위단가3"/>
      <sheetName val="6PILE__(돌출)3"/>
      <sheetName val="기성청구_공문4"/>
      <sheetName val="Sheet1_(2)3"/>
      <sheetName val="2_대외공문3"/>
      <sheetName val="表21_净利润调节表3"/>
      <sheetName val="sum1_(2)3"/>
      <sheetName val="3_바닥판설계3"/>
      <sheetName val="504전기실_동부하-L3"/>
      <sheetName val="2_총괄표3"/>
      <sheetName val="OUTER_AREA(겹침없음)3"/>
      <sheetName val="EL_표면적3"/>
      <sheetName val="P_M_별2"/>
      <sheetName val="입찰내역_발주처_양식1"/>
      <sheetName val="근거_및_가정"/>
      <sheetName val="09~10년_매출계획1"/>
      <sheetName val="2_카드채권(대출포함)"/>
      <sheetName val="전사_PL3"/>
      <sheetName val="자금_제외_PL3"/>
      <sheetName val="자금_PL3"/>
      <sheetName val="전사_BS3"/>
      <sheetName val="자금_제외_BS3"/>
      <sheetName val="자금_BS3"/>
      <sheetName val="BS_계정_설명3"/>
      <sheetName val="_Cash_Flow(전사)3"/>
      <sheetName val="_Cash_Flow(자금제외)3"/>
      <sheetName val="_Cash_Flow(자금)3"/>
      <sheetName val="ROIC_3"/>
      <sheetName val="인건비_명세3"/>
      <sheetName val="판관비_명세3"/>
      <sheetName val="OH_Cost경비(내역)3"/>
      <sheetName val="OH_Cost경비(배부기준)3"/>
      <sheetName val="기타수지&amp;특별손익_명세3"/>
      <sheetName val="입출재고현황_(2)1"/>
      <sheetName val="TRE_TABLE1"/>
      <sheetName val="Process_List2"/>
      <sheetName val="제시_손익계산서2"/>
      <sheetName val="업무연락_(2)2"/>
      <sheetName val="M_7회차_담금_계획2"/>
      <sheetName val="01_02월_성과급3"/>
      <sheetName val="97_사업추정(WEKI)1"/>
      <sheetName val="팀별_실적2"/>
      <sheetName val="팀별_실적_(환산)2"/>
      <sheetName val="6월_공정외주1"/>
      <sheetName val="1_차입금"/>
      <sheetName val="2_주요계수총괄1"/>
      <sheetName val="Data_Validation1"/>
      <sheetName val="1_본사계정별1"/>
      <sheetName val="부대시행1_(2)"/>
      <sheetName val="118_세금과공과1"/>
      <sheetName val="Tong_hop1"/>
      <sheetName val="95_1_1이후취득자산(숨기기상태)1"/>
      <sheetName val="1_MDF1공장1"/>
      <sheetName val="3_6_2남양주택배"/>
      <sheetName val="Project_Brief1"/>
      <sheetName val="Back_Data_11"/>
      <sheetName val="Facility_Information1"/>
      <sheetName val="단면_(2)1"/>
      <sheetName val="PAD_TR보호대기초"/>
      <sheetName val="1월_예산"/>
      <sheetName val="_견적서"/>
      <sheetName val="해외_기술훈련비_(합계)1"/>
      <sheetName val="#1)_투자_구분"/>
      <sheetName val="1__시공측량"/>
      <sheetName val="수종별수량_(2)"/>
      <sheetName val="Utility_Usage_YTN_TOWER"/>
      <sheetName val="B-1_기본정보"/>
      <sheetName val="설산1_나"/>
      <sheetName val="?"/>
      <sheetName val="설문_평가"/>
      <sheetName val="대투_보관자료_변경"/>
      <sheetName val="Weekly_Progress(계장)"/>
      <sheetName val="납부내역총괄표_(수정)"/>
      <sheetName val="전선_및_전선관"/>
      <sheetName val="KEY_CODE"/>
      <sheetName val="2013_2월_연결대상"/>
      <sheetName val="외주현황_wq1"/>
      <sheetName val="2-1_강사료,교통비_지급명세"/>
      <sheetName val="13_포장용역비표준"/>
      <sheetName val="9_가공부자재표준"/>
      <sheetName val="8_ROLL표준(TSW)"/>
      <sheetName val="4_톤당조관량표준"/>
      <sheetName val="5_조관부자재표준"/>
      <sheetName val="실행기성_갑지"/>
      <sheetName val="4__Inj_투자상세내역2"/>
      <sheetName val="3__Blow_투자_상세내역2"/>
      <sheetName val="Jul-Sep_Actual_cost_(2)"/>
      <sheetName val="요일_테이블2"/>
      <sheetName val="요일_테이블_(2)1"/>
      <sheetName val="TO_Data_Base10"/>
      <sheetName val="YTD_Summary9"/>
      <sheetName val="Month_Summary9"/>
      <sheetName val="Trial_Balance_MAY_20099"/>
      <sheetName val="TB_Pivot9"/>
      <sheetName val="total_per_LB_LB29"/>
      <sheetName val="Trial_Balance_Vlookup9"/>
      <sheetName val="Trial_Balance_APRIL_20099"/>
      <sheetName val="Roll_Out_AQ9"/>
      <sheetName val="Evolução_mandamentos9"/>
      <sheetName val="Planilha_resultados8"/>
      <sheetName val="Historico_20038"/>
      <sheetName val="Sig_Cycles_Accts_&amp;_Processes8"/>
      <sheetName val="3_ISo_YTD2"/>
      <sheetName val="E_法规NC2"/>
      <sheetName val="Données_LMU2"/>
      <sheetName val="Brazil_Sovereign2"/>
      <sheetName val="Resumen_Costo2"/>
      <sheetName val="Fixed_ZBB2"/>
      <sheetName val="5_12"/>
      <sheetName val="Extract_Loss2"/>
      <sheetName val="QA_跟踪记录表2"/>
      <sheetName val="RG_Depots2"/>
      <sheetName val="material_data2"/>
      <sheetName val="other_data2"/>
      <sheetName val="Como_Estamos2"/>
      <sheetName val="Database_(RUR)Mar_YTD2"/>
      <sheetName val="SKU_Mapping2"/>
      <sheetName val="Drop_Down2"/>
      <sheetName val="Raw_Data2"/>
      <sheetName val="EBM-2_GHQ2"/>
      <sheetName val="Base_PEF3"/>
      <sheetName val="Base_de_Dados2"/>
      <sheetName val="Testing_Template_Guidance2"/>
      <sheetName val="Test_Programs2"/>
      <sheetName val="Dados_BLP2"/>
      <sheetName val="Controls_data4"/>
      <sheetName val="FJJX_Bud_IB1"/>
      <sheetName val="look-up_data1"/>
      <sheetName val="JOB_PROFILE_-_LAS2"/>
      <sheetName val="ARdistr_(2)2"/>
      <sheetName val="Prd_Hierarchy(产品层级)1"/>
      <sheetName val="Com_(2PK)1"/>
      <sheetName val="Prd_Hierarchy(产品层次)1"/>
      <sheetName val="Project_Code1"/>
      <sheetName val="15년_BL_사계1"/>
      <sheetName val="_손익기01_XL1"/>
      <sheetName val="drop_down_list1"/>
      <sheetName val="[손익기01_XL_x005f_x0000__x005f_x0000_DePara1"/>
      <sheetName val="[손익기01_XL1"/>
      <sheetName val="Income_Stmt1"/>
      <sheetName val="Quarterly_LBO_Model1"/>
      <sheetName val="_손익기01_XL_x005f_x0000__x005f_x0000_DePara1"/>
      <sheetName val="Classification_分类"/>
      <sheetName val="Figures_Report"/>
      <sheetName val="Set_Up"/>
      <sheetName val="Fare_prices"/>
      <sheetName val="Hotel_prices"/>
      <sheetName val="tab_STATUS_DO_PROCESSO_"/>
      <sheetName val="Perf__Plan__Diário1"/>
      <sheetName val="In_(2)"/>
      <sheetName val="slide_24_cat_A"/>
      <sheetName val="slide_82_cat_b"/>
      <sheetName val="Incident_유형구분표"/>
      <sheetName val="CLASIFICACION_DE_AI"/>
      <sheetName val="Base_da_Datos"/>
      <sheetName val="Dados_dos_Produtos"/>
      <sheetName val="DD_list"/>
      <sheetName val="3YP2016-Bottom_up"/>
      <sheetName val="MASTER_APP"/>
      <sheetName val="Cond__Inseguros"/>
      <sheetName val="Comp__Inseguros"/>
      <sheetName val="Lista_de_datos"/>
      <sheetName val="Base_de_Datos"/>
      <sheetName val="_DD_List"/>
      <sheetName val="Share_Price_2002"/>
      <sheetName val="Clasif_"/>
      <sheetName val="Lista_CI"/>
      <sheetName val="Farol_Acciones"/>
      <sheetName val="Lista_de_Entrenamientos"/>
      <sheetName val="Supply_Cost_Centers"/>
      <sheetName val="BEP_加薪_KPI"/>
      <sheetName val="현용"/>
      <sheetName val="기본"/>
      <sheetName val="10월_vs_12월_채권잔액"/>
      <sheetName val="Rev. Recon 1"/>
      <sheetName val="1.고객불만건수"/>
      <sheetName val="1.변경범위"/>
      <sheetName val="2-2.투자"/>
      <sheetName val="기본연봉"/>
      <sheetName val="사원"/>
      <sheetName val="9-1차이내역"/>
      <sheetName val="Proj. Fin."/>
      <sheetName val="ITS Assumptions"/>
      <sheetName val="Proj__Fin_"/>
      <sheetName val="2-2_투자"/>
      <sheetName val="Master Data"/>
      <sheetName val="Bonuses"/>
      <sheetName val="HQ 급여 "/>
      <sheetName val="OF 급여"/>
      <sheetName val="F.Ma급여"/>
      <sheetName val="SMT 급여"/>
      <sheetName val="QC 급여"/>
      <sheetName val="Sam sung 급여"/>
      <sheetName val="Dlock 급여"/>
      <sheetName val=" thôi việc 급여"/>
      <sheetName val="Công smt"/>
      <sheetName val="Công smt (2)"/>
      <sheetName val="Detail smt"/>
      <sheetName val="Công QC"/>
      <sheetName val="Detail QC "/>
      <sheetName val="Công SS"/>
      <sheetName val="Detail SS"/>
      <sheetName val="Công FMa"/>
      <sheetName val="Detail FMa"/>
      <sheetName val="Công OF"/>
      <sheetName val="Detail OF"/>
      <sheetName val="Công Dlock"/>
      <sheetName val="Detail Dlock"/>
      <sheetName val="Công thôi việc"/>
      <sheetName val="Detail thôi"/>
      <sheetName val="EPOXY"/>
      <sheetName val="2007전체투자세액공제_2008년처분"/>
      <sheetName val="득점현황"/>
      <sheetName val="#5"/>
      <sheetName val="#3"/>
      <sheetName val="Appendix(권장,단체)"/>
      <sheetName val="환율표"/>
      <sheetName val="세액계산"/>
      <sheetName val="현장"/>
      <sheetName val="MH_생산"/>
      <sheetName val="구분List"/>
      <sheetName val="TO"/>
      <sheetName val="C2121"/>
      <sheetName val="C2123"/>
      <sheetName val="C2124"/>
      <sheetName val="C2125"/>
      <sheetName val="C2127"/>
      <sheetName val="C2122"/>
      <sheetName val="表21_净利润墨-닑⿕"/>
      <sheetName val="터널전기"/>
      <sheetName val="CF表示組替表"/>
      <sheetName val="토목주소"/>
      <sheetName val="프랜트면허"/>
      <sheetName val="I一般比"/>
      <sheetName val="C1.3.1"/>
      <sheetName val="부대공Ⅱ"/>
      <sheetName val="입찰내역 Ĉ_x0000__x0000_ᇆ"/>
      <sheetName val="입찰내역 Ĉ_x0000__x0000_ᇆ"/>
      <sheetName val="정보화기기매출"/>
      <sheetName val="7.Utility Analysis"/>
      <sheetName val="Operational Activities"/>
      <sheetName val="상품입력"/>
      <sheetName val="월별자료"/>
      <sheetName val="Index"/>
      <sheetName val="1. 작성방식"/>
      <sheetName val="MEMO"/>
      <sheetName val="민감도분석"/>
      <sheetName val="LOG"/>
      <sheetName val="보고서 표"/>
      <sheetName val="0. 가정 및 결론"/>
      <sheetName val="1. 투자비"/>
      <sheetName val="2. Rent-roll"/>
      <sheetName val="3. Funding"/>
      <sheetName val="4. 운영수익"/>
      <sheetName val="5. 운영비용"/>
      <sheetName val="6.1 N+1년차 NOI 산정"/>
      <sheetName val="6. 부동산매각"/>
      <sheetName val="7. 보유세"/>
      <sheetName val="8. 교통유발부담금"/>
      <sheetName val="9. BS부속"/>
      <sheetName val="10. CF(M)"/>
      <sheetName val="11. IS(M)"/>
      <sheetName val="12. BS(M)"/>
      <sheetName val="14. IS(FY)"/>
      <sheetName val="13. CF(FY)"/>
      <sheetName val="15. BS(FY)"/>
      <sheetName val="16. RE(FY)"/>
      <sheetName val="M&amp;Q Lead"/>
      <sheetName val="코드관리"/>
      <sheetName val="1월~9월"/>
      <sheetName val="CAT_5"/>
      <sheetName val="코드"/>
      <sheetName val="4.1 월별 에너지 사용량"/>
      <sheetName val="support"/>
      <sheetName val="기초정보 코드"/>
      <sheetName val="견적을지"/>
      <sheetName val="입찰내역 _x0000__x0000__x0000__x0001_Ԁ_x0000_"/>
      <sheetName val="오류항목"/>
      <sheetName val="カテゴリ表"/>
      <sheetName val="数据有效性"/>
      <sheetName val="Worker List"/>
      <sheetName val="GB-IC Villingen GG"/>
      <sheetName val="MC&amp;다변화"/>
      <sheetName val="Library"/>
      <sheetName val="BM_NEW2"/>
      <sheetName val="97손익계획"/>
      <sheetName val="가정"/>
      <sheetName val="공시용PL"/>
      <sheetName val="예산대실적_작성"/>
      <sheetName val="표시트"/>
      <sheetName val="_x0018__"/>
      <sheetName val="_x005f_x005f_x005f_x0018__x005f_x005f_x005f_x0000_"/>
      <sheetName val="설비등록׃⼫"/>
      <sheetName val="설비등록_x0010__x0000_"/>
      <sheetName val="1"/>
      <sheetName val="EP0618"/>
      <sheetName val="sum_x0008__x0000__x000d__x0000__x0006__x0000_"/>
      <sheetName val="Ѐ܀ऀ܀؀਀؀Ԁ̀Ѐ̀Ѐࠀ܀ఀ؀܀"/>
      <sheetName val="_x005f_x0018_?"/>
      <sheetName val="분석가정"/>
      <sheetName val="호남본"/>
      <sheetName val="중기일위대가"/>
      <sheetName val="기성현황집계표"/>
      <sheetName val="카드채권(대출포함)"/>
      <sheetName val="공통"/>
      <sheetName val="T6-6(7)"/>
      <sheetName val="특수선일위대가"/>
      <sheetName val="숨김"/>
      <sheetName val="_x005f_x0018__"/>
      <sheetName val="전기요금 산출내역"/>
      <sheetName val="기본일위"/>
      <sheetName val="공시용CF"/>
      <sheetName val="3.일반사상"/>
      <sheetName val="月度設定"/>
      <sheetName val="SALE"/>
      <sheetName val="조정분개"/>
      <sheetName val="이테크_손익"/>
      <sheetName val="군장_손익"/>
      <sheetName val="에스엠지_손익"/>
      <sheetName val="인프라_손익"/>
      <sheetName val="중국연결_손익"/>
      <sheetName val="사우디_손익"/>
      <sheetName val="말레이_손익"/>
      <sheetName val="인니_손익"/>
      <sheetName val="연결손익요약(기획차이)"/>
      <sheetName val="연결손익요약(보고용)"/>
      <sheetName val="연결재무"/>
      <sheetName val="이테크_재무"/>
      <sheetName val="군장_재무"/>
      <sheetName val="에스엠지_재무"/>
      <sheetName val="인프라_재무"/>
      <sheetName val="중국연결_재무"/>
      <sheetName val="사우디_재무"/>
      <sheetName val="말레이_재무"/>
      <sheetName val="인니_재무"/>
      <sheetName val="CE(공)"/>
      <sheetName val="연결손익"/>
      <sheetName val="building"/>
      <sheetName val="외부자료"/>
      <sheetName val="슬래_xd800_"/>
      <sheetName val="목록!"/>
      <sheetName val="마스터0919"/>
      <sheetName val="STANDARD"/>
      <sheetName val="유효성검사"/>
      <sheetName val="그룹자료"/>
      <sheetName val="임율자료"/>
      <sheetName val="표)CFT장 조직별 배분"/>
      <sheetName val="기술분류체계"/>
      <sheetName val="Remark"/>
      <sheetName val="20180214 P&amp;T"/>
      <sheetName val="Ref. 중점 추진 과제별 상세"/>
      <sheetName val="작성요령"/>
      <sheetName val="7상품수"/>
      <sheetName val="000000"/>
      <sheetName val="DCY"/>
      <sheetName val="DHS"/>
      <sheetName val="HHJ"/>
      <sheetName val="SWS-1"/>
      <sheetName val="부재료 비교(11년 vs 10년)"/>
      <sheetName val="INDICE"/>
      <sheetName val="Dashboard Prevención Riesgos "/>
      <sheetName val="Seguimiento"/>
      <sheetName val="TOP KPIs MTM"/>
      <sheetName val="PLAN DE ACCION"/>
      <sheetName val="Faro de Indicadores"/>
      <sheetName val="ORGANIGRAMA"/>
      <sheetName val="Catalog_Zone"/>
      <sheetName val="DropList"/>
      <sheetName val="Unidades SAC-REVENDA"/>
      <sheetName val="FornecM Check"/>
      <sheetName val="下拉清单"/>
      <sheetName val="工伤分类"/>
      <sheetName val="菜单"/>
      <sheetName val="Hazards Analysis-隐患分析"/>
      <sheetName val="요일_테이블3"/>
      <sheetName val="요일_테이블_(2)2"/>
      <sheetName val="TO_Data_Base11"/>
      <sheetName val="YTD_Summary10"/>
      <sheetName val="Month_Summary10"/>
      <sheetName val="Trial_Balance_MAY_200910"/>
      <sheetName val="TB_Pivot10"/>
      <sheetName val="total_per_LB_LB210"/>
      <sheetName val="Trial_Balance_Vlookup10"/>
      <sheetName val="Trial_Balance_APRIL_200910"/>
      <sheetName val="Roll_Out_AQ10"/>
      <sheetName val="Evolução_mandamentos10"/>
      <sheetName val="Planilha_resultados9"/>
      <sheetName val="Historico_20039"/>
      <sheetName val="Sig_Cycles_Accts_&amp;_Processes9"/>
      <sheetName val="Fixed_ZBB3"/>
      <sheetName val="E_法规NC3"/>
      <sheetName val="3_ISo_YTD3"/>
      <sheetName val="Données_LMU3"/>
      <sheetName val="Brazil_Sovereign3"/>
      <sheetName val="Resumen_Costo3"/>
      <sheetName val="Base_de_Dados3"/>
      <sheetName val="Extract_Loss3"/>
      <sheetName val="5_13"/>
      <sheetName val="QA_跟踪记录表3"/>
      <sheetName val="RG_Depots3"/>
      <sheetName val="material_data3"/>
      <sheetName val="other_data3"/>
      <sheetName val="Como_Estamos3"/>
      <sheetName val="Database_(RUR)Mar_YTD3"/>
      <sheetName val="SKU_Mapping3"/>
      <sheetName val="Drop_Down3"/>
      <sheetName val="Raw_Data3"/>
      <sheetName val="EBM-2_GHQ3"/>
      <sheetName val="Base_PEF4"/>
      <sheetName val="Controls_data5"/>
      <sheetName val="Dados_BLP3"/>
      <sheetName val="Testing_Template_Guidance3"/>
      <sheetName val="Test_Programs3"/>
      <sheetName val="FJJX_Bud_IB2"/>
      <sheetName val="JOB_PROFILE_-_LAS3"/>
      <sheetName val="ARdistr_(2)3"/>
      <sheetName val="look-up_data2"/>
      <sheetName val="Prd_Hierarchy(产品层级)2"/>
      <sheetName val="Com_(2PK)2"/>
      <sheetName val="전사_PL4"/>
      <sheetName val="자금_제외_PL4"/>
      <sheetName val="자금_PL4"/>
      <sheetName val="전사_BS4"/>
      <sheetName val="자금_제외_BS4"/>
      <sheetName val="자금_BS4"/>
      <sheetName val="BS_계정_설명4"/>
      <sheetName val="_Cash_Flow(전사)4"/>
      <sheetName val="_Cash_Flow(자금제외)4"/>
      <sheetName val="_Cash_Flow(자금)4"/>
      <sheetName val="ROIC_4"/>
      <sheetName val="인건비_명세4"/>
      <sheetName val="판관비_명세4"/>
      <sheetName val="OH_Cost경비(내역)4"/>
      <sheetName val="OH_Cost경비(배부기준)4"/>
      <sheetName val="기타수지&amp;특별손익_명세4"/>
      <sheetName val="업무연락_(2)3"/>
      <sheetName val="제시_손익계산서3"/>
      <sheetName val="01_02월_성과급4"/>
      <sheetName val="M_7회차_담금_계획3"/>
      <sheetName val="팀별_실적3"/>
      <sheetName val="팀별_실적_(환산)3"/>
      <sheetName val="4__Inj_투자상세내역3"/>
      <sheetName val="3__Blow_투자_상세내역3"/>
      <sheetName val="Process_List3"/>
      <sheetName val="Prd_Hierarchy(产品层次)2"/>
      <sheetName val="Project_Code2"/>
      <sheetName val="_손익기01_XL2"/>
      <sheetName val="drop_down_list2"/>
      <sheetName val="[손익기01_XL_x005f_x0000__x005f_x0000_DePara2"/>
      <sheetName val="Income_Stmt2"/>
      <sheetName val="Quarterly_LBO_Model2"/>
      <sheetName val="[손익기01_XL2"/>
      <sheetName val="_손익기01_XL_x005f_x0000__x005f_x0000_DePara2"/>
      <sheetName val="15년_BL_사계2"/>
      <sheetName val="Classification_分类1"/>
      <sheetName val="Figures_Report1"/>
      <sheetName val="Set_Up2"/>
      <sheetName val="Fare_prices1"/>
      <sheetName val="Hotel_prices1"/>
      <sheetName val="tab_STATUS_DO_PROCESSO_1"/>
      <sheetName val="Perf__Plan__Diário11"/>
      <sheetName val="In_(2)1"/>
      <sheetName val="slide_24_cat_A1"/>
      <sheetName val="slide_82_cat_b1"/>
      <sheetName val="Incident_유형구분표1"/>
      <sheetName val="CLASIFICACION_DE_AI1"/>
      <sheetName val="Base_da_Datos1"/>
      <sheetName val="Dados_dos_Produtos1"/>
      <sheetName val="DD_list1"/>
      <sheetName val="F08 - Asia Pac Full Year Q3"/>
      <sheetName val="Actions"/>
      <sheetName val="Listco"/>
      <sheetName val="Intl"/>
      <sheetName val="Procurement"/>
      <sheetName val="Top Priorities"/>
      <sheetName val="SLOB"/>
      <sheetName val="Listco Stock"/>
      <sheetName val="SOH"/>
      <sheetName val="Intl Purchase"/>
      <sheetName val="GTME"/>
      <sheetName val="FY outlook"/>
      <sheetName val="CY outlook"/>
      <sheetName val="FY"/>
      <sheetName val="CY"/>
      <sheetName val="Cash metrics"/>
      <sheetName val="Listco-Tony"/>
      <sheetName val="Intl-Ming"/>
      <sheetName val="Procurement-Jeff"/>
      <sheetName val="Hierarchy"/>
      <sheetName val="P6 7"/>
      <sheetName val="Top_Priorities"/>
      <sheetName val="Listco_Stock"/>
      <sheetName val="Intl_Purchase"/>
      <sheetName val="FY_outlook"/>
      <sheetName val="CY_outlook"/>
      <sheetName val="Cash_metrics"/>
      <sheetName val="F08_-_Asia_Pac_Full_Year_Q3"/>
      <sheetName val="TABLA"/>
      <sheetName val="_ExportMetadata"/>
      <sheetName val="Valor_Actual_2002"/>
      <sheetName val="Vtas2000"/>
      <sheetName val="Liquidacion_Julio_2002"/>
      <sheetName val="icos0502"/>
      <sheetName val="pplay_load3"/>
      <sheetName val="tabla_fcst_unid"/>
      <sheetName val="P6_7"/>
      <sheetName val="DATOS BASE"/>
      <sheetName val="Estatus"/>
      <sheetName val="Info"/>
      <sheetName val="Estratificación AI"/>
      <sheetName val="Dashboard"/>
      <sheetName val="condicion inseguras"/>
      <sheetName val="Actos Inseguros"/>
      <sheetName val="Control de incidentes"/>
      <sheetName val="Plan de Acción"/>
      <sheetName val="备注"/>
      <sheetName val="_손익기01.XL_x005f_x005f_x005f_x0000__x005f_x005f_x0"/>
      <sheetName val="연료전력(군포)"/>
      <sheetName val="적립수신"/>
      <sheetName val="순수통장"/>
      <sheetName val="일별"/>
      <sheetName val="加薪规则排序"/>
      <sheetName val="Analysis"/>
      <sheetName val="索引表"/>
      <sheetName val="Control"/>
      <sheetName val="引用"/>
      <sheetName val="담당자Raw"/>
      <sheetName val="支柱模块源数据--请勿更改或删除"/>
      <sheetName val="MasterData"/>
      <sheetName val="条件表"/>
      <sheetName val="下拉菜单"/>
      <sheetName val="Issues List_Payments"/>
      <sheetName val="drop-down_lists"/>
      <sheetName val="数据库"/>
      <sheetName val="turnover reason퇴직사유"/>
      <sheetName val="Grafica Actos"/>
      <sheetName val="PGK-1610"/>
      <sheetName val="POC LIST"/>
      <sheetName val="Condiciones SyE"/>
      <sheetName val="DETALLE MENSUAL"/>
      <sheetName val="do not delete"/>
      <sheetName val="NA"/>
      <sheetName val="MidAm"/>
      <sheetName val="LAN"/>
      <sheetName val="LAS"/>
      <sheetName val="COPEC"/>
      <sheetName val="EUR"/>
      <sheetName val="Africa"/>
      <sheetName val="APAC S"/>
      <sheetName val="APAC N"/>
      <sheetName val="Slide output"/>
      <sheetName val="[손익기01.XL??DePara"/>
      <sheetName val="Farol Metas"/>
      <sheetName val="Preview2"/>
      <sheetName val="Agenda"/>
      <sheetName val="Cadastros"/>
      <sheetName val="Base_Cobertura_WP"/>
      <sheetName val="TOTAL_HL"/>
      <sheetName val="99"/>
      <sheetName val="BASE_APOIO"/>
      <sheetName val="AO"/>
      <sheetName val="2"/>
      <sheetName val="BG"/>
      <sheetName val="Farol"/>
      <sheetName val="Base_Farol_Manual_Consolidada"/>
      <sheetName val="Árvore"/>
      <sheetName val="Tela_Inicial"/>
      <sheetName val="XLR_NoRangeSheet"/>
      <sheetName val="GVs"/>
      <sheetName val="Cadastro_Comercial"/>
      <sheetName val="2-Instalações"/>
      <sheetName val="RESUMO_MC"/>
      <sheetName val="Organization"/>
      <sheetName val="EMPREGADOS"/>
      <sheetName val="4-Estrutura_da_Área_de_Vendas"/>
      <sheetName val="5-Vendas-5_4-5_5-5_6"/>
      <sheetName val="FE"/>
      <sheetName val="BD_-_Realizado"/>
      <sheetName val="Cadastro_de_Veículos"/>
      <sheetName val="3-Equipamentos_e_Meios"/>
      <sheetName val="Cálculo_TMEF-TMR"/>
      <sheetName val="Liberação_Juros_Set_2004"/>
      <sheetName val="Lista_de_Feriados"/>
      <sheetName val="BASE"/>
      <sheetName val="Base_Graf"/>
      <sheetName val="Aderencia_Algoritmo_SIV"/>
      <sheetName val="Árvore_3v"/>
      <sheetName val="Sistema"/>
      <sheetName val="Dados_Dev"/>
      <sheetName val="Cxs_Int"/>
      <sheetName val="Pilares"/>
      <sheetName val="IC's"/>
      <sheetName val="Rel_Histórico"/>
      <sheetName val="TMEF_-_TMR_151"/>
      <sheetName val="Entrada_de_Dados"/>
      <sheetName val="EI_Calc"/>
      <sheetName val="Produtos"/>
      <sheetName val="PV"/>
      <sheetName val="Base_Críticas_de_Pedidos"/>
      <sheetName val="REALxMETA_-_REFRI"/>
      <sheetName val="Planificador"/>
      <sheetName val="8-Procedimentos"/>
      <sheetName val="Gráfico_3"/>
      <sheetName val="Gráfico"/>
      <sheetName val="Gráfico_Anual"/>
      <sheetName val="GR"/>
      <sheetName val="Tabela_Preço"/>
      <sheetName val="Tab_Aux"/>
      <sheetName val="Produtos_e_Custos"/>
      <sheetName val="TI"/>
      <sheetName val="Plan2"/>
      <sheetName val="BASE_GV"/>
      <sheetName val="Matriz_Unidade"/>
      <sheetName val="Variavel"/>
      <sheetName val="Mod Relac."/>
      <sheetName val="Vlookup"/>
      <sheetName val="REALxMETA - CERVEJA"/>
      <sheetName val="REALxMETA - REFRI"/>
      <sheetName val="Catalogo"/>
      <sheetName val="MD"/>
      <sheetName val="Directrices de Metas 2017"/>
      <sheetName val="SKU Basic Data"/>
      <sheetName val="数据验证"/>
      <sheetName val="Лист2"/>
      <sheetName val="L1_L2_Lookup"/>
      <sheetName val="Entity Target"/>
      <sheetName val="条件"/>
      <sheetName val="Matriz"/>
      <sheetName val="Pareto"/>
      <sheetName val="Hoja5"/>
      <sheetName val="Personal"/>
      <sheetName val="VALIDACION DE DATOS"/>
      <sheetName val="Hoja4"/>
      <sheetName val="Drop-down List"/>
      <sheetName val="by DD"/>
      <sheetName val="Ba"/>
      <sheetName val="分类统计"/>
      <sheetName val="隐患分类"/>
      <sheetName val="Check Qualidade"/>
      <sheetName val="Lista"/>
      <sheetName val="De_Para"/>
      <sheetName val="De Para"/>
      <sheetName val="FornecM_Check"/>
      <sheetName val="Unidades_SAC-REVENDA2"/>
      <sheetName val="[손익기01_XL??DePara"/>
      <sheetName val="Farol_Metas"/>
      <sheetName val="Mod_Relac_"/>
      <sheetName val="Estratificación_AI"/>
      <sheetName val="condicion_inseguras"/>
      <sheetName val="Actos_Inseguros"/>
      <sheetName val="Control_de_incidentes"/>
      <sheetName val="Plan_de_Acción"/>
      <sheetName val="Feuil2"/>
      <sheetName val="Check Aderencia"/>
      <sheetName val="원부재료1"/>
      <sheetName val="Exchange rate"/>
      <sheetName val="pg15"/>
      <sheetName val="2.6 三无 (2)"/>
      <sheetName val="노임단가(공사)"/>
      <sheetName val="RES"/>
      <sheetName val="Month-Report"/>
      <sheetName val="Desal-E&amp;I"/>
      <sheetName val="선택지"/>
      <sheetName val="Congfig"/>
      <sheetName val="Bank code"/>
      <sheetName val="총수율"/>
      <sheetName val="11"/>
      <sheetName val="Drop-down RAW"/>
      <sheetName val="CODE生成机"/>
      <sheetName val="조직필터"/>
      <sheetName val="산자사 운전용품"/>
      <sheetName val="TOWER 12TON"/>
      <sheetName val="TOWER 10TON"/>
      <sheetName val="JIB CRANE,HOIST"/>
      <sheetName val="계좌정보"/>
      <sheetName val="안산기계장치"/>
      <sheetName val="일위대가목차"/>
      <sheetName val="전기자료"/>
      <sheetName val="Sheet10"/>
      <sheetName val="A(Rev.3)"/>
      <sheetName val="총괄집계표"/>
      <sheetName val="합계표"/>
      <sheetName val="Basic Information"/>
      <sheetName val="6월_공嚺㓶가"/>
      <sheetName val="드롭다운"/>
      <sheetName val="10매출"/>
      <sheetName val="시험장S자로가로등공사"/>
      <sheetName val="Sheet17"/>
      <sheetName val="집계"/>
      <sheetName val="생산성(2차)"/>
      <sheetName val="요약(1차)"/>
      <sheetName val="한계원가"/>
      <sheetName val="일위대가(목록)"/>
      <sheetName val="재료비"/>
      <sheetName val="견적내역서"/>
      <sheetName val="6호기"/>
      <sheetName val="STRAT PLAN WKSHT"/>
      <sheetName val="Sales Plan &amp; other"/>
      <sheetName val="ConsolidateUSD"/>
      <sheetName val="STRAT_PLAN_WKSHT"/>
      <sheetName val="Sales_Plan_&amp;_other"/>
      <sheetName val="ref"/>
      <sheetName val="drop downs"/>
      <sheetName val="Project Count"/>
      <sheetName val="Index1"/>
      <sheetName val="STRAT_PLAN_WKSHT1"/>
      <sheetName val="Sales_Plan_&amp;_other1"/>
      <sheetName val="drop_downs"/>
      <sheetName val="XREF"/>
      <sheetName val="손익계산서"/>
      <sheetName val="hiddenSheet"/>
      <sheetName val="有型区分分类"/>
      <sheetName val="업무 분류(Category)"/>
      <sheetName val="euc"/>
      <sheetName val="진행 DATA (2)"/>
      <sheetName val="_x005f_x005f_x005f_x0000__x005f_x005f_x005f_x0000_"/>
      <sheetName val="Cntmrs"/>
      <sheetName val="$bhp"/>
      <sheetName val="업무분장 "/>
      <sheetName val="7300-1000.11"/>
      <sheetName val="7300-1000_11"/>
      <sheetName val="기준Data"/>
      <sheetName val="PJT 현황"/>
      <sheetName val="VNHA"/>
      <sheetName val="대차대조표-공시형"/>
      <sheetName val="참고) 기준정보"/>
      <sheetName val="포지셔닝(유형별)"/>
      <sheetName val="채권(하반기)"/>
      <sheetName val="금액"/>
      <sheetName val="제품"/>
      <sheetName val="분류표"/>
      <sheetName val="Long Term Prices"/>
      <sheetName val="생산량"/>
      <sheetName val="BK_PPA"/>
      <sheetName val="간접비차이_PJT"/>
      <sheetName val="Diesel Price "/>
      <sheetName val="견적 맵"/>
      <sheetName val="Sheet475"/>
      <sheetName val="수정양식"/>
      <sheetName val="#1 Basic"/>
      <sheetName val="만기"/>
      <sheetName val="월별비교(물리)"/>
      <sheetName val="첨부#2.Cash Flow(현장작성)"/>
      <sheetName val="미계약2"/>
      <sheetName val="단기차입금(200006)"/>
      <sheetName val="작성양식"/>
      <sheetName val="구분 Table"/>
      <sheetName val="1월"/>
      <sheetName val="회사전체"/>
      <sheetName val="입찰내역 Ĉ"/>
      <sheetName val="sum_x0008_"/>
      <sheetName val="wall"/>
      <sheetName val="1-1"/>
      <sheetName val="1공구산출내역서"/>
      <sheetName val="7_공사비집_x0000__x0000_Ā_x0000__x0005__x0000_翸_x0000_"/>
      <sheetName val="1.수인터널"/>
      <sheetName val="工완성공사율"/>
      <sheetName val="BATCH"/>
      <sheetName val="협가표"/>
      <sheetName val="아산추가1220"/>
      <sheetName val="가설공사내역"/>
      <sheetName val="401"/>
      <sheetName val="필요면적"/>
      <sheetName val="01_02월_성B_x0000_"/>
      <sheetName val="월간공정표(04월))"/>
      <sheetName val="교량하부공"/>
      <sheetName val="1~9 하중계산"/>
      <sheetName val="정공공사"/>
      <sheetName val="1-2.설계변경요청서(갑지)"/>
      <sheetName val="사유집계"/>
      <sheetName val="설계변경내역서(주차관제)"/>
      <sheetName val="증감사유"/>
      <sheetName val="첨부1.(주차관제-.당공)"/>
      <sheetName val="첨부1-1.설계변경내역서(CCTV)"/>
      <sheetName val="첨부1-2.(주차관제-변공)"/>
      <sheetName val="2-6.변공량(추가공사)"/>
      <sheetName val=" 2-1.관제(물량산출서집계표)"/>
      <sheetName val=" 2-2.유도(물량산출서집계표)"/>
      <sheetName val="물량산출서(총괄)"/>
      <sheetName val="3-1.주차관제"/>
      <sheetName val="3-2.주차-광케이블"/>
      <sheetName val="3-3.층별LPR"/>
      <sheetName val="4-1.유도-광케이블"/>
      <sheetName val="4-2.주차키오스크"/>
      <sheetName val="4-3.4면카메라"/>
      <sheetName val="4-5.CCTV"/>
      <sheetName val="4-6.블럭유도등"/>
      <sheetName val="4-7.입구만차등"/>
      <sheetName val="4-8.비상벨"/>
      <sheetName val="지장물C"/>
      <sheetName val="Phieu trinh ky cấu tháp"/>
      <sheetName val="Phieu trinh ky VTP"/>
      <sheetName val="KS-VTP"/>
      <sheetName val="KS-VL rời"/>
      <sheetName val="BCCP"/>
      <sheetName val="Tai san"/>
      <sheetName val="Check dong tien"/>
      <sheetName val="Chi phí SDTS"/>
      <sheetName val="Check COST"/>
      <sheetName val="KHTC"/>
      <sheetName val="DATA HD"/>
      <sheetName val="THNC"/>
      <sheetName val="KEY"/>
      <sheetName val="NC"/>
      <sheetName val="2TM"/>
      <sheetName val="1TM"/>
      <sheetName val="Tong hop 1TM"/>
      <sheetName val="WBS"/>
      <sheetName val="DMKH"/>
      <sheetName val="NS Lán trại"/>
      <sheetName val="Check cong no NC"/>
      <sheetName val="갑지1"/>
      <sheetName val="산출"/>
      <sheetName val="증감대비"/>
      <sheetName val="공종단가"/>
      <sheetName val="PAD_TR보호대기초1"/>
      <sheetName val="1__시공측량1"/>
      <sheetName val="납부내역총괄표_(수정)1"/>
      <sheetName val="수종별수량_(2)1"/>
      <sheetName val="Weekly_Progress(계장)1"/>
      <sheetName val="근거_및_가정1"/>
      <sheetName val="2_카드채권(대출포함)1"/>
      <sheetName val="1_차입금1"/>
      <sheetName val="부대시행1_(2)1"/>
      <sheetName val="3_6_2남양주택배1"/>
      <sheetName val="설산1_나1"/>
      <sheetName val="개발계획수립"/>
      <sheetName val="건축"/>
      <sheetName val="산근(목록)"/>
      <sheetName val="심사계산"/>
      <sheetName val="기초단가"/>
      <sheetName val="변수"/>
      <sheetName val="심사물량"/>
      <sheetName val="입력"/>
      <sheetName val="노임단"/>
      <sheetName val="단위수량"/>
      <sheetName val="예측단가간지"/>
      <sheetName val="환경일위대가"/>
      <sheetName val="1~69"/>
      <sheetName val="01_건설공사_투입인원수_산정"/>
      <sheetName val="운반공"/>
      <sheetName val="이형관중량"/>
      <sheetName val="일위목록"/>
      <sheetName val="자재단"/>
      <sheetName val="장비단"/>
      <sheetName val="고시단가"/>
      <sheetName val="지구단위계획"/>
      <sheetName val="단위모델"/>
      <sheetName val="1_종합손익(도급)6"/>
      <sheetName val="1_종합손익(주택,개발)5"/>
      <sheetName val="2_실행예산5"/>
      <sheetName val="2_2과부족5"/>
      <sheetName val="2_3원가절감5"/>
      <sheetName val="8_외주비집행현황5"/>
      <sheetName val="9_자재비5"/>
      <sheetName val="10_현장집행5"/>
      <sheetName val="3_추가원가5"/>
      <sheetName val="3_추가원가_(2)5"/>
      <sheetName val="4_사전공사5"/>
      <sheetName val="5_추정공사비5"/>
      <sheetName val="6_금융비용5"/>
      <sheetName val="7_공사비집행현황(총괄)5"/>
      <sheetName val="11_1생산성5"/>
      <sheetName val="11_2인원산출5"/>
      <sheetName val="CC_Down_load_07165"/>
      <sheetName val="변경실행(2차)_5"/>
      <sheetName val="나_출고5"/>
      <sheetName val="나_입고5"/>
      <sheetName val="09년_인건비(속리산)5"/>
      <sheetName val="합산목표(감가+57_5)5"/>
      <sheetName val="__한국_AMP_ASP-23_판매가격__4"/>
      <sheetName val="제조원가_원단위_분석4"/>
      <sheetName val="종합표양식(품의_&amp;_입고)_24"/>
      <sheetName val="원가관리_(동월대비)4"/>
      <sheetName val="기성청구_공문5"/>
      <sheetName val="6PILE__(돌출)4"/>
      <sheetName val="b_balju_(2)4"/>
      <sheetName val="중기조종사_단위단가4"/>
      <sheetName val="2-2_매출분석4"/>
      <sheetName val="몰드시스템_리스트4"/>
      <sheetName val="7_(2)4"/>
      <sheetName val="11_외화채무증권(AFS,HTM)084"/>
      <sheetName val="13_감액TEST_084"/>
      <sheetName val="Sheet1_(2)4"/>
      <sheetName val="sum1_(2)4"/>
      <sheetName val="12년_CF(9월)4"/>
      <sheetName val="2_대외공문4"/>
      <sheetName val="表21_净利润调节表4"/>
      <sheetName val="3_바닥판설계4"/>
      <sheetName val="2_총괄표4"/>
      <sheetName val="2_주요계수총괄2"/>
      <sheetName val="Project_Brief2"/>
      <sheetName val="TRE_TABLE2"/>
      <sheetName val="입찰내역_발주처_양식2"/>
      <sheetName val="504전기실_동부하-L4"/>
      <sheetName val="입출재고현황_(2)2"/>
      <sheetName val="P_M_별3"/>
      <sheetName val="단면_(2)2"/>
      <sheetName val="OUTER_AREA(겹침없음)4"/>
      <sheetName val="EL_표면적4"/>
      <sheetName val="1_본사계정별2"/>
      <sheetName val="Facility_Information2"/>
      <sheetName val="09~10년_매출계획2"/>
      <sheetName val="97_사업추정(WEKI)2"/>
      <sheetName val="6월_공정외주2"/>
      <sheetName val="Tong_hop2"/>
      <sheetName val="95_1_1이후취득자산(숨기기상태)2"/>
      <sheetName val="1_MDF1공장2"/>
      <sheetName val="PAD_TR보호대기초2"/>
      <sheetName val="1__시공측량2"/>
      <sheetName val="Data_Validation2"/>
      <sheetName val="납부내역총괄표_(수정)2"/>
      <sheetName val="수종별수량_(2)2"/>
      <sheetName val="Weekly_Progress(계장)2"/>
      <sheetName val="근거_및_가정2"/>
      <sheetName val="2_카드채권(대출포함)2"/>
      <sheetName val="1_차입금2"/>
      <sheetName val="부대시행1_(2)2"/>
      <sheetName val="118_세금과공과2"/>
      <sheetName val="3_6_2남양주택배2"/>
      <sheetName val="설산1_나2"/>
      <sheetName val="2_실행ﶻĉ_x0000_"/>
      <sheetName val="2_실행䔭疖꜀"/>
      <sheetName val="2_실행ﶻ_x001e__x0000_"/>
      <sheetName val="자금_제_x0000__x0000_Ԁ_x0000_"/>
      <sheetName val="자판실행"/>
      <sheetName val="_x005f_x0000___x0000__x0000__x0005__x0000_㴐ኰ"/>
      <sheetName val="_x005f_x0000___x0000__x0000__x0005__x0000_움ᕕ"/>
      <sheetName val="기성"/>
      <sheetName val="BQ"/>
      <sheetName val="Basic"/>
      <sheetName val="Back_Data_12"/>
      <sheetName val="1월_예산1"/>
      <sheetName val="_견적서1"/>
      <sheetName val="해외_기술훈련비_(합계)2"/>
      <sheetName val="설문_평가1"/>
      <sheetName val="전선_및_전선관1"/>
      <sheetName val="#1)_투자_구분1"/>
      <sheetName val="2013_2월_연결대상1"/>
      <sheetName val="Utility_Usage_YTN_TOWER1"/>
      <sheetName val="B-1_기본정보1"/>
      <sheetName val="대투_보관자료_변경1"/>
      <sheetName val="G_R300경비"/>
      <sheetName val="AS포장복구_"/>
      <sheetName val="설_계"/>
      <sheetName val="수량산출서_갑지"/>
      <sheetName val="KEY_CODE1"/>
      <sheetName val="실행기성_갑지1"/>
      <sheetName val="Eq__Mobilization"/>
      <sheetName val="준검_내역서"/>
      <sheetName val="날개수량1_5"/>
      <sheetName val="Rev__Recon_1"/>
      <sheetName val="1_고객불만건수"/>
      <sheetName val="1_변경범위"/>
      <sheetName val="외주현황_wq11"/>
      <sheetName val="Jul-Sep_Actual_cost_(2)1"/>
      <sheetName val="3YP2016-Bottom_up1"/>
      <sheetName val="MASTER_APP1"/>
      <sheetName val="Cond__Inseguros1"/>
      <sheetName val="Comp__Inseguros1"/>
      <sheetName val="Lista_de_datos1"/>
      <sheetName val="Base_de_Datos1"/>
      <sheetName val="_DD_List1"/>
      <sheetName val="Share_Price_20021"/>
      <sheetName val="Clasif_1"/>
      <sheetName val="Lista_CI1"/>
      <sheetName val="Farol_Acciones1"/>
      <sheetName val="Lista_de_Entrenamientos1"/>
      <sheetName val="Supply_Cost_Centers1"/>
      <sheetName val="BEP_加薪_KPI1"/>
      <sheetName val="2-1_강사료,교통비_지급명세1"/>
      <sheetName val="13_포장용역비표준1"/>
      <sheetName val="9_가공부자재표준1"/>
      <sheetName val="8_ROLL표준(TSW)1"/>
      <sheetName val="4_톤당조관량표준1"/>
      <sheetName val="5_조관부자재표준1"/>
      <sheetName val="2-2_투자1"/>
      <sheetName val="Proj__Fin_1"/>
      <sheetName val="ITS_Assumptions"/>
      <sheetName val="Master_Data"/>
      <sheetName val="HQ_급여_"/>
      <sheetName val="OF_급여"/>
      <sheetName val="F_Ma급여"/>
      <sheetName val="SMT_급여"/>
      <sheetName val="QC_급여"/>
      <sheetName val="Sam_sung_급여"/>
      <sheetName val="Dlock_급여"/>
      <sheetName val="_thôi_việc_급여"/>
      <sheetName val="Công_smt"/>
      <sheetName val="Công_smt_(2)"/>
      <sheetName val="Detail_smt"/>
      <sheetName val="Công_QC"/>
      <sheetName val="Detail_QC_"/>
      <sheetName val="Công_SS"/>
      <sheetName val="Detail_SS"/>
      <sheetName val="Công_FMa"/>
      <sheetName val="Detail_FMa"/>
      <sheetName val="Công_OF"/>
      <sheetName val="Detail_OF"/>
      <sheetName val="Công_Dlock"/>
      <sheetName val="Detail_Dlock"/>
      <sheetName val="Công_thôi_việc"/>
      <sheetName val="Detail_thôi"/>
      <sheetName val="7_Utility_Analysis"/>
      <sheetName val="Operational_Activities"/>
      <sheetName val="F_월별기성수금현황_"/>
      <sheetName val="기초정보_코드"/>
      <sheetName val="1__작성방식"/>
      <sheetName val="조도계산서_(도서)"/>
      <sheetName val="C1_3_1"/>
      <sheetName val="입찰내역_Ĉᇆ"/>
      <sheetName val="입찰내역_Ĉᇆ"/>
      <sheetName val="sum_x000a_"/>
      <sheetName val="_"/>
      <sheetName val="설비등록"/>
      <sheetName val="표)CFT장_조직별_배분"/>
      <sheetName val="20180214_P&amp;T"/>
      <sheetName val="Ref__중점_추진_과제별_상세"/>
      <sheetName val="2_6_三无_(2)"/>
      <sheetName val="Worker_List"/>
      <sheetName val="GB-IC_Villingen_GG"/>
      <sheetName val="A(Rev_3)"/>
      <sheetName val="gr_val"/>
      <sheetName val="gr_sum"/>
      <sheetName val="BSD (2)"/>
      <sheetName val="C1ㅇ"/>
      <sheetName val="단가조정"/>
      <sheetName val="공통부대비"/>
      <sheetName val="체신주조서"/>
      <sheetName val="오스피셔스제사차"/>
      <sheetName val="공통비_x0000__x0000_ʯ"/>
      <sheetName val="공통비_x0000_í遘̩"/>
      <sheetName val="파일의이용"/>
      <sheetName val="_x005f_x005f_x005f_x0000__x005f"/>
      <sheetName val="소주(苏州)"/>
      <sheetName val="master(ZH)"/>
      <sheetName val="2.FM Fee_2차년도"/>
      <sheetName val="3.감가장비"/>
      <sheetName val="3.공통공사대비"/>
      <sheetName val="2002년12월"/>
      <sheetName val="현장관리비 산출내역"/>
      <sheetName val="일일투입집계표"/>
      <sheetName val="평가데이터"/>
      <sheetName val="Macro3"/>
      <sheetName val="무형자산 LS11"/>
      <sheetName val="Global"/>
      <sheetName val="PUR-12K"/>
      <sheetName val="TSCLFEB"/>
      <sheetName val="1o_Sem"/>
      <sheetName val="2o_Sem"/>
      <sheetName val="ID_Ano"/>
      <sheetName val="BaseReal"/>
      <sheetName val="Devolução_Cx_Mês"/>
      <sheetName val="Base_Fornec_M_AS_Hl"/>
      <sheetName val="Acompanhamento_Devolução"/>
      <sheetName val="Base_%_VD"/>
      <sheetName val="Ta_x0005_"/>
      <sheetName val="Base Farol"/>
      <sheetName val="Gerencial IL"/>
      <sheetName val="Ventas Campo"/>
      <sheetName val="Graficos"/>
      <sheetName val="FornecM_Check1"/>
      <sheetName val="Unidades_SAC-REVENDA3"/>
      <sheetName val="[손익기01_XL??DePara1"/>
      <sheetName val="Farol_Metas1"/>
      <sheetName val="Mod_Relac_1"/>
      <sheetName val="Estratificación_AI1"/>
      <sheetName val="condicion_inseguras1"/>
      <sheetName val="Actos_Inseguros1"/>
      <sheetName val="Control_de_incidentes1"/>
      <sheetName val="Plan_de_Acción1"/>
      <sheetName val="TOP_KPIs_MTM"/>
      <sheetName val="PLAN_DE_ACCION"/>
      <sheetName val="Faro_de_Indicadores"/>
      <sheetName val="Grafica_Actos"/>
      <sheetName val="Condiciones_SyE"/>
      <sheetName val="REALxMETA_-_CERVEJA2"/>
      <sheetName val="REALxMETA_-_REFRI2"/>
      <sheetName val="Dashboard_Prevención_Riesgos_"/>
      <sheetName val="POC_LIST"/>
      <sheetName val="Entity_Target"/>
      <sheetName val="Issues_List_Payments"/>
      <sheetName val="ACTOS POR RIESGO"/>
      <sheetName val="drop lists"/>
      <sheetName val="MRL NON SUPPLY URU"/>
      <sheetName val="AIIM - Empresas Ext 2012"/>
      <sheetName val="Blad2"/>
      <sheetName val="KPIs Hana"/>
      <sheetName val="CausasProblemasFolios"/>
      <sheetName val="Catalago de refacciones "/>
      <sheetName val="Existencias al 07-Nov-2012"/>
      <sheetName val="GAP"/>
      <sheetName val="Check GG"/>
      <sheetName val="요일_테이블4"/>
      <sheetName val="요일_테이블_(2)3"/>
      <sheetName val="TO_Data_Base12"/>
      <sheetName val="YTD_Summary11"/>
      <sheetName val="Month_Summary11"/>
      <sheetName val="Trial_Balance_MAY_200911"/>
      <sheetName val="TB_Pivot11"/>
      <sheetName val="total_per_LB_LB211"/>
      <sheetName val="Trial_Balance_Vlookup11"/>
      <sheetName val="Trial_Balance_APRIL_200911"/>
      <sheetName val="Roll_Out_AQ11"/>
      <sheetName val="Evolução_mandamentos11"/>
      <sheetName val="Planilha_resultados10"/>
      <sheetName val="Historico_200310"/>
      <sheetName val="Sig_Cycles_Accts_&amp;_Processes10"/>
      <sheetName val="Fixed_ZBB4"/>
      <sheetName val="E_法规NC4"/>
      <sheetName val="3_ISo_YTD4"/>
      <sheetName val="Données_LMU4"/>
      <sheetName val="Brazil_Sovereign4"/>
      <sheetName val="Resumen_Costo4"/>
      <sheetName val="Base_de_Dados4"/>
      <sheetName val="Extract_Loss4"/>
      <sheetName val="5_14"/>
      <sheetName val="QA_跟踪记录表4"/>
      <sheetName val="RG_Depots4"/>
      <sheetName val="material_data4"/>
      <sheetName val="other_data4"/>
      <sheetName val="Como_Estamos4"/>
      <sheetName val="Database_(RUR)Mar_YTD4"/>
      <sheetName val="SKU_Mapping4"/>
      <sheetName val="Drop_Down4"/>
      <sheetName val="Raw_Data4"/>
      <sheetName val="EBM-2_GHQ4"/>
      <sheetName val="Base_PEF5"/>
      <sheetName val="Controls_data6"/>
      <sheetName val="Dados_BLP4"/>
      <sheetName val="Testing_Template_Guidance4"/>
      <sheetName val="Test_Programs4"/>
      <sheetName val="FJJX_Bud_IB3"/>
      <sheetName val="JOB_PROFILE_-_LAS4"/>
      <sheetName val="ARdistr_(2)4"/>
      <sheetName val="look-up_data3"/>
      <sheetName val="Prd_Hierarchy(产品层级)3"/>
      <sheetName val="Com_(2PK)3"/>
      <sheetName val="전사_PL5"/>
      <sheetName val="자금_제외_PL5"/>
      <sheetName val="자금_PL5"/>
      <sheetName val="전사_BS5"/>
      <sheetName val="자금_제외_BS5"/>
      <sheetName val="자금_BS5"/>
      <sheetName val="BS_계정_설명5"/>
      <sheetName val="_Cash_Flow(전사)5"/>
      <sheetName val="_Cash_Flow(자금제외)5"/>
      <sheetName val="_Cash_Flow(자금)5"/>
      <sheetName val="ROIC_5"/>
      <sheetName val="인건비_명세5"/>
      <sheetName val="판관비_명세5"/>
      <sheetName val="OH_Cost경비(내역)5"/>
      <sheetName val="OH_Cost경비(배부기준)5"/>
      <sheetName val="기타수지&amp;특별손익_명세5"/>
      <sheetName val="업무연락_(2)4"/>
      <sheetName val="제시_손익계산서4"/>
      <sheetName val="01_02월_성과급5"/>
      <sheetName val="M_7회차_담금_계획4"/>
      <sheetName val="팀별_실적4"/>
      <sheetName val="팀별_실적_(환산)4"/>
      <sheetName val="4__Inj_투자상세내역4"/>
      <sheetName val="3__Blow_투자_상세내역4"/>
      <sheetName val="Process_List4"/>
      <sheetName val="Prd_Hierarchy(产品层次)3"/>
      <sheetName val="Project_Code3"/>
      <sheetName val="_손익기01_XL3"/>
      <sheetName val="drop_down_list3"/>
      <sheetName val="[손익기01_XL_x005f_x0000__x005f_x0000_DePara3"/>
      <sheetName val="Income_Stmt3"/>
      <sheetName val="Quarterly_LBO_Model3"/>
      <sheetName val="[손익기01_XL3"/>
      <sheetName val="_손익기01_XL_x005f_x0000__x005f_x0000_DePara3"/>
      <sheetName val="15년_BL_사계3"/>
      <sheetName val="Classification_分类2"/>
      <sheetName val="Figures_Report2"/>
      <sheetName val="Set_Up3"/>
      <sheetName val="Fare_prices2"/>
      <sheetName val="Hotel_prices2"/>
      <sheetName val="tab_STATUS_DO_PROCESSO_2"/>
      <sheetName val="Perf__Plan__Diário12"/>
      <sheetName val="In_(2)2"/>
      <sheetName val="slide_24_cat_A2"/>
      <sheetName val="slide_82_cat_b2"/>
      <sheetName val="Incident_유형구분표2"/>
      <sheetName val="CLASIFICACION_DE_AI2"/>
      <sheetName val="Base_da_Datos2"/>
      <sheetName val="Dados_dos_Produtos2"/>
      <sheetName val="DD_list2"/>
      <sheetName val="F08_-_Asia_Pac_Full_Year_Q31"/>
      <sheetName val="Top_Priorities1"/>
      <sheetName val="Listco_Stock1"/>
      <sheetName val="Intl_Purchase1"/>
      <sheetName val="FY_outlook1"/>
      <sheetName val="CY_outlook1"/>
      <sheetName val="Cash_metrics1"/>
      <sheetName val="P6_71"/>
      <sheetName val="DATOS_BASE"/>
      <sheetName val="Hazards_Analysis-隐患分析"/>
      <sheetName val="_손익기01_XL_x005f_x005f_x005f_x0000__x005f_x005f_x0"/>
      <sheetName val="turnover_reason퇴직사유"/>
      <sheetName val="SKU_Basic_Data"/>
      <sheetName val="DETALLE_MENSUAL"/>
      <sheetName val="do_not_delete"/>
      <sheetName val="APAC_S"/>
      <sheetName val="APAC_N"/>
      <sheetName val="Slide_output"/>
      <sheetName val="Directrices_de_Metas_2017"/>
      <sheetName val="구분"/>
      <sheetName val="요일_테이블5"/>
      <sheetName val="요일_테이블_(2)4"/>
      <sheetName val="TO_Data_Base13"/>
      <sheetName val="YTD_Summary12"/>
      <sheetName val="Month_Summary12"/>
      <sheetName val="Trial_Balance_MAY_200912"/>
      <sheetName val="TB_Pivot12"/>
      <sheetName val="total_per_LB_LB212"/>
      <sheetName val="Trial_Balance_Vlookup12"/>
      <sheetName val="Trial_Balance_APRIL_200912"/>
      <sheetName val="Roll_Out_AQ12"/>
      <sheetName val="Evolução_mandamentos12"/>
      <sheetName val="Planilha_resultados11"/>
      <sheetName val="Historico_200311"/>
      <sheetName val="Sig_Cycles_Accts_&amp;_Processes11"/>
      <sheetName val="Fixed_ZBB5"/>
      <sheetName val="E_法规NC5"/>
      <sheetName val="3_ISo_YTD5"/>
      <sheetName val="Données_LMU5"/>
      <sheetName val="Brazil_Sovereign5"/>
      <sheetName val="Resumen_Costo5"/>
      <sheetName val="Base_de_Dados5"/>
      <sheetName val="Extract_Loss5"/>
      <sheetName val="5_15"/>
      <sheetName val="QA_跟踪记录表5"/>
      <sheetName val="RG_Depots5"/>
      <sheetName val="material_data5"/>
      <sheetName val="other_data5"/>
      <sheetName val="Como_Estamos5"/>
      <sheetName val="Database_(RUR)Mar_YTD5"/>
      <sheetName val="SKU_Mapping5"/>
      <sheetName val="Drop_Down5"/>
      <sheetName val="Raw_Data5"/>
      <sheetName val="EBM-2_GHQ5"/>
      <sheetName val="Base_PEF6"/>
      <sheetName val="Controls_data7"/>
      <sheetName val="Dados_BLP5"/>
      <sheetName val="Testing_Template_Guidance5"/>
      <sheetName val="Test_Programs5"/>
      <sheetName val="FJJX_Bud_IB4"/>
      <sheetName val="JOB_PROFILE_-_LAS5"/>
      <sheetName val="ARdistr_(2)5"/>
      <sheetName val="look-up_data4"/>
      <sheetName val="Prd_Hierarchy(产品层级)4"/>
      <sheetName val="Com_(2PK)4"/>
      <sheetName val="전사_PL6"/>
      <sheetName val="자금_제외_PL6"/>
      <sheetName val="자금_PL6"/>
      <sheetName val="전사_BS6"/>
      <sheetName val="자금_제외_BS6"/>
      <sheetName val="자금_BS6"/>
      <sheetName val="BS_계정_설명6"/>
      <sheetName val="_Cash_Flow(전사)6"/>
      <sheetName val="_Cash_Flow(자금제외)6"/>
      <sheetName val="_Cash_Flow(자금)6"/>
      <sheetName val="ROIC_6"/>
      <sheetName val="인건비_명세6"/>
      <sheetName val="판관비_명세6"/>
      <sheetName val="OH_Cost경비(내역)6"/>
      <sheetName val="OH_Cost경비(배부기준)6"/>
      <sheetName val="기타수지&amp;특별손익_명세6"/>
      <sheetName val="업무연락_(2)5"/>
      <sheetName val="제시_손익계산서5"/>
      <sheetName val="01_02월_성과급6"/>
      <sheetName val="M_7회차_담금_계획5"/>
      <sheetName val="팀별_실적5"/>
      <sheetName val="팀별_실적_(환산)5"/>
      <sheetName val="4__Inj_투자상세내역5"/>
      <sheetName val="3__Blow_투자_상세내역5"/>
      <sheetName val="Process_List5"/>
      <sheetName val="7_(2)5"/>
      <sheetName val="Prd_Hierarchy(产品层次)4"/>
      <sheetName val="Project_Code4"/>
      <sheetName val="_손익기01_XL4"/>
      <sheetName val="drop_down_list4"/>
      <sheetName val="[손익기01_XL_x005f_x0000__x005f_x0000_DePara4"/>
      <sheetName val="Income_Stmt4"/>
      <sheetName val="Quarterly_LBO_Model4"/>
      <sheetName val="[손익기01_XL4"/>
      <sheetName val="_손익기01_XL_x005f_x0000__x005f_x0000_DePara4"/>
      <sheetName val="15년_BL_사계4"/>
      <sheetName val="Classification_分类3"/>
      <sheetName val="Figures_Report3"/>
      <sheetName val="Set_Up4"/>
      <sheetName val="Fare_prices3"/>
      <sheetName val="Hotel_prices3"/>
      <sheetName val="tab_STATUS_DO_PROCESSO_3"/>
      <sheetName val="Perf__Plan__Diário13"/>
      <sheetName val="In_(2)3"/>
      <sheetName val="slide_24_cat_A3"/>
      <sheetName val="slide_82_cat_b3"/>
      <sheetName val="09~10년_매출계획3"/>
      <sheetName val="1_MDF1공장3"/>
      <sheetName val="Incident_유형구분표3"/>
      <sheetName val="CLASIFICACION_DE_AI3"/>
      <sheetName val="Base_da_Datos3"/>
      <sheetName val="Dados_dos_Produtos3"/>
      <sheetName val="DD_list3"/>
      <sheetName val="3YP2016-Bottom_up2"/>
      <sheetName val="MASTER_APP2"/>
      <sheetName val="Cond__Inseguros2"/>
      <sheetName val="Comp__Inseguros2"/>
      <sheetName val="Lista_de_datos2"/>
      <sheetName val="Base_de_Datos2"/>
      <sheetName val="_DD_List2"/>
      <sheetName val="Share_Price_20022"/>
      <sheetName val="Clasif_2"/>
      <sheetName val="Lista_CI2"/>
      <sheetName val="Farol_Acciones2"/>
      <sheetName val="Lista_de_Entrenamientos2"/>
      <sheetName val="Supply_Cost_Centers2"/>
      <sheetName val="F08_-_Asia_Pac_Full_Year_Q32"/>
      <sheetName val="Top_Priorities2"/>
      <sheetName val="Listco_Stock2"/>
      <sheetName val="Intl_Purchase2"/>
      <sheetName val="FY_outlook2"/>
      <sheetName val="CY_outlook2"/>
      <sheetName val="Cash_metrics2"/>
      <sheetName val="P6_72"/>
      <sheetName val="DATOS_BASE1"/>
      <sheetName val="Hazards_Analysis-隐患分析1"/>
      <sheetName val="_손익기01_XL_x005f_x005f_x005f_x0000__x005f_x005f_x1"/>
      <sheetName val="Dashboard_Prevención_Riesgos_1"/>
      <sheetName val="TOP_KPIs_MTM1"/>
      <sheetName val="PLAN_DE_ACCION1"/>
      <sheetName val="Faro_de_Indicadores1"/>
      <sheetName val="Issues_List_Payments1"/>
      <sheetName val="Grafica_Actos1"/>
      <sheetName val="Condiciones_SyE1"/>
      <sheetName val="turnover_reason퇴직사유1"/>
      <sheetName val="POC_LIST1"/>
      <sheetName val="SKU_Basic_Data1"/>
      <sheetName val="DETALLE_MENSUAL1"/>
      <sheetName val="do_not_delete1"/>
      <sheetName val="REALxMETA_-_CERVEJA3"/>
      <sheetName val="REALxMETA_-_REFRI3"/>
      <sheetName val="APAC_S1"/>
      <sheetName val="APAC_N1"/>
      <sheetName val="Slide_output1"/>
      <sheetName val="Directrices_de_Metas_20171"/>
      <sheetName val="Entity_Target1"/>
      <sheetName val="VALIDACION_DE_DATOS"/>
      <sheetName val="Drop-down_List"/>
      <sheetName val="by_DD"/>
      <sheetName val="_손익기01.XL_x005f_x0000__x0"/>
      <sheetName val="工作表2"/>
      <sheetName val="条件格式选项"/>
      <sheetName val="单位信息"/>
      <sheetName val="条件格式"/>
      <sheetName val="요일 테이블 "/>
      <sheetName val="Nombre de SOP"/>
      <sheetName val="Vermelha"/>
      <sheetName val="Список"/>
      <sheetName val="targets"/>
      <sheetName val=" mngt Pillar"/>
      <sheetName val="2. Indicadores"/>
      <sheetName val="Ta¨"/>
      <sheetName val="Ta "/>
      <sheetName val="Sheet3 (2)"/>
      <sheetName val="Hoegaarden"/>
      <sheetName val="Lao &amp; Cam"/>
      <sheetName val="Hoegaarden 2019"/>
      <sheetName val="Lao &amp; Cam 2019"/>
      <sheetName val="Malaysia"/>
      <sheetName val="Malaysia 2019"/>
      <sheetName val="Singapore"/>
      <sheetName val="Singapore 2019"/>
      <sheetName val="Sheet2 (2)"/>
      <sheetName val="下拉菜单选项"/>
      <sheetName val="Lookups"/>
      <sheetName val="Other Listings"/>
      <sheetName val="Registros"/>
      <sheetName val="Lista de Entrenamientos RSO"/>
      <sheetName val="Tablero SDG"/>
      <sheetName val="Lista Areas"/>
      <sheetName val="One Page"/>
      <sheetName val="Tablero_SDG"/>
      <sheetName val="Lista_Areas"/>
      <sheetName val="One_Page"/>
      <sheetName val="Tablero_SDG1"/>
      <sheetName val="Lista_Areas1"/>
      <sheetName val="One_Page1"/>
      <sheetName val="Sub-Productos HN"/>
      <sheetName val="SDG"/>
      <sheetName val="Eficiencia linea"/>
      <sheetName val="Tablero_SDG2"/>
      <sheetName val="Lista_Areas2"/>
      <sheetName val="One_Page2"/>
      <sheetName val="Sub-Productos_HN"/>
      <sheetName val="Capa"/>
      <sheetName val="Reference"/>
      <sheetName val="Dropdown"/>
      <sheetName val="[손익기01_XL_x0000__x0000_DePara2"/>
      <sheetName val="_손익기01_XL_x0000__x0000_DePara2"/>
      <sheetName val="[손익기01_XL_x0000__x0000_DePara1"/>
      <sheetName val="_손익기01_XL_x0000__x0000_DePara1"/>
      <sheetName val="有效性"/>
      <sheetName val="基础信息"/>
      <sheetName val="dd"/>
      <sheetName val="隐患统计图"/>
      <sheetName val="Refs"/>
      <sheetName val="Unidades_SAC-REVENDA4"/>
      <sheetName val="FornecM_Check2"/>
      <sheetName val="Mod_Relac_2"/>
      <sheetName val="[손익기01_XL??DePara2"/>
      <sheetName val="Farol_Metas2"/>
      <sheetName val="Estratificación_AI2"/>
      <sheetName val="condicion_inseguras2"/>
      <sheetName val="Actos_Inseguros2"/>
      <sheetName val="Control_de_incidentes2"/>
      <sheetName val="Plan_de_Acción2"/>
      <sheetName val="Check_Qualidade"/>
      <sheetName val="De_Para1"/>
      <sheetName val="Check_Aderencia"/>
      <sheetName val="Ta"/>
      <sheetName val="Base_Farol"/>
      <sheetName val="Ventas_Campo"/>
      <sheetName val="Gerencial_IL"/>
      <sheetName val="Ta_"/>
      <sheetName val="ACTOS_POR_RIESGO"/>
      <sheetName val="Nombre_de_SOP"/>
      <sheetName val="drop_lists"/>
      <sheetName val="Check_GG"/>
      <sheetName val="KPIs_Hana"/>
      <sheetName val="Catalago_de_refacciones_"/>
      <sheetName val="Existencias_al_07-Nov-2012"/>
      <sheetName val="MRL_NON_SUPPLY_URU"/>
      <sheetName val="AIIM_-_Empresas_Ext_2012"/>
      <sheetName val="Pauta RPS Distribuição"/>
      <sheetName val="BaseGrupo"/>
      <sheetName val="RProd"/>
      <sheetName val="Planilha1"/>
      <sheetName val="Planilha2"/>
      <sheetName val="Estoque"/>
      <sheetName val="Estoque (2)"/>
      <sheetName val="ajuda"/>
      <sheetName val="Adm"/>
      <sheetName val="Controls"/>
      <sheetName val="菜单联动"/>
      <sheetName val="不安全行为库"/>
      <sheetName val="KPI标准"/>
      <sheetName val="Motorista"/>
      <sheetName val="[손익기01_XL_x0000__x0000_DePara3"/>
      <sheetName val="_손익기01_XL_x0000__x0000_DePara3"/>
      <sheetName val="_손익기01.XL_x0000__x0"/>
      <sheetName val="[손익기01_XL_x0000__x0000_DePara4"/>
      <sheetName val="_손익기01_XL_x0000__x0000_DePara4"/>
      <sheetName val="_손익기01_XL_x005f_x0000__x0"/>
      <sheetName val="_손익기01_XL_x005f_x0000__x1"/>
      <sheetName val="Julio"/>
      <sheetName val="CONTADOR"/>
      <sheetName val="DROP"/>
      <sheetName val="INGRESO"/>
      <sheetName val="DATOS DE VALIDACIÓN"/>
      <sheetName val="clasificación"/>
      <sheetName val="Datos con"/>
      <sheetName val="Dato"/>
      <sheetName val="Enero(11)"/>
      <sheetName val="Respel-RAEE"/>
      <sheetName val="Asistencia"/>
      <sheetName val=" Datos Cond."/>
      <sheetName val="CRITERIOS"/>
      <sheetName val="참조용"/>
      <sheetName val="이상욱"/>
      <sheetName val="최창원"/>
      <sheetName val="권순오"/>
      <sheetName val="유윤선"/>
      <sheetName val="서유덕"/>
      <sheetName val="이창훈"/>
      <sheetName val="이도현"/>
      <sheetName val="진형수"/>
      <sheetName val="원영훈"/>
      <sheetName val="정진광"/>
      <sheetName val="강승권"/>
      <sheetName val="마민호"/>
      <sheetName val="주차통행료"/>
      <sheetName val="이상욱2"/>
      <sheetName val="Comp Inseguros"/>
      <sheetName val="BNR_2012 в ящике"/>
      <sheetName val="Legend"/>
      <sheetName val="INGRESO (2)"/>
      <sheetName val="PG-K1610 (UEN Areas)MNG"/>
      <sheetName val="DATOS GEN."/>
      <sheetName val="NUEVOS CRITERIOS"/>
      <sheetName val="Condiciones Agua"/>
      <sheetName val="筛选列表"/>
      <sheetName val="ETD"/>
      <sheetName val="Cons"/>
      <sheetName val="TO_Data_Base14"/>
      <sheetName val="YTD_Summary13"/>
      <sheetName val="Month_Summary13"/>
      <sheetName val="Trial_Balance_MAY_200913"/>
      <sheetName val="TB_Pivot13"/>
      <sheetName val="total_per_LB_LB213"/>
      <sheetName val="Trial_Balance_Vlookup13"/>
      <sheetName val="Trial_Balance_APRIL_200913"/>
      <sheetName val="Roll_Out_AQ13"/>
      <sheetName val="Evolução_mandamentos13"/>
      <sheetName val="Planilha_resultados12"/>
      <sheetName val="Historico_200312"/>
      <sheetName val="Sig_Cycles_Accts_&amp;_Processes12"/>
      <sheetName val="Fixed_ZBB6"/>
      <sheetName val="E_法规NC6"/>
      <sheetName val="3_ISo_YTD6"/>
      <sheetName val="Données_LMU6"/>
      <sheetName val="Brazil_Sovereign6"/>
      <sheetName val="Resumen_Costo6"/>
      <sheetName val="Extract_Loss6"/>
      <sheetName val="QA_跟踪记录表6"/>
      <sheetName val="5_16"/>
      <sheetName val="Base_de_Dados6"/>
      <sheetName val="Como_Estamos6"/>
      <sheetName val="Controls_data8"/>
      <sheetName val="RG_Depots6"/>
      <sheetName val="material_data6"/>
      <sheetName val="other_data6"/>
      <sheetName val="Database_(RUR)Mar_YTD6"/>
      <sheetName val="SKU_Mapping6"/>
      <sheetName val="Drop_Down6"/>
      <sheetName val="Raw_Data6"/>
      <sheetName val="EBM-2_GHQ6"/>
      <sheetName val="Base_PEF7"/>
      <sheetName val="Testing_Template_Guidance6"/>
      <sheetName val="Test_Programs6"/>
      <sheetName val="Dados_BLP6"/>
      <sheetName val="FJJX_Bud_IB5"/>
      <sheetName val="JOB_PROFILE_-_LAS6"/>
      <sheetName val="ARdistr_(2)6"/>
      <sheetName val="look-up_data5"/>
      <sheetName val="Prd_Hierarchy(产品层级)5"/>
      <sheetName val="Com_(2PK)5"/>
      <sheetName val="Project_Code5"/>
      <sheetName val="요일_테이블6"/>
      <sheetName val="요일_테이블_(2)5"/>
      <sheetName val="Prd_Hierarchy(产品层次)5"/>
      <sheetName val="전사_PL7"/>
      <sheetName val="자금_제외_PL7"/>
      <sheetName val="자금_PL7"/>
      <sheetName val="전사_BS7"/>
      <sheetName val="자금_제외_BS7"/>
      <sheetName val="자금_BS7"/>
      <sheetName val="BS_계정_설명7"/>
      <sheetName val="_Cash_Flow(전사)7"/>
      <sheetName val="_Cash_Flow(자금제외)7"/>
      <sheetName val="_Cash_Flow(자금)7"/>
      <sheetName val="ROIC_7"/>
      <sheetName val="인건비_명세7"/>
      <sheetName val="판관비_명세7"/>
      <sheetName val="OH_Cost경비(내역)7"/>
      <sheetName val="OH_Cost경비(배부기준)7"/>
      <sheetName val="기타수지&amp;특별손익_명세7"/>
      <sheetName val="업무연락_(2)6"/>
      <sheetName val="제시_손익계산서6"/>
      <sheetName val="01_02월_성과급7"/>
      <sheetName val="M_7회차_담금_계획6"/>
      <sheetName val="팀별_실적6"/>
      <sheetName val="팀별_실적_(환산)6"/>
      <sheetName val="4__Inj_투자상세내역6"/>
      <sheetName val="3__Blow_투자_상세내역6"/>
      <sheetName val="Process_List6"/>
      <sheetName val="7_(2)6"/>
      <sheetName val="_손익기01_XL5"/>
      <sheetName val="Income_Stmt5"/>
      <sheetName val="drop_down_list5"/>
      <sheetName val="[손익기01_XL_x005f_x0000__x005f_x0000_DePara5"/>
      <sheetName val="Quarterly_LBO_Model5"/>
      <sheetName val="Figures_Report4"/>
      <sheetName val="[손익기01_XL5"/>
      <sheetName val="_손익기01_XL_x005f_x0000__x005f_x0000_DePara5"/>
      <sheetName val="Fare_prices4"/>
      <sheetName val="Hotel_prices4"/>
      <sheetName val="Set_Up5"/>
      <sheetName val="15년_BL_사계5"/>
      <sheetName val="Classification_分类4"/>
      <sheetName val="tab_STATUS_DO_PROCESSO_4"/>
      <sheetName val="Perf__Plan__Diário14"/>
      <sheetName val="In_(2)4"/>
      <sheetName val="CLASIFICACION_DE_AI4"/>
      <sheetName val="Base_da_Datos4"/>
      <sheetName val="slide_24_cat_A4"/>
      <sheetName val="slide_82_cat_b4"/>
      <sheetName val="Dados_dos_Produtos4"/>
      <sheetName val="09~10년_매출계획4"/>
      <sheetName val="1_MDF1공장4"/>
      <sheetName val="Incident_유형구분표4"/>
      <sheetName val="3YP2016-Bottom_up3"/>
      <sheetName val="DD_list4"/>
      <sheetName val="Base_de_Datos3"/>
      <sheetName val="Clasif_3"/>
      <sheetName val="Supply_Cost_Centers3"/>
      <sheetName val="Cond__Inseguros3"/>
      <sheetName val="Comp__Inseguros3"/>
      <sheetName val="Lista_de_datos3"/>
      <sheetName val="MASTER_APP3"/>
      <sheetName val="2_카드채권(대출포함)3"/>
      <sheetName val="Lista_CI3"/>
      <sheetName val="Dashboard_Prevención_Riesgos_2"/>
      <sheetName val="TOP_KPIs_MTM2"/>
      <sheetName val="PLAN_DE_ACCION2"/>
      <sheetName val="Faro_de_Indicadores2"/>
      <sheetName val="Farol_Acciones3"/>
      <sheetName val="Lista_de_Entrenamientos3"/>
      <sheetName val="Share_Price_20023"/>
      <sheetName val="_DD_List3"/>
      <sheetName val="BEP_加薪_KPI2"/>
      <sheetName val="Issues_List_Payments2"/>
      <sheetName val="do_not_delete2"/>
      <sheetName val="Grafica_Actos2"/>
      <sheetName val="APAC_S2"/>
      <sheetName val="APAC_N2"/>
      <sheetName val="Slide_output2"/>
      <sheetName val="Condiciones_SyE2"/>
      <sheetName val="REALxMETA_-_CERVEJA4"/>
      <sheetName val="REALxMETA_-_REFRI4"/>
      <sheetName val="Directrices_de_Metas_20172"/>
      <sheetName val="_손익기01_XL_x005f_x005f_x005f_x0000__x005f_x005f_x2"/>
      <sheetName val="Hazards_Analysis-隐患分析2"/>
      <sheetName val="F08_-_Asia_Pac_Full_Year_Q33"/>
      <sheetName val="Top_Priorities3"/>
      <sheetName val="Listco_Stock3"/>
      <sheetName val="Intl_Purchase3"/>
      <sheetName val="FY_outlook3"/>
      <sheetName val="CY_outlook3"/>
      <sheetName val="Cash_metrics3"/>
      <sheetName val="P6_73"/>
      <sheetName val="DATOS_BASE2"/>
      <sheetName val="POC_LIST2"/>
      <sheetName val="turnover_reason퇴직사유2"/>
      <sheetName val="SKU_Basic_Data2"/>
      <sheetName val="Entity_Target2"/>
      <sheetName val="DETALLE_MENSUAL2"/>
      <sheetName val="Drop-down_List1"/>
      <sheetName val="by_DD1"/>
      <sheetName val="VALIDACION_DE_DATOS1"/>
      <sheetName val="부재료_비교(11년_vs_10년)"/>
      <sheetName val="Sheet3_(2)"/>
      <sheetName val="Lao_&amp;_Cam"/>
      <sheetName val="Hoegaarden_2019"/>
      <sheetName val="Lao_&amp;_Cam_2019"/>
      <sheetName val="Malaysia_2019"/>
      <sheetName val="Singapore_2019"/>
      <sheetName val="Sheet2_(2)"/>
      <sheetName val="요일_테이블_"/>
      <sheetName val="Other_Listings"/>
      <sheetName val="2__Indicadores"/>
      <sheetName val="Lista_de_Entrenamientos_RSO"/>
      <sheetName val="Tablero_SDG3"/>
      <sheetName val="Lista_Areas3"/>
      <sheetName val="One_Page3"/>
      <sheetName val="Sub-Productos_HN1"/>
      <sheetName val="Eficiencia_linea"/>
      <sheetName val="_mngt_Pillar"/>
      <sheetName val="Un"/>
      <sheetName val="Justificativas"/>
      <sheetName val="DO NOT MOVE"/>
      <sheetName val="PINC汇总"/>
      <sheetName val="Note"/>
      <sheetName val="物料主数据"/>
      <sheetName val="选项"/>
      <sheetName val="品牌填写下拉菜单"/>
      <sheetName val="Dropdown list"/>
      <sheetName val="Liste"/>
      <sheetName val="清单"/>
      <sheetName val="beerflow"/>
      <sheetName val="요일_테이블7"/>
      <sheetName val="요일_테이블_(2)6"/>
      <sheetName val="TO_Data_Base15"/>
      <sheetName val="YTD_Summary14"/>
      <sheetName val="Month_Summary14"/>
      <sheetName val="Trial_Balance_MAY_200914"/>
      <sheetName val="TB_Pivot14"/>
      <sheetName val="total_per_LB_LB214"/>
      <sheetName val="Trial_Balance_Vlookup14"/>
      <sheetName val="Trial_Balance_APRIL_200914"/>
      <sheetName val="Roll_Out_AQ14"/>
      <sheetName val="Evolução_mandamentos14"/>
      <sheetName val="Planilha_resultados13"/>
      <sheetName val="Historico_200313"/>
      <sheetName val="Sig_Cycles_Accts_&amp;_Processes13"/>
      <sheetName val="3_ISo_YTD7"/>
      <sheetName val="E_法规NC7"/>
      <sheetName val="Données_LMU7"/>
      <sheetName val="Brazil_Sovereign7"/>
      <sheetName val="Resumen_Costo7"/>
      <sheetName val="Fixed_ZBB7"/>
      <sheetName val="5_17"/>
      <sheetName val="Extract_Loss7"/>
      <sheetName val="QA_跟踪记录表7"/>
      <sheetName val="RG_Depots7"/>
      <sheetName val="material_data7"/>
      <sheetName val="other_data7"/>
      <sheetName val="Como_Estamos7"/>
      <sheetName val="Database_(RUR)Mar_YTD7"/>
      <sheetName val="SKU_Mapping7"/>
      <sheetName val="Drop_Down7"/>
      <sheetName val="Raw_Data7"/>
      <sheetName val="EBM-2_GHQ7"/>
      <sheetName val="Base_PEF8"/>
      <sheetName val="Base_de_Dados7"/>
      <sheetName val="Testing_Template_Guidance7"/>
      <sheetName val="Test_Programs7"/>
      <sheetName val="Dados_BLP7"/>
      <sheetName val="Controls_data9"/>
      <sheetName val="FJJX_Bud_IB6"/>
      <sheetName val="look-up_data6"/>
      <sheetName val="JOB_PROFILE_-_LAS7"/>
      <sheetName val="ARdistr_(2)7"/>
      <sheetName val="Prd_Hierarchy(产品层级)6"/>
      <sheetName val="Com_(2PK)6"/>
      <sheetName val="전사_PL8"/>
      <sheetName val="자금_제외_PL8"/>
      <sheetName val="자금_PL8"/>
      <sheetName val="전사_BS8"/>
      <sheetName val="자금_제외_BS8"/>
      <sheetName val="자금_BS8"/>
      <sheetName val="BS_계정_설명8"/>
      <sheetName val="_Cash_Flow(전사)8"/>
      <sheetName val="_Cash_Flow(자금제외)8"/>
      <sheetName val="_Cash_Flow(자금)8"/>
      <sheetName val="ROIC_8"/>
      <sheetName val="인건비_명세8"/>
      <sheetName val="판관비_명세8"/>
      <sheetName val="OH_Cost경비(내역)8"/>
      <sheetName val="OH_Cost경비(배부기준)8"/>
      <sheetName val="기타수지&amp;특별손익_명세8"/>
      <sheetName val="업무연락_(2)7"/>
      <sheetName val="제시_손익계산서7"/>
      <sheetName val="01_02월_성과급8"/>
      <sheetName val="M_7회차_담금_계획7"/>
      <sheetName val="팀별_실적7"/>
      <sheetName val="팀별_실적_(환산)7"/>
      <sheetName val="4__Inj_투자상세내역7"/>
      <sheetName val="3__Blow_투자_상세내역7"/>
      <sheetName val="Process_List7"/>
      <sheetName val="7_(2)7"/>
      <sheetName val="Prd_Hierarchy(产品层次)6"/>
      <sheetName val="Project_Code6"/>
      <sheetName val="_손익기01_XL6"/>
      <sheetName val="drop_down_list6"/>
      <sheetName val="[손익기01_XL_x005f_x0000__x005f_x0000_DePara6"/>
      <sheetName val="Income_Stmt6"/>
      <sheetName val="Quarterly_LBO_Model6"/>
      <sheetName val="_손익기01_XL_x005f_x0000__x005f_x0000_DePara6"/>
      <sheetName val="[손익기01_XL6"/>
      <sheetName val="15년_BL_사계6"/>
      <sheetName val="1_종합손익(주택,개발)6"/>
      <sheetName val="2_실행예산6"/>
      <sheetName val="2_2과부족6"/>
      <sheetName val="2_3원가절감6"/>
      <sheetName val="8_외주비집행현황6"/>
      <sheetName val="9_자재비6"/>
      <sheetName val="10_현장집행6"/>
      <sheetName val="3_추가원가6"/>
      <sheetName val="3_추가원가_(2)6"/>
      <sheetName val="4_사전공사6"/>
      <sheetName val="5_추정공사비6"/>
      <sheetName val="6_금융비용6"/>
      <sheetName val="7_공사비집행현황(총괄)6"/>
      <sheetName val="11_1생산성6"/>
      <sheetName val="11_2인원산출6"/>
      <sheetName val="Classification_分类5"/>
      <sheetName val="Figures_Report5"/>
      <sheetName val="Set_Up6"/>
      <sheetName val="Fare_prices5"/>
      <sheetName val="Hotel_prices5"/>
      <sheetName val="__한국_AMP_ASP-23_판매가격__5"/>
      <sheetName val="제조원가_원단위_분석5"/>
      <sheetName val="종합표양식(품의_&amp;_입고)_25"/>
      <sheetName val="원가관리_(동월대비)5"/>
      <sheetName val="b_balju_(2)5"/>
      <sheetName val="2-2_매출분석5"/>
      <sheetName val="몰드시스템_리스트5"/>
      <sheetName val="11_외화채무증권(AFS,HTM)085"/>
      <sheetName val="13_감액TEST_085"/>
      <sheetName val="12년_CF(9월)5"/>
      <sheetName val="중기조종사_단위단가5"/>
      <sheetName val="6PILE__(돌출)5"/>
      <sheetName val="Sheet1_(2)5"/>
      <sheetName val="09~10년_매출계획5"/>
      <sheetName val="1_MDF1공장5"/>
      <sheetName val="tab_STATUS_DO_PROCESSO_5"/>
      <sheetName val="Perf__Plan__Diário15"/>
      <sheetName val="In_(2)5"/>
      <sheetName val="slide_24_cat_A5"/>
      <sheetName val="slide_82_cat_b5"/>
      <sheetName val="Incident_유형구분표5"/>
      <sheetName val="CLASIFICACION_DE_AI5"/>
      <sheetName val="Base_da_Datos5"/>
      <sheetName val="Dados_dos_Produtos5"/>
      <sheetName val="DD_list5"/>
      <sheetName val="3YP2016-Bottom_up4"/>
      <sheetName val="2_카드채권(대출포함)4"/>
      <sheetName val="MASTER_APP4"/>
      <sheetName val="Cond__Inseguros4"/>
      <sheetName val="Comp__Inseguros4"/>
      <sheetName val="Lista_de_datos4"/>
      <sheetName val="Base_de_Datos4"/>
      <sheetName val="_DD_List4"/>
      <sheetName val="Share_Price_20024"/>
      <sheetName val="Clasif_4"/>
      <sheetName val="Lista_CI4"/>
      <sheetName val="Farol_Acciones4"/>
      <sheetName val="Lista_de_Entrenamientos4"/>
      <sheetName val="Supply_Cost_Centers4"/>
      <sheetName val="BEP_加薪_KPI3"/>
      <sheetName val="F08_-_Asia_Pac_Full_Year_Q34"/>
      <sheetName val="Top_Priorities4"/>
      <sheetName val="Listco_Stock4"/>
      <sheetName val="Intl_Purchase4"/>
      <sheetName val="FY_outlook4"/>
      <sheetName val="CY_outlook4"/>
      <sheetName val="Cash_metrics4"/>
      <sheetName val="P6_74"/>
      <sheetName val="DATOS_BASE3"/>
      <sheetName val="Unidades_SAC-REVENDA5"/>
      <sheetName val="FornecM_Check3"/>
      <sheetName val="Estratificación_AI3"/>
      <sheetName val="condicion_inseguras3"/>
      <sheetName val="Actos_Inseguros3"/>
      <sheetName val="Control_de_incidentes3"/>
      <sheetName val="Plan_de_Acción3"/>
      <sheetName val="Dashboard_Prevención_Riesgos_3"/>
      <sheetName val="TOP_KPIs_MTM3"/>
      <sheetName val="PLAN_DE_ACCION3"/>
      <sheetName val="Faro_de_Indicadores3"/>
      <sheetName val="Hazards_Analysis-隐患分析3"/>
      <sheetName val="_손익기01_XL_x005f_x005f_x005f_x0000__x005f_x005f_x3"/>
      <sheetName val="97_사업추정(WEKI)3"/>
      <sheetName val="Tong_hop3"/>
      <sheetName val="95_1_1이후취득자산(숨기기상태)3"/>
      <sheetName val="6월_공정외주3"/>
      <sheetName val="입출재고현황_(2)3"/>
      <sheetName val="TRE_TABLE3"/>
      <sheetName val="입찰내역_발주처_양식3"/>
      <sheetName val="Jul-Sep_Actual_cost_(2)2"/>
      <sheetName val="Issues_List_Payments3"/>
      <sheetName val="turnover_reason퇴직사유3"/>
      <sheetName val="Grafica_Actos3"/>
      <sheetName val="POC_LIST3"/>
      <sheetName val="부재료_비교(11년_vs_10년)1"/>
      <sheetName val="Condiciones_SyE3"/>
      <sheetName val="DETALLE_MENSUAL3"/>
      <sheetName val="do_not_delete3"/>
      <sheetName val="APAC_S3"/>
      <sheetName val="APAC_N3"/>
      <sheetName val="Slide_output3"/>
      <sheetName val="[손익기01_XL??DePara3"/>
      <sheetName val="Farol_Metas3"/>
      <sheetName val="Mod_Relac_3"/>
      <sheetName val="REALxMETA_-_CERVEJA5"/>
      <sheetName val="REALxMETA_-_REFRI5"/>
      <sheetName val="Directrices_de_Metas_20173"/>
      <sheetName val="Data_validation3"/>
      <sheetName val="SKU_Basic_Data3"/>
      <sheetName val="Entity_Target3"/>
      <sheetName val="VALIDACION_DE_DATOS2"/>
      <sheetName val="Drop-down_List2"/>
      <sheetName val="by_DD2"/>
      <sheetName val="Check_Qualidade1"/>
      <sheetName val="De_Para2"/>
      <sheetName val="Check_Aderencia1"/>
      <sheetName val="_손익기01_XL_x005f_x0000__x01"/>
      <sheetName val="Base_Farol1"/>
      <sheetName val="Gerencial_IL1"/>
      <sheetName val="Ventas_Campo1"/>
      <sheetName val="ACTOS_POR_RIESGO1"/>
      <sheetName val="drop_lists1"/>
      <sheetName val="MRL_NON_SUPPLY_URU1"/>
      <sheetName val="AIIM_-_Empresas_Ext_20121"/>
      <sheetName val="KPIs_Hana1"/>
      <sheetName val="Catalago_de_refacciones_1"/>
      <sheetName val="Existencias_al_07-Nov-20121"/>
      <sheetName val="Check_GG1"/>
      <sheetName val="Sheet3_(2)1"/>
      <sheetName val="요일_테이블_1"/>
      <sheetName val="Nombre_de_SOP1"/>
      <sheetName val="_mngt_Pillar1"/>
      <sheetName val="2__Indicadores1"/>
      <sheetName val="Ta_1"/>
      <sheetName val="Lao_&amp;_Cam1"/>
      <sheetName val="Hoegaarden_20191"/>
      <sheetName val="Lao_&amp;_Cam_20191"/>
      <sheetName val="Malaysia_20191"/>
      <sheetName val="Singapore_20191"/>
      <sheetName val="Sheet2_(2)1"/>
      <sheetName val="Other_Listings1"/>
      <sheetName val="Lista_de_Entrenamientos_RSO1"/>
      <sheetName val="Tablero_SDG4"/>
      <sheetName val="Lista_Areas4"/>
      <sheetName val="One_Page4"/>
      <sheetName val="Sub-Productos_HN2"/>
      <sheetName val="Eficiencia_linea1"/>
      <sheetName val="Pauta_RPS_Distribuição"/>
      <sheetName val="Estoque_(2)"/>
      <sheetName val="_손익기01_XL_x0"/>
      <sheetName val="Comp_Inseguros"/>
      <sheetName val="BNR_2012_в_ящике"/>
      <sheetName val="DATOS_DE_VALIDACIÓN"/>
      <sheetName val="Datos_con"/>
      <sheetName val="_Datos_Cond_"/>
      <sheetName val="DO_NOT_MOVE"/>
      <sheetName val="INGRESO_(2)"/>
      <sheetName val="PG-K1610_(UEN_Areas)MNG"/>
      <sheetName val="DATOS_GEN_"/>
      <sheetName val="NUEVOS_CRITERIOS"/>
      <sheetName val="Condiciones_Agua"/>
      <sheetName val="[손익기01_XLDePara5"/>
      <sheetName val="_손익기01_XLDePara5"/>
      <sheetName val="Control de Fallas"/>
      <sheetName val="Setup for Templates"/>
      <sheetName val="Datos emp"/>
      <sheetName val="Проверки"/>
      <sheetName val="Drop list"/>
      <sheetName val="FX Rates"/>
      <sheetName val="Proced."/>
      <sheetName val="PTN"/>
      <sheetName val="Cut Machine Summary"/>
      <sheetName val="Validation lists"/>
      <sheetName val="Planilha_relts_xdb75__xdb62_eos7"/>
      <sheetName val="Testing_Template_Huidance1"/>
      <sheetName val="  한국 AMP ASP-23 판㧤가격  "/>
      <sheetName val="11.䡸화채무줝ⴌ(AFS,HTM)08"/>
      <sheetName val="status"/>
      <sheetName val="TIPO DE ACTO"/>
      <sheetName val="Marcas"/>
      <sheetName val="Concentrado"/>
      <sheetName val="CRITICIDAD DE CI"/>
      <sheetName val="Catálogo de CI"/>
      <sheetName val="% CUMPLIMIENTO"/>
      <sheetName val="% cumplimiento "/>
      <sheetName val="CALIFICACIONES 2019"/>
      <sheetName val="Lev 4 360 deg check Crit Task"/>
      <sheetName val="Lev 4 Chk IC Stock Crit Task"/>
      <sheetName val="Lev 4 WMS Putaway Crit Task"/>
      <sheetName val="Final_Summary-All"/>
      <sheetName val="Auxiliary"/>
      <sheetName val="PREENCHIMENTO"/>
      <sheetName val="Vagas x Candidatos"/>
      <sheetName val="Listas y equipos a evaluar"/>
      <sheetName val="NH3"/>
      <sheetName val="Hoja7"/>
      <sheetName val="Data Reporte"/>
      <sheetName val="Read me"/>
      <sheetName val="_x0000__x0005__x0000__x0001__x0000__x0000__x0000_"/>
      <sheetName val="_x0000__x0005__x0000_ÿ_x000f__x0000_ÿ"/>
      <sheetName val="Imputs"/>
      <sheetName val="Champions List"/>
      <sheetName val="Guidelines"/>
      <sheetName val="NAZ Strategy"/>
      <sheetName val="Daily Dashboard"/>
      <sheetName val="TO_Data_Base16"/>
      <sheetName val="YTD_Summary15"/>
      <sheetName val="Month_Summary15"/>
      <sheetName val="Trial_Balance_MAY_200915"/>
      <sheetName val="TB_Pivot15"/>
      <sheetName val="total_per_LB_LB215"/>
      <sheetName val="Trial_Balance_Vlookup15"/>
      <sheetName val="Trial_Balance_APRIL_200915"/>
      <sheetName val="Roll_Out_AQ15"/>
      <sheetName val="Evolução_mandamentos15"/>
      <sheetName val="Planilha_resultados14"/>
      <sheetName val="Historico_200314"/>
      <sheetName val="Sig_Cycles_Accts_&amp;_Processes14"/>
      <sheetName val="Fixed_ZBB8"/>
      <sheetName val="Como_Estamos8"/>
      <sheetName val="3_ISo_YTD8"/>
      <sheetName val="E_法规NC8"/>
      <sheetName val="Données_LMU8"/>
      <sheetName val="Brazil_Sovereign8"/>
      <sheetName val="Resumen_Costo8"/>
      <sheetName val="Base_de_Dados8"/>
      <sheetName val="Extract_Loss8"/>
      <sheetName val="5_18"/>
      <sheetName val="QA_跟踪记录表8"/>
      <sheetName val="RG_Depots8"/>
      <sheetName val="material_data8"/>
      <sheetName val="other_data8"/>
      <sheetName val="JOB_PROFILE_-_LAS8"/>
      <sheetName val="Database_(RUR)Mar_YTD8"/>
      <sheetName val="SKU_Mapping8"/>
      <sheetName val="Drop_Down8"/>
      <sheetName val="Raw_Data8"/>
      <sheetName val="EBM-2_GHQ8"/>
      <sheetName val="Base_PEF9"/>
      <sheetName val="Testing_Template_Guidance8"/>
      <sheetName val="Test_Programs8"/>
      <sheetName val="Controls_data10"/>
      <sheetName val="Dados_BLP8"/>
      <sheetName val="FJJX_Bud_IB7"/>
      <sheetName val="ARdistr_(2)8"/>
      <sheetName val="look-up_data7"/>
      <sheetName val="Prd_Hierarchy(产品层级)7"/>
      <sheetName val="Com_(2PK)7"/>
      <sheetName val="요일_테이블8"/>
      <sheetName val="요일_테이블_(2)7"/>
      <sheetName val="Prd_Hierarchy(产品层次)7"/>
      <sheetName val="Project_Code7"/>
      <sheetName val="전사_PL9"/>
      <sheetName val="자금_제외_PL9"/>
      <sheetName val="자금_PL9"/>
      <sheetName val="전사_BS9"/>
      <sheetName val="자금_제외_BS9"/>
      <sheetName val="자금_BS9"/>
      <sheetName val="BS_계정_설명9"/>
      <sheetName val="_Cash_Flow(전사)9"/>
      <sheetName val="_Cash_Flow(자금제외)9"/>
      <sheetName val="_Cash_Flow(자금)9"/>
      <sheetName val="ROIC_9"/>
      <sheetName val="인건비_명세9"/>
      <sheetName val="판관비_명세9"/>
      <sheetName val="OH_Cost경비(내역)9"/>
      <sheetName val="OH_Cost경비(배부기준)9"/>
      <sheetName val="기타수지&amp;특별손익_명세9"/>
      <sheetName val="업무연락_(2)8"/>
      <sheetName val="제시_손익계산서8"/>
      <sheetName val="01_02월_성과급9"/>
      <sheetName val="M_7회차_담금_계획8"/>
      <sheetName val="팀별_실적8"/>
      <sheetName val="팀별_실적_(환산)8"/>
      <sheetName val="4__Inj_투자상세내역8"/>
      <sheetName val="3__Blow_투자_상세내역8"/>
      <sheetName val="Process_List8"/>
      <sheetName val="7_(2)8"/>
      <sheetName val="_손익기01_XL7"/>
      <sheetName val="drop_down_list7"/>
      <sheetName val="[손익기01_XL_x005f_x0000__x005f_x0000_DePara7"/>
      <sheetName val="Income_Stmt7"/>
      <sheetName val="Quarterly_LBO_Model7"/>
      <sheetName val="Figures_Report6"/>
      <sheetName val="Set_Up7"/>
      <sheetName val="[손익기01_XL7"/>
      <sheetName val="tab_STATUS_DO_PROCESSO_6"/>
      <sheetName val="_손익기01_XL_x005f_x0000__x005f_x0000_DePara7"/>
      <sheetName val="Perf__Plan__Diário16"/>
      <sheetName val="In_(2)6"/>
      <sheetName val="Fare_prices6"/>
      <sheetName val="Hotel_prices6"/>
      <sheetName val="15년_BL_사계7"/>
      <sheetName val="Classification_分类6"/>
      <sheetName val="1_종합손익(도급)7"/>
      <sheetName val="1_종합손익(주택,개발)7"/>
      <sheetName val="2_실행예산7"/>
      <sheetName val="2_2과부족7"/>
      <sheetName val="2_3원가절감7"/>
      <sheetName val="8_외주비집행현황7"/>
      <sheetName val="9_자재비7"/>
      <sheetName val="10_현장집행7"/>
      <sheetName val="3_추가원가7"/>
      <sheetName val="3_추가원가_(2)7"/>
      <sheetName val="4_사전공사7"/>
      <sheetName val="5_추정공사비7"/>
      <sheetName val="6_금융비용7"/>
      <sheetName val="7_공사비집행현황(총괄)7"/>
      <sheetName val="11_1생산성7"/>
      <sheetName val="11_2인원산출7"/>
      <sheetName val="Clasif_5"/>
      <sheetName val="Cond__Inseguros5"/>
      <sheetName val="Comp__Inseguros5"/>
      <sheetName val="Lista_de_datos5"/>
      <sheetName val="MASTER_APP5"/>
      <sheetName val="CLASIFICACION_DE_AI6"/>
      <sheetName val="Base_da_Datos6"/>
      <sheetName val="__한국_AMP_ASP-23_판매가격__6"/>
      <sheetName val="CC_Down_load_07166"/>
      <sheetName val="변경실행(2차)_6"/>
      <sheetName val="나_출고6"/>
      <sheetName val="나_입고6"/>
      <sheetName val="09년_인건비(속리산)6"/>
      <sheetName val="합산목표(감가+57_5)6"/>
      <sheetName val="제조원가_원단위_분석6"/>
      <sheetName val="종합표양식(품의_&amp;_입고)_26"/>
      <sheetName val="원가관리_(동월대비)6"/>
      <sheetName val="b_balju_(2)6"/>
      <sheetName val="2-2_매출분석6"/>
      <sheetName val="몰드시스템_리스트6"/>
      <sheetName val="11_외화채무증권(AFS,HTM)086"/>
      <sheetName val="13_감액TEST_086"/>
      <sheetName val="12년_CF(9월)6"/>
      <sheetName val="중기조종사_단위단가6"/>
      <sheetName val="6PILE__(돌출)6"/>
      <sheetName val="기성청구_공문6"/>
      <sheetName val="Sheet1_(2)6"/>
      <sheetName val="slide_24_cat_A6"/>
      <sheetName val="slide_82_cat_b6"/>
      <sheetName val="Dados_dos_Produtos6"/>
      <sheetName val="09~10년_매출계획6"/>
      <sheetName val="1_MDF1공장6"/>
      <sheetName val="Incident_유형구분표6"/>
      <sheetName val="3YP2016-Bottom_up5"/>
      <sheetName val="DD_list6"/>
      <sheetName val="Lista_CI5"/>
      <sheetName val="Base_de_Datos5"/>
      <sheetName val="Dashboard_Prevención_Riesgos_4"/>
      <sheetName val="TOP_KPIs_MTM4"/>
      <sheetName val="PLAN_DE_ACCION4"/>
      <sheetName val="Faro_de_Indicadores4"/>
      <sheetName val="2_카드채권(대출포함)5"/>
      <sheetName val="表21_净利润调节表5"/>
      <sheetName val="DETALLE_MENSUAL4"/>
      <sheetName val="Farol_Acciones5"/>
      <sheetName val="FornecM_Check4"/>
      <sheetName val="Unidades_SAC-REVENDA6"/>
      <sheetName val="Lista_de_Entrenamientos5"/>
      <sheetName val="Supply_Cost_Centers5"/>
      <sheetName val="Estratificación_AI4"/>
      <sheetName val="condicion_inseguras4"/>
      <sheetName val="Actos_Inseguros4"/>
      <sheetName val="Control_de_incidentes4"/>
      <sheetName val="Plan_de_Acción4"/>
      <sheetName val="_DD_List5"/>
      <sheetName val="Share_Price_20025"/>
      <sheetName val="Grafica_Actos4"/>
      <sheetName val="Condiciones_SyE4"/>
      <sheetName val="REALxMETA_-_CERVEJA6"/>
      <sheetName val="REALxMETA_-_REFRI6"/>
      <sheetName val="BEP_加薪_KPI4"/>
      <sheetName val="[손익기01_XL??DePara4"/>
      <sheetName val="Farol_Metas4"/>
      <sheetName val="Mod_Relac_4"/>
      <sheetName val="Issues_List_Payments4"/>
      <sheetName val="Directrices_de_Metas_20174"/>
      <sheetName val="POC_LIST4"/>
      <sheetName val="Entity_Target4"/>
      <sheetName val="F08_-_Asia_Pac_Full_Year_Q35"/>
      <sheetName val="Top_Priorities5"/>
      <sheetName val="Listco_Stock5"/>
      <sheetName val="Intl_Purchase5"/>
      <sheetName val="FY_outlook5"/>
      <sheetName val="CY_outlook5"/>
      <sheetName val="Cash_metrics5"/>
      <sheetName val="P6_75"/>
      <sheetName val="DATOS_BASE4"/>
      <sheetName val="Hazards_Analysis-隐患分析4"/>
      <sheetName val="_손익기01_XL_x005f_x005f_x005f_x0000__x005f_x005f_x4"/>
      <sheetName val="SKU_Basic_Data4"/>
      <sheetName val="97_사업추정(WEKI)4"/>
      <sheetName val="Tong_hop4"/>
      <sheetName val="95_1_1이후취득자산(숨기기상태)4"/>
      <sheetName val="6월_공정외주4"/>
      <sheetName val="입출재고현황_(2)4"/>
      <sheetName val="TRE_TABLE4"/>
      <sheetName val="입찰내역_발주처_양식4"/>
      <sheetName val="ACTOS_POR_RIESGO2"/>
      <sheetName val="do_not_delete4"/>
      <sheetName val="Check_Qualidade2"/>
      <sheetName val="De_Para3"/>
      <sheetName val="Nombre_de_SOP2"/>
      <sheetName val="drop_lists2"/>
      <sheetName val="APAC_S4"/>
      <sheetName val="APAC_N4"/>
      <sheetName val="Slide_output4"/>
      <sheetName val="turnover_reason퇴직사유4"/>
      <sheetName val="Data_validation4"/>
      <sheetName val="MRL_NON_SUPPLY_URU2"/>
      <sheetName val="Drop-down_List3"/>
      <sheetName val="by_DD3"/>
      <sheetName val="VALIDACION_DE_DATOS3"/>
      <sheetName val="Jul-Sep_Actual_cost_(2)3"/>
      <sheetName val="Check_Aderencia2"/>
      <sheetName val="Base_Farol2"/>
      <sheetName val="Gerencial_IL2"/>
      <sheetName val="Ventas_Campo2"/>
      <sheetName val="AIIM_-_Empresas_Ext_20122"/>
      <sheetName val="KPIs_Hana2"/>
      <sheetName val="Catalago_de_refacciones_2"/>
      <sheetName val="Existencias_al_07-Nov-20122"/>
      <sheetName val="Check_GG2"/>
      <sheetName val="Ta_2"/>
      <sheetName val="2__Indicadores2"/>
      <sheetName val="_손익기01_XL_x005f_x0000__x02"/>
      <sheetName val="부재료_비교(11년_vs_10년)2"/>
      <sheetName val="Sheet3_(2)2"/>
      <sheetName val="Lao_&amp;_Cam2"/>
      <sheetName val="Hoegaarden_20192"/>
      <sheetName val="Lao_&amp;_Cam_20192"/>
      <sheetName val="Malaysia_20192"/>
      <sheetName val="Singapore_20192"/>
      <sheetName val="Sheet2_(2)2"/>
      <sheetName val="Comp_Inseguros1"/>
      <sheetName val="Lista_de_Entrenamientos_RSO2"/>
      <sheetName val="_mngt_Pillar2"/>
      <sheetName val="Tablero_SDG5"/>
      <sheetName val="Lista_Areas5"/>
      <sheetName val="One_Page5"/>
      <sheetName val="Sub-Productos_HN3"/>
      <sheetName val="Eficiencia_linea2"/>
      <sheetName val="Pauta_RPS_Distribuição1"/>
      <sheetName val="Estoque_(2)1"/>
      <sheetName val="요일_테이블_2"/>
      <sheetName val="Other_Listings2"/>
      <sheetName val="BNR_2012_в_ящике1"/>
      <sheetName val="FX_Rates"/>
      <sheetName val="Vagas_x_Candidatos"/>
      <sheetName val="DO_NOT_MOVE1"/>
      <sheetName val="DATOS_DE_VALIDACIÓN1"/>
      <sheetName val="Datos_con1"/>
      <sheetName val="_Datos_Cond_1"/>
      <sheetName val="INGRESO_(2)1"/>
      <sheetName val="PG-K1610_(UEN_Areas)MNG1"/>
      <sheetName val="DATOS_GEN_1"/>
      <sheetName val="NUEVOS_CRITERIOS1"/>
      <sheetName val="Condiciones_Agua1"/>
      <sheetName val="__한국_AMP_ASP-23_판㧤가격__"/>
      <sheetName val="11_䡸화채무줝ⴌ(AFS,HTM)08"/>
      <sheetName val="Drop_list"/>
      <sheetName val="Dropdown_list"/>
      <sheetName val="Proced_"/>
      <sheetName val="Control_de_Fallas"/>
      <sheetName val="Setup_for_Templates"/>
      <sheetName val="Datos_emp"/>
      <sheetName val="TIPO_DE_ACTO"/>
      <sheetName val="%_cumplimiento_"/>
      <sheetName val="%_CUMPLIMIENTO"/>
      <sheetName val="Listas_y_equipos_a_evaluar"/>
      <sheetName val="CRITICIDAD_DE_CI"/>
      <sheetName val="Catálogo_de_CI"/>
      <sheetName val="Data_Reporte"/>
      <sheetName val="Read_me"/>
      <sheetName val="ÿÿ"/>
      <sheetName val="Validation_lists"/>
      <sheetName val="Cut_Machine_Summary"/>
      <sheetName val="Daily_Dashboard"/>
      <sheetName val="YTD_Summary16"/>
      <sheetName val="Month_Summary16"/>
      <sheetName val="Trial_Balance_MAY_200916"/>
      <sheetName val="TB_Pivot16"/>
      <sheetName val="total_per_LB_LB216"/>
      <sheetName val="Trial_Balance_Vlookup16"/>
      <sheetName val="Trial_Balance_APRIL_200916"/>
      <sheetName val="TO_Data_Base17"/>
      <sheetName val="Roll_Out_AQ16"/>
      <sheetName val="Evolução_mandamentos16"/>
      <sheetName val="Planilha_resultados15"/>
      <sheetName val="Historico_200315"/>
      <sheetName val="Sig_Cycles_Accts_&amp;_Processes15"/>
      <sheetName val="Fixed_ZBB9"/>
      <sheetName val="3_ISo_YTD9"/>
      <sheetName val="E_法规NC9"/>
      <sheetName val="Données_LMU9"/>
      <sheetName val="Brazil_Sovereign9"/>
      <sheetName val="Resumen_Costo9"/>
      <sheetName val="Extract_Loss9"/>
      <sheetName val="QA_跟踪记录表9"/>
      <sheetName val="5_19"/>
      <sheetName val="Como_Estamos9"/>
      <sheetName val="Base_de_Dados9"/>
      <sheetName val="RG_Depots9"/>
      <sheetName val="material_data9"/>
      <sheetName val="other_data9"/>
      <sheetName val="Database_(RUR)Mar_YTD9"/>
      <sheetName val="SKU_Mapping9"/>
      <sheetName val="Drop_Down9"/>
      <sheetName val="Raw_Data9"/>
      <sheetName val="EBM-2_GHQ9"/>
      <sheetName val="Base_PEF10"/>
      <sheetName val="Testing_Template_Guidance9"/>
      <sheetName val="Test_Programs9"/>
      <sheetName val="Controls_data11"/>
      <sheetName val="Dados_BLP9"/>
      <sheetName val="ARdistr_(2)9"/>
      <sheetName val="FJJX_Bud_IB8"/>
      <sheetName val="look-up_data8"/>
      <sheetName val="Prd_Hierarchy(产品层级)8"/>
      <sheetName val="Com_(2PK)8"/>
      <sheetName val="JOB_PROFILE_-_LAS9"/>
      <sheetName val="요일_테이블9"/>
      <sheetName val="요일_테이블_(2)8"/>
      <sheetName val="Prd_Hierarchy(产品层次)8"/>
      <sheetName val="Project_Code8"/>
      <sheetName val="전사_PL10"/>
      <sheetName val="자금_제외_PL10"/>
      <sheetName val="자금_PL10"/>
      <sheetName val="전사_BS10"/>
      <sheetName val="자금_제외_BS10"/>
      <sheetName val="자금_BS10"/>
      <sheetName val="BS_계정_설명10"/>
      <sheetName val="_Cash_Flow(전사)10"/>
      <sheetName val="_Cash_Flow(자금제외)10"/>
      <sheetName val="_Cash_Flow(자금)10"/>
      <sheetName val="ROIC_10"/>
      <sheetName val="인건비_명세10"/>
      <sheetName val="판관비_명세10"/>
      <sheetName val="OH_Cost경비(내역)10"/>
      <sheetName val="OH_Cost경비(배부기준)10"/>
      <sheetName val="기타수지&amp;특별손익_명세10"/>
      <sheetName val="업무연락_(2)9"/>
      <sheetName val="제시_손익계산서9"/>
      <sheetName val="01_02월_성과급10"/>
      <sheetName val="M_7회차_담금_계획9"/>
      <sheetName val="팀별_실적9"/>
      <sheetName val="팀별_실적_(환산)9"/>
      <sheetName val="4__Inj_투자상세내역9"/>
      <sheetName val="3__Blow_투자_상세내역9"/>
      <sheetName val="Process_List9"/>
      <sheetName val="7_(2)9"/>
      <sheetName val="_손익기01_XL8"/>
      <sheetName val="Income_Stmt8"/>
      <sheetName val="drop_down_list8"/>
      <sheetName val="Figures_Report7"/>
      <sheetName val="[손익기01_XL_x005f_x0000__x005f_x0000_DePara8"/>
      <sheetName val="Quarterly_LBO_Model8"/>
      <sheetName val="[손익기01_XL8"/>
      <sheetName val="_손익기01_XL_x005f_x0000__x005f_x0000_DePara8"/>
      <sheetName val="15년_BL_사계8"/>
      <sheetName val="1_종합손익(도급)8"/>
      <sheetName val="1_종합손익(주택,개발)8"/>
      <sheetName val="2_실행예산8"/>
      <sheetName val="2_2과부족8"/>
      <sheetName val="2_3원가절감8"/>
      <sheetName val="8_외주비집행현황8"/>
      <sheetName val="9_자재비8"/>
      <sheetName val="10_현장집행8"/>
      <sheetName val="3_추가원가8"/>
      <sheetName val="3_추가원가_(2)8"/>
      <sheetName val="4_사전공사8"/>
      <sheetName val="5_추정공사비8"/>
      <sheetName val="6_금융비용8"/>
      <sheetName val="7_공사비집행현황(총괄)8"/>
      <sheetName val="11_1생산성8"/>
      <sheetName val="11_2인원산출8"/>
      <sheetName val="Classification_分类7"/>
      <sheetName val="Set_Up8"/>
      <sheetName val="Fare_prices7"/>
      <sheetName val="Hotel_prices7"/>
      <sheetName val="tab_STATUS_DO_PROCESSO_7"/>
      <sheetName val="Perf__Plan__Diário17"/>
      <sheetName val="In_(2)7"/>
      <sheetName val="__한국_AMP_ASP-23_판매가격__7"/>
      <sheetName val="CC_Down_load_07167"/>
      <sheetName val="변경실행(2차)_7"/>
      <sheetName val="나_출고7"/>
      <sheetName val="나_입고7"/>
      <sheetName val="09년_인건비(속리산)7"/>
      <sheetName val="합산목표(감가+57_5)7"/>
      <sheetName val="제조원가_원단위_분석7"/>
      <sheetName val="종합표양식(품의_&amp;_입고)_27"/>
      <sheetName val="원가관리_(동월대비)7"/>
      <sheetName val="b_balju_(2)7"/>
      <sheetName val="2-2_매출분석7"/>
      <sheetName val="몰드시스템_리스트7"/>
      <sheetName val="11_외화채무증권(AFS,HTM)087"/>
      <sheetName val="13_감액TEST_087"/>
      <sheetName val="12년_CF(9월)7"/>
      <sheetName val="중기조종사_단위단가7"/>
      <sheetName val="6PILE__(돌출)7"/>
      <sheetName val="기성청구_공문7"/>
      <sheetName val="Sheet1_(2)7"/>
      <sheetName val="CLASIFICACION_DE_AI7"/>
      <sheetName val="Base_da_Datos7"/>
      <sheetName val="slide_24_cat_A7"/>
      <sheetName val="slide_82_cat_b7"/>
      <sheetName val="Dados_dos_Produtos7"/>
      <sheetName val="09~10년_매출계획7"/>
      <sheetName val="1_MDF1공장7"/>
      <sheetName val="Incident_유형구분표7"/>
      <sheetName val="3YP2016-Bottom_up6"/>
      <sheetName val="DD_list7"/>
      <sheetName val="Base_de_Datos6"/>
      <sheetName val="Supply_Cost_Centers6"/>
      <sheetName val="2_카드채권(대출포함)6"/>
      <sheetName val="表21_净利润调节表6"/>
      <sheetName val="Cond__Inseguros6"/>
      <sheetName val="Comp__Inseguros6"/>
      <sheetName val="Lista_de_datos6"/>
      <sheetName val="MASTER_APP6"/>
      <sheetName val="Clasif_6"/>
      <sheetName val="Farol_Acciones6"/>
      <sheetName val="Lista_de_Entrenamientos6"/>
      <sheetName val="Unidades_SAC-REVENDA7"/>
      <sheetName val="FornecM_Check5"/>
      <sheetName val="Lista_CI6"/>
      <sheetName val="Estratificación_AI5"/>
      <sheetName val="condicion_inseguras5"/>
      <sheetName val="Actos_Inseguros5"/>
      <sheetName val="Control_de_incidentes5"/>
      <sheetName val="Plan_de_Acción5"/>
      <sheetName val="_DD_List6"/>
      <sheetName val="Share_Price_20026"/>
      <sheetName val="Issues_List_Payments5"/>
      <sheetName val="BEP_加薪_KPI5"/>
      <sheetName val="Faro_de_Indicadores5"/>
      <sheetName val="TOP_KPIs_MTM5"/>
      <sheetName val="PLAN_DE_ACCION5"/>
      <sheetName val="Grafica_Actos5"/>
      <sheetName val="POC_LIST5"/>
      <sheetName val="Dashboard_Prevención_Riesgos_5"/>
      <sheetName val="APAC_S5"/>
      <sheetName val="APAC_N5"/>
      <sheetName val="Slide_output5"/>
      <sheetName val="do_not_delete5"/>
      <sheetName val="[손익기01_XL??DePara5"/>
      <sheetName val="Farol_Metas5"/>
      <sheetName val="Mod_Relac_5"/>
      <sheetName val="Condiciones_SyE5"/>
      <sheetName val="REALxMETA_-_CERVEJA7"/>
      <sheetName val="REALxMETA_-_REFRI7"/>
      <sheetName val="Directrices_de_Metas_20175"/>
      <sheetName val="F08_-_Asia_Pac_Full_Year_Q36"/>
      <sheetName val="Top_Priorities6"/>
      <sheetName val="Listco_Stock6"/>
      <sheetName val="Intl_Purchase6"/>
      <sheetName val="FY_outlook6"/>
      <sheetName val="CY_outlook6"/>
      <sheetName val="Cash_metrics6"/>
      <sheetName val="P6_76"/>
      <sheetName val="DATOS_BASE5"/>
      <sheetName val="DETALLE_MENSUAL5"/>
      <sheetName val="Entity_Target5"/>
      <sheetName val="VALIDACION_DE_DATOS4"/>
      <sheetName val="_손익기01_XL_x005f_x005f_x005f_x0000__x005f_x005f_x5"/>
      <sheetName val="Hazards_Analysis-隐患分析5"/>
      <sheetName val="97_사업추정(WEKI)5"/>
      <sheetName val="Tong_hop5"/>
      <sheetName val="95_1_1이후취득자산(숨기기상태)5"/>
      <sheetName val="sum1_(2)5"/>
      <sheetName val="3_바닥판설계5"/>
      <sheetName val="6월_공정외주5"/>
      <sheetName val="2_대외공문5"/>
      <sheetName val="2_총괄표5"/>
      <sheetName val="입출재고현황_(2)5"/>
      <sheetName val="504전기실_동부하-L5"/>
      <sheetName val="OUTER_AREA(겹침없음)5"/>
      <sheetName val="EL_표면적5"/>
      <sheetName val="TRE_TABLE5"/>
      <sheetName val="입찰내역_발주처_양식5"/>
      <sheetName val="Data_validation5"/>
      <sheetName val="turnover_reason퇴직사유5"/>
      <sheetName val="SKU_Basic_Data5"/>
      <sheetName val="Jul-Sep_Actual_cost_(2)4"/>
      <sheetName val="Drop-down_List4"/>
      <sheetName val="by_DD4"/>
      <sheetName val="Check_Qualidade3"/>
      <sheetName val="Check_Aderencia3"/>
      <sheetName val="De_Para4"/>
      <sheetName val="Base_Farol3"/>
      <sheetName val="Gerencial_IL3"/>
      <sheetName val="Ventas_Campo3"/>
      <sheetName val="ACTOS_POR_RIESGO3"/>
      <sheetName val="drop_lists3"/>
      <sheetName val="MRL_NON_SUPPLY_URU3"/>
      <sheetName val="AIIM_-_Empresas_Ext_20123"/>
      <sheetName val="KPIs_Hana3"/>
      <sheetName val="Catalago_de_refacciones_3"/>
      <sheetName val="Existencias_al_07-Nov-20123"/>
      <sheetName val="Check_GG3"/>
      <sheetName val="Nombre_de_SOP3"/>
      <sheetName val="Ta_3"/>
      <sheetName val="2__Indicadores3"/>
      <sheetName val="부재료_비교(11년_vs_10년)3"/>
      <sheetName val="_손익기01_XL_x005f_x0000__x03"/>
      <sheetName val="_mngt_Pillar3"/>
      <sheetName val="Sheet3_(2)3"/>
      <sheetName val="Lista_de_Entrenamientos_RSO3"/>
      <sheetName val="Tablero_SDG6"/>
      <sheetName val="Lista_Areas6"/>
      <sheetName val="One_Page6"/>
      <sheetName val="Sub-Productos_HN4"/>
      <sheetName val="Eficiencia_linea3"/>
      <sheetName val="요일_테이블_3"/>
      <sheetName val="Sheet2_(2)3"/>
      <sheetName val="Lao_&amp;_Cam3"/>
      <sheetName val="Hoegaarden_20193"/>
      <sheetName val="Lao_&amp;_Cam_20193"/>
      <sheetName val="Malaysia_20193"/>
      <sheetName val="Singapore_20193"/>
      <sheetName val="Other_Listings3"/>
      <sheetName val="Pauta_RPS_Distribuição2"/>
      <sheetName val="Estoque_(2)2"/>
      <sheetName val="Comp_Inseguros2"/>
      <sheetName val="BNR_2012_в_ящике2"/>
      <sheetName val="DATOS_DE_VALIDACIÓN2"/>
      <sheetName val="Datos_con2"/>
      <sheetName val="_Datos_Cond_2"/>
      <sheetName val="DO_NOT_MOVE2"/>
      <sheetName val="INGRESO_(2)2"/>
      <sheetName val="PG-K1610_(UEN_Areas)MNG2"/>
      <sheetName val="DATOS_GEN_2"/>
      <sheetName val="NUEVOS_CRITERIOS2"/>
      <sheetName val="Condiciones_Agua2"/>
      <sheetName val="Dropdown_list1"/>
      <sheetName val="FX_Rates1"/>
      <sheetName val="Vagas_x_Candidatos1"/>
      <sheetName val="__한국_AMP_ASP-23_판㧤가격__1"/>
      <sheetName val="11_䡸화채무줝ⴌ(AFS,HTM)081"/>
      <sheetName val="Drop_list1"/>
      <sheetName val="Proced_1"/>
      <sheetName val="Control_de_Fallas1"/>
      <sheetName val="Setup_for_Templates1"/>
      <sheetName val="Datos_emp1"/>
      <sheetName val="TIPO_DE_ACTO1"/>
      <sheetName val="%_cumplimiento_1"/>
      <sheetName val="%_CUMPLIMIENTO1"/>
      <sheetName val="Listas_y_equipos_a_evaluar1"/>
      <sheetName val="CRITICIDAD_DE_CI1"/>
      <sheetName val="Catálogo_de_CI1"/>
      <sheetName val="Data_Reporte1"/>
      <sheetName val="Read_me1"/>
      <sheetName val="Validation_lists1"/>
      <sheetName val="Cut_Machine_Summary1"/>
      <sheetName val="Daily_Dashboard1"/>
      <sheetName val="Champions_List"/>
      <sheetName val="_손익기01_XL_x0000__x1"/>
      <sheetName val="_손익기01_XL_x005f_x0000__x2"/>
      <sheetName val="费用指引"/>
      <sheetName val="进货时间"/>
      <sheetName val="参考字段（不许更改）"/>
      <sheetName val="Mapeo SKUs"/>
      <sheetName val="Vol.(Ds)"/>
      <sheetName val="Vol.(Ka)"/>
      <sheetName val="Vol.(Oth)"/>
      <sheetName val="Vol.(Oth) Cortesias"/>
      <sheetName val="INPUT-$Intervention(Ds)"/>
      <sheetName val="INPUT-ICO"/>
      <sheetName val="INPUT-Cust.Sugg.Margin(Ds)"/>
      <sheetName val="On Invoice"/>
      <sheetName val="INPUT-$Intervention(Ka)"/>
      <sheetName val="INPUT-Cust.Sugg.Margin(Ka)"/>
      <sheetName val="INPUT SKUs"/>
      <sheetName val="清單"/>
      <sheetName val="Brand P&amp;L"/>
      <sheetName val="MALTA"/>
      <sheetName val="SPARK"/>
      <sheetName val="SUPERMONT"/>
      <sheetName val="SUPERMONT P"/>
      <sheetName val="Mapeo_SKUs"/>
      <sheetName val="Vol_(Ds)"/>
      <sheetName val="Vol_(Ka)"/>
      <sheetName val="Vol_(Oth)"/>
      <sheetName val="Vol_(Oth)_Cortesias"/>
      <sheetName val="INPUT-Cust_Sugg_Margin(Ds)"/>
      <sheetName val="On_Invoice"/>
      <sheetName val="INPUT-Cust_Sugg_Margin(Ka)"/>
      <sheetName val="INPUT_SKUs"/>
      <sheetName val="Mapeo_SKUs1"/>
      <sheetName val="Vol_(Ds)1"/>
      <sheetName val="Vol_(Ka)1"/>
      <sheetName val="Vol_(Oth)1"/>
      <sheetName val="Vol_(Oth)_Cortesias1"/>
      <sheetName val="INPUT-Cust_Sugg_Margin(Ds)1"/>
      <sheetName val="On_Invoice1"/>
      <sheetName val="INPUT-Cust_Sugg_Margin(Ka)1"/>
      <sheetName val="INPUT_SKUs1"/>
      <sheetName val="유효성목록"/>
      <sheetName val="Data selection"/>
      <sheetName val="BMU_H"/>
      <sheetName val="1."/>
      <sheetName val="Customer &amp; SO"/>
      <sheetName val="Session Proposal"/>
      <sheetName val="社員リスト"/>
      <sheetName val="생산성"/>
      <sheetName val="Book1"/>
      <sheetName val="数据分类"/>
      <sheetName val="Dropdown Menu"/>
      <sheetName val="Territory"/>
      <sheetName val="MMR12活动类型"/>
      <sheetName val="经销商"/>
      <sheetName val="Region"/>
      <sheetName val="SalesPkg_TR_KHCode_TR_KHCode"/>
      <sheetName val="填写内容参考"/>
      <sheetName val="Análise Tempos"/>
      <sheetName val="Incentivo Automóvil"/>
      <sheetName val="EQR"/>
      <sheetName val="CNQ"/>
      <sheetName val="Справочник"/>
      <sheetName val="PDA BOP"/>
      <sheetName val="Referencias"/>
      <sheetName val="Códigos"/>
      <sheetName val="Validação de Dados"/>
      <sheetName val="No llenar "/>
      <sheetName val="0-info"/>
      <sheetName val="FAI分析"/>
      <sheetName val="미관리업소"/>
      <sheetName val="유류대 현황"/>
      <sheetName val="정평화"/>
      <sheetName val="김익성"/>
      <sheetName val="최일수"/>
      <sheetName val="정원구"/>
      <sheetName val="문공식"/>
      <sheetName val="박현일"/>
      <sheetName val="김진생"/>
      <sheetName val="Overdue(Feb)"/>
      <sheetName val="Overdue(Jan)"/>
      <sheetName val="취합"/>
      <sheetName val="PN+Extension"/>
      <sheetName val="1. 템플릿"/>
      <sheetName val="2. 작성 참고사항"/>
      <sheetName val="2월"/>
      <sheetName val="3월"/>
      <sheetName val="4월"/>
      <sheetName val="거리"/>
      <sheetName val="架构"/>
      <sheetName val="库存模板"/>
      <sheetName val="陈列明细"/>
      <sheetName val="mapping (2)"/>
      <sheetName val="Ref."/>
      <sheetName val="折扣类型"/>
      <sheetName val="目标SKU"/>
      <sheetName val="Backup"/>
      <sheetName val="匹配"/>
      <sheetName val="序列"/>
      <sheetName val="Lista de Motivos"/>
      <sheetName val="Ponto Crítico - Resp. Plano"/>
      <sheetName val="Lista Funcionários (2)"/>
      <sheetName val="PIRÂMIDE"/>
      <sheetName val="Consolidator"/>
      <sheetName val="2.3 Projects Status"/>
      <sheetName val="YTD_Summary17"/>
      <sheetName val="Month_Summary17"/>
      <sheetName val="Trial_Balance_MAY_200917"/>
      <sheetName val="TB_Pivot17"/>
      <sheetName val="total_per_LB_LB217"/>
      <sheetName val="Trial_Balance_Vlookup17"/>
      <sheetName val="Trial_Balance_APRIL_200917"/>
      <sheetName val="TO_Data_Base18"/>
      <sheetName val="Roll_Out_AQ17"/>
      <sheetName val="Evolução_mandamentos17"/>
      <sheetName val="Planilha_resultados16"/>
      <sheetName val="Historico_200316"/>
      <sheetName val="Sig_Cycles_Accts_&amp;_Processes16"/>
      <sheetName val="Fixed_ZBB10"/>
      <sheetName val="3_ISo_YTD10"/>
      <sheetName val="E_法规NC10"/>
      <sheetName val="Données_LMU10"/>
      <sheetName val="Brazil_Sovereign10"/>
      <sheetName val="Resumen_Costo10"/>
      <sheetName val="Extract_Loss10"/>
      <sheetName val="QA_跟踪记录表10"/>
      <sheetName val="5_110"/>
      <sheetName val="Como_Estamos10"/>
      <sheetName val="Base_de_Dados10"/>
      <sheetName val="RG_Depots10"/>
      <sheetName val="material_data10"/>
      <sheetName val="other_data10"/>
      <sheetName val="Database_(RUR)Mar_YTD10"/>
      <sheetName val="SKU_Mapping10"/>
      <sheetName val="Drop_Down10"/>
      <sheetName val="Raw_Data10"/>
      <sheetName val="EBM-2_GHQ10"/>
      <sheetName val="Base_PEF11"/>
      <sheetName val="Testing_Template_Guidance10"/>
      <sheetName val="Test_Programs10"/>
      <sheetName val="Controls_data12"/>
      <sheetName val="Dados_BLP10"/>
      <sheetName val="ARdistr_(2)10"/>
      <sheetName val="FJJX_Bud_IB9"/>
      <sheetName val="look-up_data9"/>
      <sheetName val="Prd_Hierarchy(产品层级)9"/>
      <sheetName val="Com_(2PK)9"/>
      <sheetName val="JOB_PROFILE_-_LAS10"/>
      <sheetName val="요일_테이블10"/>
      <sheetName val="요일_테이블_(2)9"/>
      <sheetName val="Prd_Hierarchy(产品层次)9"/>
      <sheetName val="Project_Code9"/>
      <sheetName val="전사_PL11"/>
      <sheetName val="자금_제외_PL11"/>
      <sheetName val="자금_PL11"/>
      <sheetName val="전사_BS11"/>
      <sheetName val="자금_제외_BS11"/>
      <sheetName val="자금_BS11"/>
      <sheetName val="BS_계정_설명11"/>
      <sheetName val="_Cash_Flow(전사)11"/>
      <sheetName val="_Cash_Flow(자금제외)11"/>
      <sheetName val="_Cash_Flow(자금)11"/>
      <sheetName val="ROIC_11"/>
      <sheetName val="인건비_명세11"/>
      <sheetName val="판관비_명세11"/>
      <sheetName val="OH_Cost경비(내역)11"/>
      <sheetName val="OH_Cost경비(배부기준)11"/>
      <sheetName val="기타수지&amp;특별손익_명세11"/>
      <sheetName val="업무연락_(2)10"/>
      <sheetName val="제시_손익계산서10"/>
      <sheetName val="01_02월_성과급11"/>
      <sheetName val="M_7회차_담금_계획10"/>
      <sheetName val="팀별_실적10"/>
      <sheetName val="팀별_실적_(환산)10"/>
      <sheetName val="4__Inj_투자상세내역10"/>
      <sheetName val="3__Blow_투자_상세내역10"/>
      <sheetName val="Process_List10"/>
      <sheetName val="7_(2)10"/>
      <sheetName val="_손익기01_XL9"/>
      <sheetName val="Income_Stmt9"/>
      <sheetName val="drop_down_list9"/>
      <sheetName val="Figures_Report8"/>
      <sheetName val="[손익기01_XL_x005f_x0000__x005f_x0000_DePara9"/>
      <sheetName val="Quarterly_LBO_Model9"/>
      <sheetName val="[손익기01_XL9"/>
      <sheetName val="_손익기01_XL_x005f_x0000__x005f_x0000_DePara9"/>
      <sheetName val="15년_BL_사계9"/>
      <sheetName val="1_종합손익(도급)9"/>
      <sheetName val="1_종합손익(주택,개발)9"/>
      <sheetName val="2_실행예산9"/>
      <sheetName val="2_2과부족9"/>
      <sheetName val="2_3원가절감9"/>
      <sheetName val="8_외주비집행현황9"/>
      <sheetName val="9_자재비9"/>
      <sheetName val="10_현장집행9"/>
      <sheetName val="3_추가원가9"/>
      <sheetName val="3_추가원가_(2)9"/>
      <sheetName val="4_사전공사9"/>
      <sheetName val="5_추정공사비9"/>
      <sheetName val="6_금융비용9"/>
      <sheetName val="7_공사비집행현황(총괄)9"/>
      <sheetName val="11_1생산성9"/>
      <sheetName val="11_2인원산출9"/>
      <sheetName val="Classification_分类8"/>
      <sheetName val="Set_Up9"/>
      <sheetName val="Fare_prices8"/>
      <sheetName val="Hotel_prices8"/>
      <sheetName val="tab_STATUS_DO_PROCESSO_8"/>
      <sheetName val="Perf__Plan__Diário18"/>
      <sheetName val="In_(2)8"/>
      <sheetName val="__한국_AMP_ASP-23_판매가격__8"/>
      <sheetName val="CC_Down_load_07168"/>
      <sheetName val="변경실행(2차)_8"/>
      <sheetName val="나_출고8"/>
      <sheetName val="나_입고8"/>
      <sheetName val="09년_인건비(속리산)8"/>
      <sheetName val="합산목표(감가+57_5)8"/>
      <sheetName val="제조원가_원단위_분석8"/>
      <sheetName val="종합표양식(품의_&amp;_입고)_28"/>
      <sheetName val="원가관리_(동월대비)8"/>
      <sheetName val="b_balju_(2)8"/>
      <sheetName val="2-2_매출분석8"/>
      <sheetName val="몰드시스템_리스트8"/>
      <sheetName val="11_외화채무증권(AFS,HTM)088"/>
      <sheetName val="13_감액TEST_088"/>
      <sheetName val="12년_CF(9월)8"/>
      <sheetName val="중기조종사_단위단가8"/>
      <sheetName val="6PILE__(돌출)8"/>
      <sheetName val="기성청구_공문8"/>
      <sheetName val="Sheet1_(2)8"/>
      <sheetName val="CLASIFICACION_DE_AI8"/>
      <sheetName val="Base_da_Datos8"/>
      <sheetName val="slide_24_cat_A8"/>
      <sheetName val="slide_82_cat_b8"/>
      <sheetName val="Dados_dos_Produtos8"/>
      <sheetName val="09~10년_매출계획8"/>
      <sheetName val="1_MDF1공장8"/>
      <sheetName val="Incident_유형구분표8"/>
      <sheetName val="3YP2016-Bottom_up7"/>
      <sheetName val="DD_list8"/>
      <sheetName val="Base_de_Datos7"/>
      <sheetName val="2_카드채권(대출포함)7"/>
      <sheetName val="表21_净利润调节表7"/>
      <sheetName val="MASTER_APP7"/>
      <sheetName val="Cond__Inseguros7"/>
      <sheetName val="Comp__Inseguros7"/>
      <sheetName val="Lista_de_datos7"/>
      <sheetName val="Supply_Cost_Centers7"/>
      <sheetName val="Clasif_7"/>
      <sheetName val="Farol_Acciones7"/>
      <sheetName val="Lista_de_Entrenamientos7"/>
      <sheetName val="Unidades_SAC-REVENDA8"/>
      <sheetName val="FornecM_Check6"/>
      <sheetName val="Lista_CI7"/>
      <sheetName val="Estratificación_AI6"/>
      <sheetName val="condicion_inseguras6"/>
      <sheetName val="Actos_Inseguros6"/>
      <sheetName val="Control_de_incidentes6"/>
      <sheetName val="Plan_de_Acción6"/>
      <sheetName val="_DD_List7"/>
      <sheetName val="Share_Price_20027"/>
      <sheetName val="BEP_加薪_KPI6"/>
      <sheetName val="F08_-_Asia_Pac_Full_Year_Q37"/>
      <sheetName val="Top_Priorities7"/>
      <sheetName val="Listco_Stock7"/>
      <sheetName val="Intl_Purchase7"/>
      <sheetName val="FY_outlook7"/>
      <sheetName val="CY_outlook7"/>
      <sheetName val="Cash_metrics7"/>
      <sheetName val="P6_77"/>
      <sheetName val="DATOS_BASE6"/>
      <sheetName val="Issues_List_Payments6"/>
      <sheetName val="Faro_de_Indicadores6"/>
      <sheetName val="TOP_KPIs_MTM6"/>
      <sheetName val="PLAN_DE_ACCION6"/>
      <sheetName val="Grafica_Actos6"/>
      <sheetName val="POC_LIST6"/>
      <sheetName val="Dashboard_Prevención_Riesgos_6"/>
      <sheetName val="APAC_S6"/>
      <sheetName val="APAC_N6"/>
      <sheetName val="Slide_output6"/>
      <sheetName val="do_not_delete6"/>
      <sheetName val="[손익기01_XL??DePara6"/>
      <sheetName val="Farol_Metas6"/>
      <sheetName val="Mod_Relac_6"/>
      <sheetName val="Condiciones_SyE6"/>
      <sheetName val="REALxMETA_-_CERVEJA8"/>
      <sheetName val="REALxMETA_-_REFRI8"/>
      <sheetName val="Directrices_de_Metas_20176"/>
      <sheetName val="DETALLE_MENSUAL6"/>
      <sheetName val="Entity_Target6"/>
      <sheetName val="VALIDACION_DE_DATOS5"/>
      <sheetName val="_손익기01_XL_x005f_x005f_x005f_x0000__x005f_x005f_x6"/>
      <sheetName val="Hazards_Analysis-隐患分析6"/>
      <sheetName val="97_사업추정(WEKI)6"/>
      <sheetName val="Tong_hop6"/>
      <sheetName val="95_1_1이후취득자산(숨기기상태)6"/>
      <sheetName val="sum1_(2)6"/>
      <sheetName val="3_바닥판설계6"/>
      <sheetName val="6월_공정외주6"/>
      <sheetName val="2_대외공문6"/>
      <sheetName val="2_총괄표6"/>
      <sheetName val="PAR"/>
      <sheetName val="订单追踪_信阳市区_0825"/>
      <sheetName val="Data_validation6"/>
      <sheetName val="입출재고현황_(2)6"/>
      <sheetName val="504전기실_동부하-L6"/>
      <sheetName val="OUTER_AREA(겹침없음)6"/>
      <sheetName val="EL_표면적6"/>
      <sheetName val="TRE_TABLE6"/>
      <sheetName val="입찰내역_발주처_양식6"/>
      <sheetName val="turnover_reason퇴직사유6"/>
      <sheetName val="SKU_Basic_Data6"/>
      <sheetName val="Check_Qualidade4"/>
      <sheetName val="De_Para5"/>
      <sheetName val="Check_Aderencia4"/>
      <sheetName val="Drop-down_List5"/>
      <sheetName val="by_DD5"/>
      <sheetName val="Jul-Sep_Actual_cost_(2)5"/>
      <sheetName val="Base_Farol4"/>
      <sheetName val="Gerencial_IL4"/>
      <sheetName val="Ventas_Campo4"/>
      <sheetName val="ACTOS_POR_RIESGO4"/>
      <sheetName val="drop_lists4"/>
      <sheetName val="MRL_NON_SUPPLY_URU4"/>
      <sheetName val="AIIM_-_Empresas_Ext_20124"/>
      <sheetName val="KPIs_Hana4"/>
      <sheetName val="Catalago_de_refacciones_4"/>
      <sheetName val="Existencias_al_07-Nov-20124"/>
      <sheetName val="Check_GG4"/>
      <sheetName val="Nombre_de_SOP4"/>
      <sheetName val="NAZ_Strategy"/>
      <sheetName val="Ta_4"/>
      <sheetName val="2__Indicadores4"/>
      <sheetName val="부재료_비교(11년_vs_10년)4"/>
      <sheetName val="_손익기01_XL_x005f_x0000__x04"/>
      <sheetName val="Lista_de_Entrenamientos_RSO4"/>
      <sheetName val="Tablero_SDG7"/>
      <sheetName val="Lista_Areas7"/>
      <sheetName val="One_Page7"/>
      <sheetName val="Sub-Productos_HN5"/>
      <sheetName val="Eficiencia_linea4"/>
      <sheetName val="_mngt_Pillar4"/>
      <sheetName val="Sheet3_(2)4"/>
      <sheetName val="요일_테이블_4"/>
      <sheetName val="Sheet2_(2)4"/>
      <sheetName val="Lao_&amp;_Cam4"/>
      <sheetName val="Hoegaarden_20194"/>
      <sheetName val="Lao_&amp;_Cam_20194"/>
      <sheetName val="Malaysia_20194"/>
      <sheetName val="Singapore_20194"/>
      <sheetName val="Other_Listings4"/>
      <sheetName val="Pauta_RPS_Distribuição3"/>
      <sheetName val="Estoque_(2)3"/>
      <sheetName val="Comp_Inseguros3"/>
      <sheetName val="BNR_2012_в_ящике3"/>
      <sheetName val="DATOS_DE_VALIDACIÓN3"/>
      <sheetName val="Datos_con3"/>
      <sheetName val="_Datos_Cond_3"/>
      <sheetName val="DO_NOT_MOVE3"/>
      <sheetName val="INGRESO_(2)3"/>
      <sheetName val="PG-K1610_(UEN_Areas)MNG3"/>
      <sheetName val="DATOS_GEN_3"/>
      <sheetName val="NUEVOS_CRITERIOS3"/>
      <sheetName val="Condiciones_Agua3"/>
      <sheetName val="Dropdown_list2"/>
      <sheetName val="Proced_2"/>
      <sheetName val="Drop_list2"/>
      <sheetName val="FX_Rates2"/>
      <sheetName val="Vagas_x_Candidatos2"/>
      <sheetName val="__한국_AMP_ASP-23_판㧤가격__2"/>
      <sheetName val="11_䡸화채무줝ⴌ(AFS,HTM)082"/>
      <sheetName val="Control_de_Fallas2"/>
      <sheetName val="Setup_for_Templates2"/>
      <sheetName val="Datos_emp2"/>
      <sheetName val="TIPO_DE_ACTO2"/>
      <sheetName val="%_cumplimiento_2"/>
      <sheetName val="%_CUMPLIMIENTO2"/>
      <sheetName val="Listas_y_equipos_a_evaluar2"/>
      <sheetName val="CRITICIDAD_DE_CI2"/>
      <sheetName val="Catálogo_de_CI2"/>
      <sheetName val="Data_Reporte2"/>
      <sheetName val="Read_me2"/>
      <sheetName val="Validation_lists2"/>
      <sheetName val="Cut_Machine_Summary2"/>
      <sheetName val="Daily_Dashboard2"/>
      <sheetName val="Champions_List1"/>
      <sheetName val="CALIFICACIONES_2019"/>
      <sheetName val="Lev_4_360_deg_check_Crit_Task"/>
      <sheetName val="Lev_4_Chk_IC_Stock_Crit_Task"/>
      <sheetName val="Lev_4_WMS_Putaway_Crit_Task"/>
      <sheetName val="Mapeo_SKUs2"/>
      <sheetName val="Vol_(Ds)2"/>
      <sheetName val="Vol_(Ka)2"/>
      <sheetName val="Vol_(Oth)2"/>
      <sheetName val="Vol_(Oth)_Cortesias2"/>
      <sheetName val="INPUT-Cust_Sugg_Margin(Ds)2"/>
      <sheetName val="On_Invoice2"/>
      <sheetName val="INPUT-Cust_Sugg_Margin(Ka)2"/>
      <sheetName val="INPUT_SKUs2"/>
      <sheetName val="Brand_P&amp;L"/>
      <sheetName val="SUPERMONT_P"/>
      <sheetName val="Data_selection"/>
      <sheetName val="1_"/>
      <sheetName val="Customer_&amp;_SO"/>
      <sheetName val="Session_Proposal"/>
      <sheetName val="PROCESS MD"/>
      <sheetName val="Table"/>
      <sheetName val="Consolidated_Project List"/>
      <sheetName val="Fixed Cost"/>
      <sheetName val="[손익기01_XL_x0000__x0000_DePara6"/>
      <sheetName val="_손익기01_XL_x0000__x0000_DePara6"/>
      <sheetName val="_손익기01_XL_x005f_x0000__x3"/>
      <sheetName val="_손익기01_XL_x0000__x01"/>
      <sheetName val="_손익기01_XL_x0000__x2"/>
      <sheetName val="_손익기01_XL_x0000__x3"/>
      <sheetName val="Project List"/>
      <sheetName val="概览"/>
      <sheetName val="Выпадающие списки"/>
      <sheetName val="Списки"/>
      <sheetName val="Listas desplegables"/>
      <sheetName val="Resumen General"/>
      <sheetName val="Cátalogo de CI"/>
      <sheetName val="Hoja2 (2)"/>
      <sheetName val="Technology check list"/>
      <sheetName val="Status de Usuario"/>
      <sheetName val="pel_nvo"/>
      <sheetName val="SST"/>
      <sheetName val="Actos y Condiciones "/>
      <sheetName val="Settings"/>
      <sheetName val="NO BORRAR"/>
      <sheetName val="CUMPLIMIENTO"/>
      <sheetName val="Formato checklist Lab"/>
      <sheetName val="SOP Freshness"/>
      <sheetName val="PAINEL RECOLHA CRÉDITO"/>
      <sheetName val="Gráficos - CDD"/>
      <sheetName val="Values"/>
      <sheetName val="Industries"/>
      <sheetName val="监控探头清单"/>
      <sheetName val="下拉选项"/>
      <sheetName val="不安全行为分类"/>
      <sheetName val="IQ_SALE_REAL_ESTATE_CF_FIN"/>
      <sheetName val="IQ_SALE_REAL_ESTATE_CF_INS"/>
      <sheetName val="IQ_SALE_REAL_ESTATE_CF_UTI"/>
      <sheetName val="IQ_SHORT_INTEREST_PERCENT"/>
      <sheetName val="IQ_TAX_EQUIV_NET_INT_INC"/>
      <sheetName val="IQ_TOTAL_DEBT_ISSUED_BNK"/>
      <sheetName val="IQ_TOTAL_DEBT_ISSUED_FIN"/>
      <sheetName val="IQ_TOTAL_DEBT_ISSUED_REIT"/>
      <sheetName val="IQ_TOTAL_DEBT_ISSUED_UTI"/>
      <sheetName val="IQ_TOTAL_DEBT_ISSUES_INS"/>
      <sheetName val="IQ_TOTAL_DEBT_OVER_EBITDA"/>
      <sheetName val="Text"/>
      <sheetName val="3. Training &amp; travel"/>
      <sheetName val="Mapeo_SKUs4"/>
      <sheetName val="Vol_(Ds)4"/>
      <sheetName val="Vol_(Ka)4"/>
      <sheetName val="Vol_(Oth)4"/>
      <sheetName val="Vol_(Oth)_Cortesias4"/>
      <sheetName val="INPUT-Cust_Sugg_Margin(Ds)4"/>
      <sheetName val="On_Invoice4"/>
      <sheetName val="INPUT-Cust_Sugg_Margin(Ka)4"/>
      <sheetName val="INPUT_SKUs4"/>
      <sheetName val="SUPERMONT_P2"/>
      <sheetName val="Brand_P&amp;L1"/>
      <sheetName val="Mapeo_SKUs3"/>
      <sheetName val="Vol_(Ds)3"/>
      <sheetName val="Vol_(Ka)3"/>
      <sheetName val="Vol_(Oth)3"/>
      <sheetName val="Vol_(Oth)_Cortesias3"/>
      <sheetName val="INPUT-Cust_Sugg_Margin(Ds)3"/>
      <sheetName val="On_Invoice3"/>
      <sheetName val="INPUT-Cust_Sugg_Margin(Ka)3"/>
      <sheetName val="INPUT_SKUs3"/>
      <sheetName val="SUPERMONT_P1"/>
      <sheetName val="Source"/>
      <sheetName val="Dimension IN Sheet1!D1912"/>
      <sheetName val="Dimension IN 1912"/>
      <sheetName val="Introduction"/>
      <sheetName val="Manage to Sustain"/>
      <sheetName val="Meeting List"/>
      <sheetName val="DropLists"/>
      <sheetName val="Packages Info"/>
      <sheetName val="Preferred Option"/>
      <sheetName val="TO_Data_Base19"/>
      <sheetName val="YTD_Summary18"/>
      <sheetName val="Month_Summary18"/>
      <sheetName val="Trial_Balance_MAY_200918"/>
      <sheetName val="TB_Pivot18"/>
      <sheetName val="total_per_LB_LB218"/>
      <sheetName val="Trial_Balance_Vlookup18"/>
      <sheetName val="Trial_Balance_APRIL_200918"/>
      <sheetName val="Roll_Out_AQ18"/>
      <sheetName val="Evolução_mandamentos18"/>
      <sheetName val="Planilha_resultados17"/>
      <sheetName val="Historico_200317"/>
      <sheetName val="Sig_Cycles_Accts_&amp;_Processes17"/>
      <sheetName val="Fixed_ZBB11"/>
      <sheetName val="E_法规NC11"/>
      <sheetName val="3_ISo_YTD11"/>
      <sheetName val="Données_LMU11"/>
      <sheetName val="Brazil_Sovereign11"/>
      <sheetName val="Resumen_Costo11"/>
      <sheetName val="Base_de_Dados11"/>
      <sheetName val="Extract_Loss11"/>
      <sheetName val="5_111"/>
      <sheetName val="QA_跟踪记录表11"/>
      <sheetName val="RG_Depots11"/>
      <sheetName val="material_data11"/>
      <sheetName val="other_data11"/>
      <sheetName val="Como_Estamos11"/>
      <sheetName val="Database_(RUR)Mar_YTD11"/>
      <sheetName val="SKU_Mapping11"/>
      <sheetName val="Drop_Down11"/>
      <sheetName val="Raw_Data11"/>
      <sheetName val="EBM-2_GHQ11"/>
      <sheetName val="Base_PEF12"/>
      <sheetName val="Controls_data13"/>
      <sheetName val="Testing_Template_Guidance11"/>
      <sheetName val="Test_Programs11"/>
      <sheetName val="Dados_BLP11"/>
      <sheetName val="JOB_PROFILE_-_LAS11"/>
      <sheetName val="ARdistr_(2)11"/>
      <sheetName val="FJJX_Bud_IB10"/>
      <sheetName val="look-up_data10"/>
      <sheetName val="Prd_Hierarchy(产品层级)10"/>
      <sheetName val="Com_(2PK)10"/>
      <sheetName val="Project_Code10"/>
      <sheetName val="[손익기01_XL10"/>
      <sheetName val="요일_테이블11"/>
      <sheetName val="요일_테이블_(2)10"/>
      <sheetName val="Prd_Hierarchy(产品层次)10"/>
      <sheetName val="전사_PL12"/>
      <sheetName val="자금_제외_PL12"/>
      <sheetName val="자금_PL12"/>
      <sheetName val="전사_BS12"/>
      <sheetName val="자금_제외_BS12"/>
      <sheetName val="자금_BS12"/>
      <sheetName val="BS_계정_설명12"/>
      <sheetName val="_Cash_Flow(전사)12"/>
      <sheetName val="_Cash_Flow(자금제외)12"/>
      <sheetName val="_Cash_Flow(자금)12"/>
      <sheetName val="ROIC_12"/>
      <sheetName val="인건비_명세12"/>
      <sheetName val="판관비_명세12"/>
      <sheetName val="OH_Cost경비(내역)12"/>
      <sheetName val="OH_Cost경비(배부기준)12"/>
      <sheetName val="기타수지&amp;특별손익_명세12"/>
      <sheetName val="업무연락_(2)11"/>
      <sheetName val="제시_손익계산서11"/>
      <sheetName val="01_02월_성과급12"/>
      <sheetName val="M_7회차_담금_계획11"/>
      <sheetName val="팀별_실적11"/>
      <sheetName val="팀별_실적_(환산)11"/>
      <sheetName val="4__Inj_투자상세내역11"/>
      <sheetName val="3__Blow_투자_상세내역11"/>
      <sheetName val="Process_List11"/>
      <sheetName val="7_(2)11"/>
      <sheetName val="_손익기01_XL10"/>
      <sheetName val="drop_down_list10"/>
      <sheetName val="Income_Stmt10"/>
      <sheetName val="[손익기01_XL_x005f_x0000__x005f_x0000_DePara10"/>
      <sheetName val="Quarterly_LBO_Model10"/>
      <sheetName val="_손익기01_XL_x005f_x0000__x005f_x0000_DePara10"/>
      <sheetName val="15년_BL_사계10"/>
      <sheetName val="1_종합손익(도급)10"/>
      <sheetName val="1_종합손익(주택,개발)10"/>
      <sheetName val="2_실행예산10"/>
      <sheetName val="2_2과부족10"/>
      <sheetName val="2_3원가절감10"/>
      <sheetName val="8_외주비집행현황10"/>
      <sheetName val="9_자재비10"/>
      <sheetName val="10_현장집행10"/>
      <sheetName val="3_추가원가10"/>
      <sheetName val="3_추가원가_(2)10"/>
      <sheetName val="4_사전공사10"/>
      <sheetName val="5_추정공사비10"/>
      <sheetName val="6_금융비용10"/>
      <sheetName val="7_공사비집행현황(총괄)10"/>
      <sheetName val="11_1생산성10"/>
      <sheetName val="11_2인원산출10"/>
      <sheetName val="Figures_Report9"/>
      <sheetName val="Classification_分类9"/>
      <sheetName val="Set_Up10"/>
      <sheetName val="Fare_prices9"/>
      <sheetName val="Hotel_prices9"/>
      <sheetName val="tab_STATUS_DO_PROCESSO_9"/>
      <sheetName val="slide_24_cat_A9"/>
      <sheetName val="slide_82_cat_b9"/>
      <sheetName val="__한국_AMP_ASP-23_판매가격__9"/>
      <sheetName val="CC_Down_load_07169"/>
      <sheetName val="변경실행(2차)_9"/>
      <sheetName val="나_출고9"/>
      <sheetName val="나_입고9"/>
      <sheetName val="09년_인건비(속리산)9"/>
      <sheetName val="합산목표(감가+57_5)9"/>
      <sheetName val="제조원가_원단위_분석9"/>
      <sheetName val="종합표양식(품의_&amp;_입고)_29"/>
      <sheetName val="원가관리_(동월대비)9"/>
      <sheetName val="b_balju_(2)9"/>
      <sheetName val="2-2_매출분석9"/>
      <sheetName val="몰드시스템_리스트9"/>
      <sheetName val="11_외화채무증권(AFS,HTM)089"/>
      <sheetName val="13_감액TEST_089"/>
      <sheetName val="12년_CF(9월)9"/>
      <sheetName val="중기조종사_단위단가9"/>
      <sheetName val="6PILE__(돌출)9"/>
      <sheetName val="기성청구_공문9"/>
      <sheetName val="Sheet1_(2)9"/>
      <sheetName val="Perf__Plan__Diário19"/>
      <sheetName val="In_(2)9"/>
      <sheetName val="CLASIFICACION_DE_AI9"/>
      <sheetName val="Base_da_Datos9"/>
      <sheetName val="Dados_dos_Produtos9"/>
      <sheetName val="09~10년_매출계획9"/>
      <sheetName val="1_MDF1공장9"/>
      <sheetName val="Incident_유형구분표9"/>
      <sheetName val="3YP2016-Bottom_up8"/>
      <sheetName val="DD_list9"/>
      <sheetName val="Base_de_Datos8"/>
      <sheetName val="Clasif_8"/>
      <sheetName val="Supply_Cost_Centers8"/>
      <sheetName val="Cond__Inseguros8"/>
      <sheetName val="Comp__Inseguros8"/>
      <sheetName val="Lista_de_datos8"/>
      <sheetName val="MASTER_APP8"/>
      <sheetName val="2_카드채권(대출포함)8"/>
      <sheetName val="表21_净利润调节表8"/>
      <sheetName val="Lista_CI8"/>
      <sheetName val="Dashboard_Prevención_Riesgos_7"/>
      <sheetName val="TOP_KPIs_MTM7"/>
      <sheetName val="PLAN_DE_ACCION7"/>
      <sheetName val="Faro_de_Indicadores7"/>
      <sheetName val="Farol_Acciones8"/>
      <sheetName val="Lista_de_Entrenamientos8"/>
      <sheetName val="Unidades_SAC-REVENDA9"/>
      <sheetName val="FornecM_Check7"/>
      <sheetName val="Share_Price_20028"/>
      <sheetName val="_DD_List8"/>
      <sheetName val="BEP_加薪_KPI7"/>
      <sheetName val="_손익기01_XL_x005f_x005f_x005f_x0000__x005f_x005f_x7"/>
      <sheetName val="F08_-_Asia_Pac_Full_Year_Q38"/>
      <sheetName val="Top_Priorities8"/>
      <sheetName val="Listco_Stock8"/>
      <sheetName val="Intl_Purchase8"/>
      <sheetName val="FY_outlook8"/>
      <sheetName val="CY_outlook8"/>
      <sheetName val="Cash_metrics8"/>
      <sheetName val="P6_78"/>
      <sheetName val="DATOS_BASE7"/>
      <sheetName val="Estratificación_AI7"/>
      <sheetName val="condicion_inseguras7"/>
      <sheetName val="Actos_Inseguros7"/>
      <sheetName val="Control_de_incidentes7"/>
      <sheetName val="Plan_de_Acción7"/>
      <sheetName val="Hazards_Analysis-隐患分析7"/>
      <sheetName val="97_사업추정(WEKI)7"/>
      <sheetName val="Tong_hop7"/>
      <sheetName val="95_1_1이후취득자산(숨기기상태)7"/>
      <sheetName val="sum1_(2)7"/>
      <sheetName val="3_바닥판설계7"/>
      <sheetName val="6월_공정외주7"/>
      <sheetName val="2_대외공문7"/>
      <sheetName val="2_총괄표7"/>
      <sheetName val="입출재고현황_(2)7"/>
      <sheetName val="504전기실_동부하-L7"/>
      <sheetName val="OUTER_AREA(겹침없음)7"/>
      <sheetName val="EL_표면적7"/>
      <sheetName val="TRE_TABLE7"/>
      <sheetName val="입찰내역_발주처_양식7"/>
      <sheetName val="Issues_List_Payments7"/>
      <sheetName val="turnover_reason퇴직사유7"/>
      <sheetName val="Grafica_Actos7"/>
      <sheetName val="POC_LIST7"/>
      <sheetName val="Condiciones_SyE7"/>
      <sheetName val="DETALLE_MENSUAL7"/>
      <sheetName val="SKU_Basic_Data7"/>
      <sheetName val="do_not_delete7"/>
      <sheetName val="APAC_S7"/>
      <sheetName val="APAC_N7"/>
      <sheetName val="Slide_output7"/>
      <sheetName val="[손익기01_XL??DePara7"/>
      <sheetName val="Farol_Metas7"/>
      <sheetName val="Mod_Relac_7"/>
      <sheetName val="REALxMETA_-_CERVEJA9"/>
      <sheetName val="REALxMETA_-_REFRI9"/>
      <sheetName val="Directrices_de_Metas_20177"/>
      <sheetName val="Data_validation7"/>
      <sheetName val="Drop-down_List6"/>
      <sheetName val="by_DD6"/>
      <sheetName val="VALIDACION_DE_DATOS6"/>
      <sheetName val="Entity_Target7"/>
      <sheetName val="Jul-Sep_Actual_cost_(2)6"/>
      <sheetName val="Check_Qualidade5"/>
      <sheetName val="De_Para6"/>
      <sheetName val="Check_Aderencia5"/>
      <sheetName val="부재료_비교(11년_vs_10년)5"/>
      <sheetName val="_손익기01_XL_x005f_x0000__x05"/>
      <sheetName val="Base_Farol5"/>
      <sheetName val="Gerencial_IL5"/>
      <sheetName val="Ventas_Campo5"/>
      <sheetName val="ACTOS_POR_RIESGO5"/>
      <sheetName val="drop_lists5"/>
      <sheetName val="MRL_NON_SUPPLY_URU5"/>
      <sheetName val="AIIM_-_Empresas_Ext_20125"/>
      <sheetName val="KPIs_Hana5"/>
      <sheetName val="Catalago_de_refacciones_5"/>
      <sheetName val="Existencias_al_07-Nov-20125"/>
      <sheetName val="Check_GG5"/>
      <sheetName val="Sheet3_(2)5"/>
      <sheetName val="Nombre_de_SOP5"/>
      <sheetName val="Lao_&amp;_Cam5"/>
      <sheetName val="Hoegaarden_20195"/>
      <sheetName val="Lao_&amp;_Cam_20195"/>
      <sheetName val="Malaysia_20195"/>
      <sheetName val="Singapore_20195"/>
      <sheetName val="_mngt_Pillar5"/>
      <sheetName val="2__Indicadores5"/>
      <sheetName val="Ta_5"/>
      <sheetName val="요일_테이블_5"/>
      <sheetName val="Sheet2_(2)5"/>
      <sheetName val="Other_Listings5"/>
      <sheetName val="Lista_de_Entrenamientos_RSO5"/>
      <sheetName val="Tablero_SDG8"/>
      <sheetName val="Lista_Areas8"/>
      <sheetName val="One_Page8"/>
      <sheetName val="Sub-Productos_HN6"/>
      <sheetName val="Eficiencia_linea5"/>
      <sheetName val="Pauta_RPS_Distribuição4"/>
      <sheetName val="Estoque_(2)4"/>
      <sheetName val="Comp_Inseguros4"/>
      <sheetName val="BNR_2012_в_ящике4"/>
      <sheetName val="DATOS_DE_VALIDACIÓN4"/>
      <sheetName val="Datos_con4"/>
      <sheetName val="_Datos_Cond_4"/>
      <sheetName val="DO_NOT_MOVE4"/>
      <sheetName val="INGRESO_(2)4"/>
      <sheetName val="PG-K1610_(UEN_Areas)MNG4"/>
      <sheetName val="DATOS_GEN_4"/>
      <sheetName val="NUEVOS_CRITERIOS4"/>
      <sheetName val="Condiciones_Agua4"/>
      <sheetName val="Dropdown_list3"/>
      <sheetName val="Proced_3"/>
      <sheetName val="Drop_list3"/>
      <sheetName val="FX_Rates3"/>
      <sheetName val="Cut_Machine_Summary3"/>
      <sheetName val="__한국_AMP_ASP-23_판㧤가격__3"/>
      <sheetName val="11_䡸화채무줝ⴌ(AFS,HTM)083"/>
      <sheetName val="Control_de_Fallas3"/>
      <sheetName val="Setup_for_Templates3"/>
      <sheetName val="Datos_emp3"/>
      <sheetName val="Validation_lists3"/>
      <sheetName val="TIPO_DE_ACTO3"/>
      <sheetName val="CRITICIDAD_DE_CI3"/>
      <sheetName val="Catálogo_de_CI3"/>
      <sheetName val="%_CUMPLIMIENTO3"/>
      <sheetName val="%_cumplimiento_3"/>
      <sheetName val="CALIFICACIONES_20191"/>
      <sheetName val="Lev_4_360_deg_check_Crit_Task1"/>
      <sheetName val="Lev_4_Chk_IC_Stock_Crit_Task1"/>
      <sheetName val="Lev_4_WMS_Putaway_Crit_Task1"/>
      <sheetName val="Data_selection1"/>
      <sheetName val="1_1"/>
      <sheetName val="Customer_&amp;_SO1"/>
      <sheetName val="Session_Proposal1"/>
      <sheetName val="Vagas_x_Candidatos3"/>
      <sheetName val="Listas_y_equipos_a_evaluar3"/>
      <sheetName val="Data_Reporte3"/>
      <sheetName val="Read_me3"/>
      <sheetName val="Champions_List2"/>
      <sheetName val="NAZ_Strategy1"/>
      <sheetName val="Daily_Dashboard3"/>
      <sheetName val="Dropdown_Menu"/>
      <sheetName val="Análise_Tempos"/>
      <sheetName val="PDA_BOP"/>
      <sheetName val="Validação_de_Dados"/>
      <sheetName val="No_llenar_"/>
      <sheetName val="Incentivo_Automóvil"/>
      <sheetName val="유류대_현황"/>
      <sheetName val="mapping_(2)"/>
      <sheetName val="Ref_"/>
      <sheetName val="2_3_Projects_Status"/>
      <sheetName val="Lista_de_Motivos"/>
      <sheetName val="Ponto_Crítico_-_Resp__Plano"/>
      <sheetName val="Lista_Funcionários_(2)"/>
      <sheetName val="Project_List"/>
      <sheetName val="PROCESS_MD"/>
      <sheetName val="Выпадающие_списки"/>
      <sheetName val="1__템플릿"/>
      <sheetName val="2__작성_참고사항"/>
      <sheetName val="Listas_desplegables"/>
      <sheetName val="Resumen_General"/>
      <sheetName val="Cátalogo_de_CI"/>
      <sheetName val="Hoja2_(2)"/>
      <sheetName val="Technology_check_list"/>
      <sheetName val="Status_de_Usuario"/>
      <sheetName val="Actos_y_Condiciones_"/>
      <sheetName val="NO_BORRAR"/>
      <sheetName val="Formato_checklist_Lab"/>
      <sheetName val="Consolidated_Project_List"/>
      <sheetName val="Fixed_Cost"/>
      <sheetName val="Supporting"/>
      <sheetName val="입문 트랜드(종합분석)"/>
      <sheetName val="Maestras"/>
      <sheetName val="Master CE"/>
      <sheetName val="CE_Final "/>
      <sheetName val="CALENDAR"/>
      <sheetName val="OL LIST"/>
      <sheetName val="YTD GUEST LIST"/>
      <sheetName val="Session Full list"/>
      <sheetName val="FOOD PAYMENT update JAN"/>
      <sheetName val="Rate card F19 "/>
      <sheetName val="Master Plan  (update)"/>
      <sheetName val="The KPI "/>
      <sheetName val="Mentor Plan "/>
      <sheetName val="Master Plan "/>
      <sheetName val="Tier 1 GOV_PC Networking "/>
      <sheetName val="Tier 1 LBO "/>
      <sheetName val="工作表7"/>
      <sheetName val="自定义"/>
      <sheetName val="[손익기01_XL_x0000__x0000_DePara7"/>
      <sheetName val="_손익기01_XL_x0000__x0000_DePara7"/>
      <sheetName val="_손익기01_XL_x0000__x02"/>
      <sheetName val="[손익기01_XL_x0000__x0000_DePara8"/>
      <sheetName val="_손익기01_XL_x0000__x0000_DePara8"/>
      <sheetName val="_손익기01_XL_x0000__x03"/>
      <sheetName val="[손익기01_XL_x0000__x0000_DePara9"/>
      <sheetName val="_손익기01_XL_x0000__x0000_DePara9"/>
      <sheetName val="_손익기01_XL_x0000__x04"/>
      <sheetName val="_손익기01_XL_x005f_x0000__x4"/>
      <sheetName val="_손익기01_XL_x005f_x0000__x5"/>
      <sheetName val="_손익기01_XL_x005f_x0000__x6"/>
      <sheetName val="链接数据"/>
      <sheetName val="类型"/>
      <sheetName val="2020 MMR12"/>
      <sheetName val="不安全行为分析"/>
      <sheetName val="Razão Social"/>
      <sheetName val="MOTOSxCONDUTOR"/>
      <sheetName val="Plan4"/>
      <sheetName val="filtros"/>
      <sheetName val="Relatorio"/>
      <sheetName val="Codes"/>
      <sheetName val="PAINEL_RECOLHA_CRÉDITO"/>
      <sheetName val="Gráficos_-_CDD"/>
      <sheetName val="YTD_Summary19"/>
      <sheetName val="Month_Summary19"/>
      <sheetName val="Trial_Balance_MAY_200919"/>
      <sheetName val="TB_Pivot19"/>
      <sheetName val="total_per_LB_LB219"/>
      <sheetName val="Trial_Balance_Vlookup19"/>
      <sheetName val="Trial_Balance_APRIL_200919"/>
      <sheetName val="TO_Data_Base20"/>
      <sheetName val="Roll_Out_AQ19"/>
      <sheetName val="Evolução_mandamentos19"/>
      <sheetName val="Planilha_resultados18"/>
      <sheetName val="Historico_200318"/>
      <sheetName val="Sig_Cycles_Accts_&amp;_Processes18"/>
      <sheetName val="Fixed_ZBB12"/>
      <sheetName val="3_ISo_YTD12"/>
      <sheetName val="E_法规NC12"/>
      <sheetName val="Données_LMU12"/>
      <sheetName val="Brazil_Sovereign12"/>
      <sheetName val="Resumen_Costo12"/>
      <sheetName val="Extract_Loss12"/>
      <sheetName val="QA_跟踪记录表12"/>
      <sheetName val="5_112"/>
      <sheetName val="Como_Estamos12"/>
      <sheetName val="Base_de_Dados12"/>
      <sheetName val="RG_Depots12"/>
      <sheetName val="material_data12"/>
      <sheetName val="other_data12"/>
      <sheetName val="Database_(RUR)Mar_YTD12"/>
      <sheetName val="SKU_Mapping12"/>
      <sheetName val="Drop_Down12"/>
      <sheetName val="Raw_Data12"/>
      <sheetName val="EBM-2_GHQ12"/>
      <sheetName val="Base_PEF13"/>
      <sheetName val="Testing_Template_Guidance12"/>
      <sheetName val="Test_Programs12"/>
      <sheetName val="Controls_data14"/>
      <sheetName val="Dados_BLP12"/>
      <sheetName val="ARdistr_(2)12"/>
      <sheetName val="FJJX_Bud_IB11"/>
      <sheetName val="look-up_data11"/>
      <sheetName val="Prd_Hierarchy(产品层级)11"/>
      <sheetName val="Com_(2PK)11"/>
      <sheetName val="JOB_PROFILE_-_LAS12"/>
      <sheetName val="요일_테이블12"/>
      <sheetName val="요일_테이블_(2)11"/>
      <sheetName val="Prd_Hierarchy(产品层次)11"/>
      <sheetName val="Project_Code11"/>
      <sheetName val="전사_PL13"/>
      <sheetName val="자금_제외_PL13"/>
      <sheetName val="자금_PL13"/>
      <sheetName val="전사_BS13"/>
      <sheetName val="자금_제외_BS13"/>
      <sheetName val="자금_BS13"/>
      <sheetName val="BS_계정_설명13"/>
      <sheetName val="_Cash_Flow(전사)13"/>
      <sheetName val="_Cash_Flow(자금제외)13"/>
      <sheetName val="_Cash_Flow(자금)13"/>
      <sheetName val="ROIC_13"/>
      <sheetName val="인건비_명세13"/>
      <sheetName val="판관비_명세13"/>
      <sheetName val="OH_Cost경비(내역)13"/>
      <sheetName val="OH_Cost경비(배부기준)13"/>
      <sheetName val="기타수지&amp;특별손익_명세13"/>
      <sheetName val="업무연락_(2)12"/>
      <sheetName val="제시_손익계산서12"/>
      <sheetName val="01_02월_성과급13"/>
      <sheetName val="M_7회차_담금_계획12"/>
      <sheetName val="팀별_실적12"/>
      <sheetName val="팀별_실적_(환산)12"/>
      <sheetName val="4__Inj_투자상세내역12"/>
      <sheetName val="3__Blow_투자_상세내역12"/>
      <sheetName val="Process_List12"/>
      <sheetName val="7_(2)12"/>
      <sheetName val="_손익기01_XL11"/>
      <sheetName val="Income_Stmt11"/>
      <sheetName val="drop_down_list11"/>
      <sheetName val="Figures_Report10"/>
      <sheetName val="[손익기01_XL_x005f_x0000__x005f_x0000_DePara11"/>
      <sheetName val="Quarterly_LBO_Model11"/>
      <sheetName val="[손익기01_XL11"/>
      <sheetName val="_손익기01_XL_x005f_x0000__x005f_x0000_DePara11"/>
      <sheetName val="15년_BL_사계11"/>
      <sheetName val="1_종합손익(도급)11"/>
      <sheetName val="1_종합손익(주택,개발)11"/>
      <sheetName val="2_실행예산11"/>
      <sheetName val="2_2과부족11"/>
      <sheetName val="2_3원가절감11"/>
      <sheetName val="8_외주비집행현황11"/>
      <sheetName val="9_자재비11"/>
      <sheetName val="10_현장집행11"/>
      <sheetName val="3_추가원가11"/>
      <sheetName val="3_추가원가_(2)11"/>
      <sheetName val="4_사전공사11"/>
      <sheetName val="5_추정공사비11"/>
      <sheetName val="6_금융비용11"/>
      <sheetName val="7_공사비집행현황(총괄)11"/>
      <sheetName val="11_1생산성11"/>
      <sheetName val="11_2인원산출11"/>
      <sheetName val="Classification_分类10"/>
      <sheetName val="Set_Up11"/>
      <sheetName val="Fare_prices10"/>
      <sheetName val="Hotel_prices10"/>
      <sheetName val="tab_STATUS_DO_PROCESSO_10"/>
      <sheetName val="Perf__Plan__Diário110"/>
      <sheetName val="In_(2)10"/>
      <sheetName val="__한국_AMP_ASP-23_판매가격__10"/>
      <sheetName val="CC_Down_load_071610"/>
      <sheetName val="변경실행(2차)_10"/>
      <sheetName val="나_출고10"/>
      <sheetName val="나_입고10"/>
      <sheetName val="09년_인건비(속리산)10"/>
      <sheetName val="합산목표(감가+57_5)10"/>
      <sheetName val="제조원가_원단위_분석10"/>
      <sheetName val="종합표양식(품의_&amp;_입고)_210"/>
      <sheetName val="원가관리_(동월대비)10"/>
      <sheetName val="b_balju_(2)10"/>
      <sheetName val="2-2_매출분석10"/>
      <sheetName val="몰드시스템_리스트10"/>
      <sheetName val="11_외화채무증권(AFS,HTM)0810"/>
      <sheetName val="13_감액TEST_0810"/>
      <sheetName val="12년_CF(9월)10"/>
      <sheetName val="중기조종사_단위단가10"/>
      <sheetName val="6PILE__(돌출)10"/>
      <sheetName val="기성청구_공문10"/>
      <sheetName val="Sheet1_(2)10"/>
      <sheetName val="CLASIFICACION_DE_AI10"/>
      <sheetName val="Base_da_Datos10"/>
      <sheetName val="slide_24_cat_A10"/>
      <sheetName val="slide_82_cat_b10"/>
      <sheetName val="Dados_dos_Produtos10"/>
      <sheetName val="09~10년_매출계획10"/>
      <sheetName val="1_MDF1공장10"/>
      <sheetName val="Incident_유형구분표10"/>
      <sheetName val="3YP2016-Bottom_up9"/>
      <sheetName val="DD_list10"/>
      <sheetName val="Base_de_Datos9"/>
      <sheetName val="Supply_Cost_Centers9"/>
      <sheetName val="2_카드채권(대출포함)9"/>
      <sheetName val="表21_净利润调节表9"/>
      <sheetName val="Cond__Inseguros9"/>
      <sheetName val="Comp__Inseguros9"/>
      <sheetName val="Lista_de_datos9"/>
      <sheetName val="MASTER_APP9"/>
      <sheetName val="Clasif_9"/>
      <sheetName val="Farol_Acciones9"/>
      <sheetName val="Lista_de_Entrenamientos9"/>
      <sheetName val="Unidades_SAC-REVENDA10"/>
      <sheetName val="FornecM_Check8"/>
      <sheetName val="Lista_CI9"/>
      <sheetName val="Estratificación_AI8"/>
      <sheetName val="condicion_inseguras8"/>
      <sheetName val="Actos_Inseguros8"/>
      <sheetName val="Control_de_incidentes8"/>
      <sheetName val="Plan_de_Acción8"/>
      <sheetName val="_DD_List9"/>
      <sheetName val="Share_Price_20029"/>
      <sheetName val="Issues_List_Payments8"/>
      <sheetName val="BEP_加薪_KPI8"/>
      <sheetName val="Faro_de_Indicadores8"/>
      <sheetName val="TOP_KPIs_MTM8"/>
      <sheetName val="PLAN_DE_ACCION8"/>
      <sheetName val="Grafica_Actos8"/>
      <sheetName val="POC_LIST8"/>
      <sheetName val="Dashboard_Prevención_Riesgos_8"/>
      <sheetName val="APAC_S8"/>
      <sheetName val="APAC_N8"/>
      <sheetName val="Slide_output8"/>
      <sheetName val="do_not_delete8"/>
      <sheetName val="[손익기01_XL??DePara8"/>
      <sheetName val="Farol_Metas8"/>
      <sheetName val="Mod_Relac_8"/>
      <sheetName val="Condiciones_SyE8"/>
      <sheetName val="REALxMETA_-_CERVEJA10"/>
      <sheetName val="REALxMETA_-_REFRI10"/>
      <sheetName val="Directrices_de_Metas_20178"/>
      <sheetName val="F08_-_Asia_Pac_Full_Year_Q39"/>
      <sheetName val="Top_Priorities9"/>
      <sheetName val="Listco_Stock9"/>
      <sheetName val="Intl_Purchase9"/>
      <sheetName val="FY_outlook9"/>
      <sheetName val="CY_outlook9"/>
      <sheetName val="Cash_metrics9"/>
      <sheetName val="P6_79"/>
      <sheetName val="DATOS_BASE8"/>
      <sheetName val="DETALLE_MENSUAL8"/>
      <sheetName val="Entity_Target8"/>
      <sheetName val="VALIDACION_DE_DATOS7"/>
      <sheetName val="_손익기01_XL_x005f_x005f_x005f_x0000__x005f_x005f_x8"/>
      <sheetName val="Hazards_Analysis-隐患分析8"/>
      <sheetName val="97_사업추정(WEKI)8"/>
      <sheetName val="Tong_hop8"/>
      <sheetName val="95_1_1이후취득자산(숨기기상태)8"/>
      <sheetName val="sum1_(2)8"/>
      <sheetName val="3_바닥판설계8"/>
      <sheetName val="6월_공정외주8"/>
      <sheetName val="2_대외공문8"/>
      <sheetName val="2_총괄표8"/>
      <sheetName val="입출재고현황_(2)8"/>
      <sheetName val="504전기실_동부하-L8"/>
      <sheetName val="OUTER_AREA(겹침없음)8"/>
      <sheetName val="EL_표면적8"/>
      <sheetName val="TRE_TABLE8"/>
      <sheetName val="입찰내역_발주처_양식8"/>
      <sheetName val="Data_validation8"/>
      <sheetName val="turnover_reason퇴직사유8"/>
      <sheetName val="SKU_Basic_Data8"/>
      <sheetName val="Jul-Sep_Actual_cost_(2)7"/>
      <sheetName val="Drop-down_List7"/>
      <sheetName val="by_DD7"/>
      <sheetName val="Check_Qualidade6"/>
      <sheetName val="Check_Aderencia6"/>
      <sheetName val="De_Para7"/>
      <sheetName val="Base_Farol6"/>
      <sheetName val="Gerencial_IL6"/>
      <sheetName val="Ventas_Campo6"/>
      <sheetName val="ACTOS_POR_RIESGO6"/>
      <sheetName val="drop_lists6"/>
      <sheetName val="MRL_NON_SUPPLY_URU6"/>
      <sheetName val="AIIM_-_Empresas_Ext_20126"/>
      <sheetName val="KPIs_Hana6"/>
      <sheetName val="Catalago_de_refacciones_6"/>
      <sheetName val="Existencias_al_07-Nov-20126"/>
      <sheetName val="Check_GG6"/>
      <sheetName val="Nombre_de_SOP6"/>
      <sheetName val="Ta_6"/>
      <sheetName val="2__Indicadores6"/>
      <sheetName val="부재료_비교(11년_vs_10년)6"/>
      <sheetName val="_손익기01_XL_x005f_x0000__x06"/>
      <sheetName val="Lista_de_Entrenamientos_RSO6"/>
      <sheetName val="Tablero_SDG9"/>
      <sheetName val="Lista_Areas9"/>
      <sheetName val="One_Page9"/>
      <sheetName val="Sub-Productos_HN7"/>
      <sheetName val="Eficiencia_linea6"/>
      <sheetName val="_mngt_Pillar6"/>
      <sheetName val="Sheet3_(2)6"/>
      <sheetName val="요일_테이블_6"/>
      <sheetName val="Sheet2_(2)6"/>
      <sheetName val="Lao_&amp;_Cam6"/>
      <sheetName val="Hoegaarden_20196"/>
      <sheetName val="Lao_&amp;_Cam_20196"/>
      <sheetName val="Malaysia_20196"/>
      <sheetName val="Singapore_20196"/>
      <sheetName val="Other_Listings6"/>
      <sheetName val="Pauta_RPS_Distribuição5"/>
      <sheetName val="Estoque_(2)5"/>
      <sheetName val="Comp_Inseguros5"/>
      <sheetName val="BNR_2012_в_ящике5"/>
      <sheetName val="DATOS_DE_VALIDACIÓN5"/>
      <sheetName val="Datos_con5"/>
      <sheetName val="_Datos_Cond_5"/>
      <sheetName val="DO_NOT_MOVE5"/>
      <sheetName val="INGRESO_(2)5"/>
      <sheetName val="PG-K1610_(UEN_Areas)MNG5"/>
      <sheetName val="DATOS_GEN_5"/>
      <sheetName val="NUEVOS_CRITERIOS5"/>
      <sheetName val="Condiciones_Agua5"/>
      <sheetName val="Dropdown_list4"/>
      <sheetName val="FX_Rates4"/>
      <sheetName val="Vagas_x_Candidatos4"/>
      <sheetName val="__한국_AMP_ASP-23_판㧤가격__4"/>
      <sheetName val="11_䡸화채무줝ⴌ(AFS,HTM)084"/>
      <sheetName val="Drop_list4"/>
      <sheetName val="Proced_4"/>
      <sheetName val="Control_de_Fallas4"/>
      <sheetName val="Setup_for_Templates4"/>
      <sheetName val="Datos_emp4"/>
      <sheetName val="TIPO_DE_ACTO4"/>
      <sheetName val="%_cumplimiento_4"/>
      <sheetName val="%_CUMPLIMIENTO4"/>
      <sheetName val="Listas_y_equipos_a_evaluar4"/>
      <sheetName val="CRITICIDAD_DE_CI4"/>
      <sheetName val="Catálogo_de_CI4"/>
      <sheetName val="Data_Reporte4"/>
      <sheetName val="Read_me4"/>
      <sheetName val="Validation_lists4"/>
      <sheetName val="Cut_Machine_Summary4"/>
      <sheetName val="Daily_Dashboard4"/>
      <sheetName val="Champions_List3"/>
      <sheetName val="NAZ_Strategy2"/>
      <sheetName val="CALIFICACIONES_20192"/>
      <sheetName val="Lev_4_360_deg_check_Crit_Task2"/>
      <sheetName val="Lev_4_Chk_IC_Stock_Crit_Task2"/>
      <sheetName val="Lev_4_WMS_Putaway_Crit_Task2"/>
      <sheetName val="Brand_P&amp;L2"/>
      <sheetName val="Data_selection2"/>
      <sheetName val="1_2"/>
      <sheetName val="Customer_&amp;_SO2"/>
      <sheetName val="Session_Proposal2"/>
      <sheetName val="Análise_Tempos1"/>
      <sheetName val="Validação_de_Dados1"/>
      <sheetName val="No_llenar_1"/>
      <sheetName val="PDA_BOP1"/>
      <sheetName val="Incentivo_Automóvil1"/>
      <sheetName val="PROCESS_MD1"/>
      <sheetName val="Lista_de_Motivos1"/>
      <sheetName val="Ponto_Crítico_-_Resp__Plano1"/>
      <sheetName val="Lista_Funcionários_(2)1"/>
      <sheetName val="PAINEL_RECOLHA_CRÉDITO1"/>
      <sheetName val="Gráficos_-_CDD1"/>
      <sheetName val="데이터유효성목록"/>
      <sheetName val="FAB별"/>
      <sheetName val="문의내용 카테고리 분류(수정X)"/>
      <sheetName val="네고14"/>
      <sheetName val="관리1"/>
      <sheetName val="control sheet"/>
      <sheetName val="연체리스료"/>
      <sheetName val="Assign"/>
      <sheetName val="합잔_역사"/>
      <sheetName val="01현금및현금성자산(ok)"/>
      <sheetName val="상불"/>
      <sheetName val="main"/>
      <sheetName val="시스템 개요 유효값"/>
      <sheetName val="1TL종점(1)"/>
      <sheetName val="대환취급"/>
      <sheetName val="(참조)"/>
      <sheetName val="Investment Category"/>
      <sheetName val="640ꠌ᜹렀㣃씃"/>
      <sheetName val="640ꠏ᜹쀀씃"/>
      <sheetName val="FORM4"/>
      <sheetName val="FORM1"/>
      <sheetName val="FORM2"/>
      <sheetName val="FORM3"/>
      <sheetName val="FORM5"/>
      <sheetName val="FORM10"/>
      <sheetName val="FORM15"/>
      <sheetName val="FORM16"/>
      <sheetName val="DB"/>
      <sheetName val="Dropbox 목록"/>
      <sheetName val="JT3.0견적-구1"/>
      <sheetName val="관리자"/>
      <sheetName val="역T형옹벽(3.0)"/>
      <sheetName val="받을어음"/>
      <sheetName val="외상매출금현황-수정분 A2"/>
      <sheetName val="기준재고"/>
      <sheetName val="수액원료4"/>
      <sheetName val="대구은행"/>
      <sheetName val="원재료"/>
      <sheetName val="비품"/>
      <sheetName val="PF 현황(11년12월)"/>
      <sheetName val="노원열병합  건축공사기성내역서"/>
      <sheetName val="NG Item"/>
      <sheetName val="OUTER_A՜_x0000_缀_x0000__x0000__x0000_尀빙끯"/>
      <sheetName val="나_출_x0000__x0000_"/>
      <sheetName val="입찰내역_Ĉ"/>
      <sheetName val="보고서_표"/>
      <sheetName val="0__가정_및_결론"/>
      <sheetName val="1__투자비"/>
      <sheetName val="2__Rent-roll"/>
      <sheetName val="3__Funding"/>
      <sheetName val="4__운영수익"/>
      <sheetName val="5__운영비용"/>
      <sheetName val="6_1_N+1년차_NOI_산정"/>
      <sheetName val="6__부동산매각"/>
      <sheetName val="7__보유세"/>
      <sheetName val="8__교통유발부담금"/>
      <sheetName val="9__BS부속"/>
      <sheetName val="10__CF(M)"/>
      <sheetName val="11__IS(M)"/>
      <sheetName val="12__BS(M)"/>
      <sheetName val="14__IS(FY)"/>
      <sheetName val="13__CF(FY)"/>
      <sheetName val="15__BS(FY)"/>
      <sheetName val="16__RE(FY)"/>
      <sheetName val="1_수인터널"/>
      <sheetName val="부대내역"/>
      <sheetName val="참고3.DATA"/>
      <sheetName val="부대공사총괄"/>
      <sheetName val="건축공사집계표"/>
      <sheetName val="방배동내역 (총괄)"/>
      <sheetName val="NKC (final)"/>
      <sheetName val="NCR_HEC_6 Opens"/>
      <sheetName val="NCR_HEC_4 Open &amp; Vendor_2 Opens"/>
      <sheetName val="철거산출근거"/>
      <sheetName val="날개벽수량표"/>
      <sheetName val="유리단가"/>
      <sheetName val="날개벽(시점좌측)"/>
      <sheetName val="504전기실_x0000__x0000__x0001_Ԁ_x0000_"/>
      <sheetName val="Mot So Thuat Ngu EN-VI"/>
      <sheetName val="7_Utility_Analysis1"/>
      <sheetName val="Operational_Activities1"/>
      <sheetName val="Mot_So_Thuat_Ngu_EN-VI"/>
      <sheetName val="Planilha_relts??eos7"/>
      <sheetName val="_x005f_x0000_"/>
      <sheetName val="기타수지&amp;특별손익_ﹴÕ"/>
      <sheetName val="001"/>
      <sheetName val="1711월"/>
      <sheetName val="운반"/>
      <sheetName val="Ref. Spec Review 양식"/>
      <sheetName val="Ref. 시험항목 테이블"/>
      <sheetName val="Ref. Search Result 테이블"/>
      <sheetName val="Bank_code"/>
      <sheetName val="Drop-down_RAW"/>
      <sheetName val="Basic_Information"/>
      <sheetName val="Exchange_rate"/>
      <sheetName val="견적서"/>
      <sheetName val="Asset9809CAK"/>
      <sheetName val="OH _x000f__x0000__x000c__x0000__x0006__x0000__x0005__x0000__x000c__x0000_"/>
      <sheetName val="_x0000__x0004__x0000__x0002__x0000__x0002__x0000__x0005__x0000__x0008__x0000_"/>
      <sheetName val="ࠀ฀က฀Ԁ"/>
      <sheetName val="OH _x000f_"/>
      <sheetName val="____"/>
      <sheetName val="이름표"/>
      <sheetName val="이자"/>
      <sheetName val="_x005f_x005f_x005f_x005f_x005f_x005f_x005f_x0018__x005f"/>
      <sheetName val="_x005f_x005f_x005f_x0018__"/>
      <sheetName val="간접비"/>
      <sheetName val="Sensitivity and GC Value"/>
      <sheetName val="첨부1-2. 증감사유내역서(을)"/>
      <sheetName val="원가관리_(동월대-_x0000_Ԁ"/>
      <sheetName val="항목(1)"/>
      <sheetName val="BOOK4"/>
      <sheetName val="SS20"/>
      <sheetName val="SS10"/>
      <sheetName val="생산"/>
      <sheetName val="504전기실_Ç_x0000_Ԁ_x0000_瀀"/>
      <sheetName val="504전기실_Ç_x0000_Ԁ_x0000_退"/>
      <sheetName val="504전기실_壇멿︀ⳕԯ"/>
      <sheetName val="M&amp;Q_Lead"/>
      <sheetName val="Phieu_trinh_ky_cấu_tháp"/>
      <sheetName val="Phieu_trinh_ky_VTP"/>
      <sheetName val="KS-VL_rời"/>
      <sheetName val="Tai_san"/>
      <sheetName val="Check_dong_tien"/>
      <sheetName val="Chi_phí_SDTS"/>
      <sheetName val="Check_COST"/>
      <sheetName val="DATA_HD"/>
      <sheetName val="Tong_hop_1TM"/>
      <sheetName val="NS_Lán_trại"/>
      <sheetName val="Check_cong_no_NC"/>
      <sheetName val="4_1_월별_에너지_사용량"/>
      <sheetName val="첨부#2_Cash_Flow(현장작성)"/>
      <sheetName val="7_공사비집Ā翸"/>
      <sheetName val="NKC_(final)"/>
      <sheetName val="1-2_설계변경요청서(갑지)"/>
      <sheetName val="첨부1_(주차관제-_당공)"/>
      <sheetName val="첨부1-1_설계변경내역서(CCTV)"/>
      <sheetName val="첨부1-2_(주차관제-변공)"/>
      <sheetName val="2-6_변공량(추가공사)"/>
      <sheetName val="_2-1_관제(물량산출서집계표)"/>
      <sheetName val="_2-2_유도(물량산출서집계표)"/>
      <sheetName val="3-1_주차관제"/>
      <sheetName val="3-2_주차-광케이블"/>
      <sheetName val="3-3_층별LPR"/>
      <sheetName val="4-1_유도-광케이블"/>
      <sheetName val="4-2_주차키오스크"/>
      <sheetName val="4-3_4면카메라"/>
      <sheetName val="4-5_CCTV"/>
      <sheetName val="4-6_블럭유도등"/>
      <sheetName val="4-7_입구만차등"/>
      <sheetName val="4-8_비상벨"/>
      <sheetName val="단가조사표"/>
      <sheetName val="국내_x0000__x0000_"/>
      <sheetName val="수량산출서 (2)"/>
      <sheetName val="지급제한자"/>
      <sheetName val="_Cash_Flow(자_x0000__x0000_"/>
      <sheetName val="무역한도관리"/>
      <sheetName val="지급어음"/>
      <sheetName val="중속정보"/>
      <sheetName val="실행예산SHEET도장재검토"/>
      <sheetName val="0901"/>
      <sheetName val="식문화"/>
      <sheetName val="SRS 월별 BS"/>
      <sheetName val="SRS"/>
      <sheetName val="중기매출"/>
      <sheetName val="제조비(신청)"/>
      <sheetName val="경쟁사생산량추이"/>
      <sheetName val="12매출실적Copy"/>
      <sheetName val="매출액"/>
      <sheetName val="경영현황"/>
      <sheetName val="4월실적"/>
      <sheetName val="C"/>
      <sheetName val="평가&amp;선급.미지급"/>
      <sheetName val="지질조사"/>
      <sheetName val="07년10~12월"/>
      <sheetName val="EXC IND"/>
      <sheetName val="SRS_월별_BS"/>
      <sheetName val="평가&amp;선급_미지급"/>
      <sheetName val="COLOR별 인쇄"/>
      <sheetName val="일정표"/>
      <sheetName val="FED"/>
      <sheetName val="급여인상효과-연간부담분"/>
      <sheetName val="공종별집계"/>
      <sheetName val="공기연장현황"/>
      <sheetName val="토지평가조서(발송용)"/>
      <sheetName val="토공(우물통,기타) "/>
      <sheetName val="경상직원"/>
      <sheetName val="91"/>
      <sheetName val="생산1-2"/>
      <sheetName val="생산1-1"/>
      <sheetName val="매출계획"/>
      <sheetName val="품의서개정(갑)"/>
      <sheetName val="10.예산 및 원가 계획(02년)"/>
      <sheetName val="23기-3분기결산PL"/>
      <sheetName val="本月预计"/>
      <sheetName val="1)추진현황"/>
      <sheetName val="매출회전"/>
      <sheetName val="소방사항"/>
      <sheetName val="TMPA"/>
      <sheetName val="TLoss"/>
      <sheetName val="예총"/>
      <sheetName val="0304"/>
      <sheetName val="건축갑지"/>
      <sheetName val="건축내역서"/>
      <sheetName val="견적보고서"/>
      <sheetName val="6F8"/>
      <sheetName val="3.판관비명세서"/>
      <sheetName val="1__작성방식1"/>
      <sheetName val="표)CFT장_조직별_배분1"/>
      <sheetName val="20180214_P&amp;T1"/>
      <sheetName val="Ref__중점_추진_과제별_상세1"/>
      <sheetName val="Bank_code1"/>
      <sheetName val="Drop-down_RAW1"/>
      <sheetName val="Basic_Information1"/>
      <sheetName val="Exchange_rate1"/>
      <sheetName val="진행_DATA_(2)"/>
      <sheetName val="NG_Item"/>
      <sheetName val="Ref__Spec_Review_양식"/>
      <sheetName val="Ref__시험항목_테이블"/>
      <sheetName val="Ref__Search_Result_테이블"/>
      <sheetName val="TOWER_12TON"/>
      <sheetName val="TOWER_10TON"/>
      <sheetName val="JIB_CRANE,HOIST"/>
      <sheetName val="경영비율 "/>
      <sheetName val="07.01"/>
      <sheetName val="설계내역양식"/>
      <sheetName val="방배2E"/>
      <sheetName val="7_공사비집"/>
      <sheetName val="상반기손익차2총괄"/>
      <sheetName val="__Dscljh_c_EXCEL________1_96__2"/>
      <sheetName val="tifico"/>
      <sheetName val="신당동집계표"/>
      <sheetName val="OUTER_A՜"/>
      <sheetName val="_x005f_x0000__"/>
      <sheetName val="공통비"/>
      <sheetName val="1.설계조건"/>
      <sheetName val="1.설계기준"/>
      <sheetName val="6PILE__(Y_x0000__x0000_"/>
      <sheetName val="합산목표(감가+5_x0000__x0000_Ԁ_x0000_䀀"/>
      <sheetName val="6PILE__(剙_x0010__x0000_"/>
      <sheetName val="조도"/>
      <sheetName val="총 원가계산"/>
      <sheetName val="증감내역서"/>
      <sheetName val="단면치수"/>
      <sheetName val="변동률산출"/>
      <sheetName val="완성차 미수금"/>
      <sheetName val="B05"/>
      <sheetName val="B07"/>
      <sheetName val="A02"/>
      <sheetName val="A04"/>
      <sheetName val="A13"/>
      <sheetName val="B08"/>
      <sheetName val="B10"/>
      <sheetName val="STRAT_PLAN_WKSHT2"/>
      <sheetName val="Sales_Plan_&amp;_other2"/>
      <sheetName val="drop_downs1"/>
      <sheetName val="산자사_운전용품"/>
      <sheetName val="업무_분류(Category)"/>
      <sheetName val="구분_Table"/>
      <sheetName val="역T형옹벽(3_0)"/>
      <sheetName val="외상매출금현황-수정분_A2"/>
      <sheetName val="3_일반사상"/>
      <sheetName val="Project_Count"/>
      <sheetName val="control_sheet"/>
      <sheetName val="PF_현황(11년12월)"/>
      <sheetName val="Diesel_Price_"/>
      <sheetName val="견적_맵"/>
      <sheetName val="업무분장_"/>
      <sheetName val="7300-1000_111"/>
      <sheetName val="PJT_현황"/>
      <sheetName val="참고)_기준정보"/>
      <sheetName val="Long_Term_Prices"/>
      <sheetName val="문의내용_카테고리_분류(수정X)"/>
      <sheetName val="Sensitivity_and_GC_Value"/>
      <sheetName val="물가대비표"/>
      <sheetName val="SPT vs PHI"/>
      <sheetName val="Sheet16"/>
      <sheetName val="기준정보基准信息参考"/>
      <sheetName val="계정정보"/>
      <sheetName val="간접경상비"/>
      <sheetName val="20년 동일기간 소테마"/>
      <sheetName val="연결조정사항(2019)"/>
      <sheetName val="类别"/>
      <sheetName val="(실사조정)총괄"/>
      <sheetName val="F4-F7"/>
      <sheetName val="Supplement2"/>
      <sheetName val="운영경비 세부작성근거"/>
      <sheetName val="퇴직사유"/>
      <sheetName val=" Drop"/>
      <sheetName val="KEBHANA(평균환율)"/>
      <sheetName val="SAP 검증(평균환율)"/>
      <sheetName val="KEBHANA(월말환율)"/>
      <sheetName val="SAP 검증(월말환율)"/>
      <sheetName val="환율"/>
      <sheetName val="작성방법"/>
      <sheetName val="전분기말 정산표(PQE)"/>
      <sheetName val="전년동기 정산표"/>
      <sheetName val="전기말 정산표(PYE)"/>
      <sheetName val="당기말 정산표(CPE)"/>
      <sheetName val="회사명"/>
      <sheetName val="목차(Contents)"/>
      <sheetName val="연결정산표"/>
      <sheetName val="범주별"/>
      <sheetName val="A01-1"/>
      <sheetName val="A01-2"/>
      <sheetName val="A01-3"/>
      <sheetName val="A01-3 조정내역"/>
      <sheetName val="A01-3 단순합산"/>
      <sheetName val="현금등"/>
      <sheetName val="A02-1"/>
      <sheetName val="A02-2"/>
      <sheetName val="CF_refer"/>
      <sheetName val="매출채권 및 금융자산"/>
      <sheetName val="A03-1"/>
      <sheetName val="A03-2"/>
      <sheetName val="A03-3"/>
      <sheetName val="A03-3 연결조정"/>
      <sheetName val="A04-1"/>
      <sheetName val="A04-2"/>
      <sheetName val="A04-3"/>
      <sheetName val="A04-4"/>
      <sheetName val="재고"/>
      <sheetName val="A05"/>
      <sheetName val="기타자산"/>
      <sheetName val="A06"/>
      <sheetName val="유형자산"/>
      <sheetName val="A07"/>
      <sheetName val="A07. 유형자산 차기이월, 미실현"/>
      <sheetName val="A07. 유형자산 감가상각"/>
      <sheetName val="A08"/>
      <sheetName val="A08. 연결 조정"/>
      <sheetName val="A09"/>
      <sheetName val="A09. 연결 조정"/>
      <sheetName val="A10"/>
      <sheetName val="A11"/>
      <sheetName val="차입금(완)"/>
      <sheetName val="B01-1"/>
      <sheetName val="B01-2"/>
      <sheetName val="B01-3"/>
      <sheetName val="B01-4"/>
      <sheetName val="B02"/>
      <sheetName val="B03"/>
      <sheetName val="B01 연결 조정"/>
      <sheetName val="순확정급여부채"/>
      <sheetName val="B04"/>
      <sheetName val="B04-1"/>
      <sheetName val="B04 연결 조정"/>
      <sheetName val="충당,계약부채"/>
      <sheetName val="B05 연결 조정"/>
      <sheetName val="B06"/>
      <sheetName val="납입자본(연결자본변동표 참조 작성)"/>
      <sheetName val="이익잉여금(연결자본변동표 참조 작성)"/>
      <sheetName val="기타포괄손익누계액(연결자본변동표 참조 작성)"/>
      <sheetName val="C01(신)"/>
      <sheetName val="C01(구)"/>
      <sheetName val="C02"/>
      <sheetName val="비용의성격"/>
      <sheetName val="D01-1"/>
      <sheetName val="D01-2"/>
      <sheetName val="D01 연결 조정"/>
      <sheetName val="판관비기타금융"/>
      <sheetName val="D02"/>
      <sheetName val="E01"/>
      <sheetName val="E02"/>
      <sheetName val="F01"/>
      <sheetName val="주당손익(개별파일 작성)"/>
      <sheetName val="우발약정"/>
      <sheetName val="G01"/>
      <sheetName val="G02"/>
      <sheetName val="G03"/>
      <sheetName val="G04"/>
      <sheetName val="특관자"/>
      <sheetName val="H01"/>
      <sheetName val="H02"/>
      <sheetName val="H03"/>
      <sheetName val="H04"/>
      <sheetName val="H05"/>
      <sheetName val="H06"/>
      <sheetName val="위험관리"/>
      <sheetName val="I01"/>
      <sheetName val="I02"/>
      <sheetName val="I03"/>
      <sheetName val="I04-1"/>
      <sheetName val="I04-2(내부거래)"/>
      <sheetName val="I04-3(내부거래)"/>
      <sheetName val="I04-4(내부거래)"/>
      <sheetName val="I04-5(장기리스)"/>
      <sheetName val="I05"/>
      <sheetName val="I06"/>
      <sheetName val="J01"/>
      <sheetName val="J01-1"/>
      <sheetName val="K01"/>
      <sheetName val="K02"/>
      <sheetName val="K03"/>
      <sheetName val="K03-1"/>
      <sheetName val="K04"/>
      <sheetName val="BS준비"/>
      <sheetName val="7 _2_"/>
      <sheetName val="ALL"/>
      <sheetName val="LIDE"/>
      <sheetName val="7__2_"/>
      <sheetName val="부서실적"/>
      <sheetName val="xSeries255"/>
      <sheetName val="매출_비용"/>
      <sheetName val="조립지적"/>
      <sheetName val="1st"/>
      <sheetName val="krsec08"/>
      <sheetName val="Report Setup"/>
      <sheetName val="마력및원가표"/>
      <sheetName val="지성학원"/>
      <sheetName val="손익합산"/>
      <sheetName val="특정현금과예금"/>
      <sheetName val="현금과예금"/>
      <sheetName val="OWNER-1 (2)"/>
      <sheetName val="Sheet7"/>
      <sheetName val="유예기간"/>
      <sheetName val="07수주상세"/>
      <sheetName val="생산대일정"/>
      <sheetName val="pre-inv"/>
      <sheetName val="보조부문비배부"/>
      <sheetName val="1월말"/>
      <sheetName val="고객만족도 향상"/>
      <sheetName val="ScraRework"/>
      <sheetName val="생산계획"/>
      <sheetName val="판매계획"/>
      <sheetName val="IS_KGAAP"/>
      <sheetName val="통일"/>
      <sheetName val="3-3"/>
      <sheetName val="산출데이타(a)"/>
      <sheetName val="02"/>
      <sheetName val="3"/>
      <sheetName val="4"/>
      <sheetName val="08"/>
      <sheetName val="월확9601"/>
      <sheetName val="가격조사서"/>
      <sheetName val="108.수선비"/>
      <sheetName val="7__2_1"/>
      <sheetName val="Report_Setup"/>
      <sheetName val="#1_Basic"/>
      <sheetName val="OWNER-1_(2)"/>
      <sheetName val="MethodB"/>
      <sheetName val="제조부문배부"/>
      <sheetName val="자재코드"/>
      <sheetName val="DX220LC_M-BOM"/>
      <sheetName val="MethodC"/>
      <sheetName val="S225NLC-V"/>
      <sheetName val="S300V-MBOM"/>
      <sheetName val="WELDING"/>
      <sheetName val="프로젝트_LIST"/>
      <sheetName val="공정불량LIST"/>
      <sheetName val="입고단가기준"/>
      <sheetName val="7__2_2"/>
      <sheetName val="Report_Setup1"/>
      <sheetName val="#1_Basic1"/>
      <sheetName val="OWNER-1_(2)1"/>
      <sheetName val="BS준비.XLS"/>
      <sheetName val="BS%EC%A4%80%EB%B9%84.XLS"/>
      <sheetName val="ITEM-LIST"/>
      <sheetName val="출자한도"/>
      <sheetName val="CD-실적"/>
      <sheetName val="기초데이타"/>
      <sheetName val="품의"/>
      <sheetName val="동해title"/>
      <sheetName val="3210이연법인세"/>
      <sheetName val="0212"/>
      <sheetName val="comm"/>
      <sheetName val="리드"/>
      <sheetName val="기본사항"/>
      <sheetName val="CashFlow(중간집계)"/>
      <sheetName val="현재"/>
      <sheetName val="퇴직금추계(04.9.30)"/>
      <sheetName val="세율등"/>
      <sheetName val="1.경제설계"/>
      <sheetName val="해외생산"/>
      <sheetName val="경수97.02"/>
      <sheetName val="업무분장(현행)"/>
      <sheetName val="현금명세"/>
      <sheetName val="1995년 섹터별 매출"/>
      <sheetName val="현금및현금등가물"/>
      <sheetName val="GA"/>
      <sheetName val="서울(안)"/>
      <sheetName val="Lead"/>
      <sheetName val="Links"/>
      <sheetName val="실적분석"/>
      <sheetName val="SALE&amp;COST"/>
      <sheetName val="44-2Q 주석.xlsx"/>
      <sheetName val="고상실행"/>
      <sheetName val="MCS"/>
      <sheetName val="종합표"/>
      <sheetName val="팀_업체별 월기성실적"/>
      <sheetName val="팀_업체별 시공의뢰"/>
      <sheetName val="Discipline별"/>
      <sheetName val="수정추가"/>
      <sheetName val="호선별"/>
      <sheetName val="업체별_기능별"/>
      <sheetName val="참고용(시공)"/>
      <sheetName val="참고용(실적)"/>
      <sheetName val="월별인력"/>
      <sheetName val="손익계산서(전사)"/>
      <sheetName val="xxxxxx"/>
      <sheetName val="A(1)"/>
      <sheetName val="A (3)"/>
      <sheetName val="2공구산출내역"/>
      <sheetName val="회사제시BS"/>
      <sheetName val="대차대조"/>
      <sheetName val="DL08 DF 모드"/>
      <sheetName val="CRITERIA1"/>
      <sheetName val="CRITERIA2"/>
      <sheetName val="CRITERIA3"/>
      <sheetName val="재료비_매출원가"/>
      <sheetName val="견적구분"/>
      <sheetName val="99금액"/>
      <sheetName val="원지 수급가"/>
      <sheetName val="현금경비중역"/>
      <sheetName val="2.상각보정명세"/>
      <sheetName val="현금흐름Ⅰ"/>
      <sheetName val="Table_K7"/>
      <sheetName val="부재료입고집계"/>
      <sheetName val="YOEMAGUM"/>
      <sheetName val="4b Consolidated PL"/>
      <sheetName val="C200"/>
      <sheetName val="TT List"/>
      <sheetName val="P_M_별4"/>
      <sheetName val="Back_Data_13"/>
      <sheetName val="Facility_Information3"/>
      <sheetName val="1__작성방식2"/>
      <sheetName val="2_주요계수총괄3"/>
      <sheetName val="Project_Brief3"/>
      <sheetName val="Utility_Usage_YTN_TOWER2"/>
      <sheetName val="118_세금과공과3"/>
      <sheetName val="1_본사계정별3"/>
      <sheetName val="단면_(2)3"/>
      <sheetName val="표)CFT장_조직별_배분2"/>
      <sheetName val="20180214_P&amp;T2"/>
      <sheetName val="Ref__중점_추진_과제별_상세2"/>
      <sheetName val="Bank_code2"/>
      <sheetName val="B-1_기본정보2"/>
      <sheetName val="해외_기술훈련비_(합계)3"/>
      <sheetName val="_견적서2"/>
      <sheetName val="1월_예산2"/>
      <sheetName val="Drop-down_RAW2"/>
      <sheetName val="설문_평가2"/>
      <sheetName val="Basic_Information2"/>
      <sheetName val="외주현황_wq12"/>
      <sheetName val="대투_보관자료_변경2"/>
      <sheetName val="#1)_투자_구분2"/>
      <sheetName val="전선_및_전선관2"/>
      <sheetName val="Exchange_rate2"/>
      <sheetName val="실행기성_갑지2"/>
      <sheetName val="Eq__Mobilization1"/>
      <sheetName val="진행_DATA_(2)1"/>
      <sheetName val="Ref__Spec_Review_양식1"/>
      <sheetName val="Ref__시험항목_테이블1"/>
      <sheetName val="Ref__Search_Result_테이블1"/>
      <sheetName val="NG_Item1"/>
      <sheetName val="2013_2월_연결대상2"/>
      <sheetName val="Rev__Recon_11"/>
      <sheetName val="1_고객불만건수1"/>
      <sheetName val="1_변경범위1"/>
      <sheetName val="2-2_투자2"/>
      <sheetName val="Proj__Fin_2"/>
      <sheetName val="ITS_Assumptions1"/>
      <sheetName val="Master_Data1"/>
      <sheetName val="C1_3_11"/>
      <sheetName val="HQ_급여_1"/>
      <sheetName val="OF_급여1"/>
      <sheetName val="F_Ma급여1"/>
      <sheetName val="SMT_급여1"/>
      <sheetName val="QC_급여1"/>
      <sheetName val="Sam_sung_급여1"/>
      <sheetName val="Dlock_급여1"/>
      <sheetName val="_thôi_việc_급여1"/>
      <sheetName val="Công_smt1"/>
      <sheetName val="Công_smt_(2)1"/>
      <sheetName val="Detail_smt1"/>
      <sheetName val="Công_QC1"/>
      <sheetName val="Detail_QC_1"/>
      <sheetName val="Công_SS1"/>
      <sheetName val="Detail_SS1"/>
      <sheetName val="Công_FMa1"/>
      <sheetName val="Detail_FMa1"/>
      <sheetName val="Công_OF1"/>
      <sheetName val="Detail_OF1"/>
      <sheetName val="Công_Dlock1"/>
      <sheetName val="Detail_Dlock1"/>
      <sheetName val="Công_thôi_việc1"/>
      <sheetName val="Detail_thôi1"/>
      <sheetName val="2-1_강사료,교통비_지급명세2"/>
      <sheetName val="KEY_CODE2"/>
      <sheetName val="13_포장용역비표준2"/>
      <sheetName val="9_가공부자재표준2"/>
      <sheetName val="8_ROLL표준(TSW)2"/>
      <sheetName val="4_톤당조관량표준2"/>
      <sheetName val="5_조관부자재표준2"/>
      <sheetName val="F_월별기성수금현황_1"/>
      <sheetName val="준검_내역서1"/>
      <sheetName val="수량산출서_갑지1"/>
      <sheetName val="G_R300경비1"/>
      <sheetName val="AS포장복구_1"/>
      <sheetName val="설_계1"/>
      <sheetName val="조도계산서_(도서)1"/>
      <sheetName val="기초정보_코드1"/>
      <sheetName val="날개수량1_51"/>
      <sheetName val="6월_공嚺㓶가1"/>
      <sheetName val="2_6_三无_(2)1"/>
      <sheetName val="보고서_표1"/>
      <sheetName val="0__가정_및_결론1"/>
      <sheetName val="1__투자비1"/>
      <sheetName val="2__Rent-roll1"/>
      <sheetName val="3__Funding1"/>
      <sheetName val="4__운영수익1"/>
      <sheetName val="5__운영비용1"/>
      <sheetName val="6_1_N+1년차_NOI_산정1"/>
      <sheetName val="6__부동산매각1"/>
      <sheetName val="7__보유세1"/>
      <sheetName val="8__교통유발부담금1"/>
      <sheetName val="9__BS부속1"/>
      <sheetName val="10__CF(M)1"/>
      <sheetName val="11__IS(M)1"/>
      <sheetName val="12__BS(M)1"/>
      <sheetName val="14__IS(FY)1"/>
      <sheetName val="13__CF(FY)1"/>
      <sheetName val="15__BS(FY)1"/>
      <sheetName val="16__RE(FY)1"/>
      <sheetName val="4_1_월별_에너지_사용량1"/>
      <sheetName val="TOWER_12TON1"/>
      <sheetName val="TOWER_10TON1"/>
      <sheetName val="JIB_CRANE,HOIST1"/>
      <sheetName val="Worker_List1"/>
      <sheetName val="GB-IC_Villingen_GG1"/>
      <sheetName val="M&amp;Q_Lead1"/>
      <sheetName val="sum"/>
      <sheetName val="OH_"/>
      <sheetName val="경영비율_"/>
      <sheetName val="Dropbox_목록"/>
      <sheetName val="Menu_Link"/>
      <sheetName val="산출기준(파견전산실)"/>
      <sheetName val="보빈규격"/>
      <sheetName val="공사비지급"/>
      <sheetName val="책임준비금"/>
      <sheetName val="T13(P68~72,78)"/>
      <sheetName val="CIP"/>
      <sheetName val="SAP_Role"/>
      <sheetName val="cctr"/>
      <sheetName val="계정_H100"/>
      <sheetName val="계정_1000"/>
      <sheetName val="계정_7000"/>
      <sheetName val="계정_8000"/>
      <sheetName val="AP_H100"/>
      <sheetName val="AP_1000"/>
      <sheetName val="AP_7000"/>
      <sheetName val="AP_8000"/>
      <sheetName val="품목리스트"/>
      <sheetName val="골조"/>
    </sheetNames>
    <sheetDataSet>
      <sheetData sheetId="0"/>
      <sheetData sheetId="1"/>
      <sheetData sheetId="2"/>
      <sheetData sheetId="3"/>
      <sheetData sheetId="4" refreshError="1"/>
      <sheetData sheetId="5" refreshError="1"/>
      <sheetData sheetId="6" refreshError="1"/>
      <sheetData sheetId="7" refreshError="1"/>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refreshError="1"/>
      <sheetData sheetId="48" refreshError="1"/>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sheetData sheetId="577"/>
      <sheetData sheetId="578"/>
      <sheetData sheetId="579"/>
      <sheetData sheetId="580" refreshError="1"/>
      <sheetData sheetId="581"/>
      <sheetData sheetId="582"/>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refreshError="1"/>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refreshError="1"/>
      <sheetData sheetId="817" refreshError="1"/>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refreshError="1"/>
      <sheetData sheetId="827" refreshError="1"/>
      <sheetData sheetId="828" refreshError="1"/>
      <sheetData sheetId="829" refreshError="1"/>
      <sheetData sheetId="830" refreshError="1"/>
      <sheetData sheetId="831" refreshError="1"/>
      <sheetData sheetId="832" refreshError="1"/>
      <sheetData sheetId="833" refreshError="1"/>
      <sheetData sheetId="834"/>
      <sheetData sheetId="835" refreshError="1"/>
      <sheetData sheetId="836" refreshError="1"/>
      <sheetData sheetId="837" refreshError="1"/>
      <sheetData sheetId="838" refreshError="1"/>
      <sheetData sheetId="839" refreshError="1"/>
      <sheetData sheetId="840"/>
      <sheetData sheetId="841" refreshError="1"/>
      <sheetData sheetId="842" refreshError="1"/>
      <sheetData sheetId="843" refreshError="1"/>
      <sheetData sheetId="844" refreshError="1"/>
      <sheetData sheetId="845" refreshError="1"/>
      <sheetData sheetId="846" refreshError="1"/>
      <sheetData sheetId="847" refreshError="1"/>
      <sheetData sheetId="848" refreshError="1"/>
      <sheetData sheetId="849" refreshError="1"/>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refreshError="1"/>
      <sheetData sheetId="860" refreshError="1"/>
      <sheetData sheetId="861" refreshError="1"/>
      <sheetData sheetId="862" refreshError="1"/>
      <sheetData sheetId="863" refreshError="1"/>
      <sheetData sheetId="864" refreshError="1"/>
      <sheetData sheetId="865" refreshError="1"/>
      <sheetData sheetId="866" refreshError="1"/>
      <sheetData sheetId="867" refreshError="1"/>
      <sheetData sheetId="868" refreshError="1"/>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refreshError="1"/>
      <sheetData sheetId="897" refreshError="1"/>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refreshError="1"/>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refreshError="1"/>
      <sheetData sheetId="966" refreshError="1"/>
      <sheetData sheetId="967" refreshError="1"/>
      <sheetData sheetId="968" refreshError="1"/>
      <sheetData sheetId="969" refreshError="1"/>
      <sheetData sheetId="970" refreshError="1"/>
      <sheetData sheetId="971" refreshError="1"/>
      <sheetData sheetId="972" refreshError="1"/>
      <sheetData sheetId="973" refreshError="1"/>
      <sheetData sheetId="974" refreshError="1"/>
      <sheetData sheetId="975" refreshError="1"/>
      <sheetData sheetId="976" refreshError="1"/>
      <sheetData sheetId="977" refreshError="1"/>
      <sheetData sheetId="978" refreshError="1"/>
      <sheetData sheetId="979" refreshError="1"/>
      <sheetData sheetId="980" refreshError="1"/>
      <sheetData sheetId="981" refreshError="1"/>
      <sheetData sheetId="982" refreshError="1"/>
      <sheetData sheetId="983" refreshError="1"/>
      <sheetData sheetId="984" refreshError="1"/>
      <sheetData sheetId="985" refreshError="1"/>
      <sheetData sheetId="986" refreshError="1"/>
      <sheetData sheetId="987" refreshError="1"/>
      <sheetData sheetId="988" refreshError="1"/>
      <sheetData sheetId="989" refreshError="1"/>
      <sheetData sheetId="990" refreshError="1"/>
      <sheetData sheetId="991" refreshError="1"/>
      <sheetData sheetId="992" refreshError="1"/>
      <sheetData sheetId="993" refreshError="1"/>
      <sheetData sheetId="994" refreshError="1"/>
      <sheetData sheetId="995" refreshError="1"/>
      <sheetData sheetId="996" refreshError="1"/>
      <sheetData sheetId="997" refreshError="1"/>
      <sheetData sheetId="998" refreshError="1"/>
      <sheetData sheetId="999" refreshError="1"/>
      <sheetData sheetId="1000" refreshError="1"/>
      <sheetData sheetId="1001" refreshError="1"/>
      <sheetData sheetId="1002" refreshError="1"/>
      <sheetData sheetId="1003" refreshError="1"/>
      <sheetData sheetId="1004" refreshError="1"/>
      <sheetData sheetId="1005" refreshError="1"/>
      <sheetData sheetId="1006" refreshError="1"/>
      <sheetData sheetId="1007" refreshError="1"/>
      <sheetData sheetId="1008" refreshError="1"/>
      <sheetData sheetId="1009" refreshError="1"/>
      <sheetData sheetId="1010" refreshError="1"/>
      <sheetData sheetId="1011" refreshError="1"/>
      <sheetData sheetId="1012" refreshError="1"/>
      <sheetData sheetId="1013" refreshError="1"/>
      <sheetData sheetId="1014" refreshError="1"/>
      <sheetData sheetId="1015" refreshError="1"/>
      <sheetData sheetId="1016" refreshError="1"/>
      <sheetData sheetId="1017" refreshError="1"/>
      <sheetData sheetId="1018" refreshError="1"/>
      <sheetData sheetId="1019" refreshError="1"/>
      <sheetData sheetId="1020" refreshError="1"/>
      <sheetData sheetId="1021" refreshError="1"/>
      <sheetData sheetId="1022" refreshError="1"/>
      <sheetData sheetId="1023" refreshError="1"/>
      <sheetData sheetId="1024" refreshError="1"/>
      <sheetData sheetId="1025" refreshError="1"/>
      <sheetData sheetId="1026" refreshError="1"/>
      <sheetData sheetId="1027" refreshError="1"/>
      <sheetData sheetId="1028" refreshError="1"/>
      <sheetData sheetId="1029" refreshError="1"/>
      <sheetData sheetId="1030" refreshError="1"/>
      <sheetData sheetId="1031" refreshError="1"/>
      <sheetData sheetId="1032" refreshError="1"/>
      <sheetData sheetId="1033" refreshError="1"/>
      <sheetData sheetId="1034" refreshError="1"/>
      <sheetData sheetId="1035" refreshError="1"/>
      <sheetData sheetId="1036" refreshError="1"/>
      <sheetData sheetId="1037" refreshError="1"/>
      <sheetData sheetId="1038" refreshError="1"/>
      <sheetData sheetId="1039" refreshError="1"/>
      <sheetData sheetId="1040" refreshError="1"/>
      <sheetData sheetId="1041" refreshError="1"/>
      <sheetData sheetId="1042" refreshError="1"/>
      <sheetData sheetId="1043" refreshError="1"/>
      <sheetData sheetId="1044" refreshError="1"/>
      <sheetData sheetId="1045" refreshError="1"/>
      <sheetData sheetId="1046" refreshError="1"/>
      <sheetData sheetId="1047" refreshError="1"/>
      <sheetData sheetId="1048" refreshError="1"/>
      <sheetData sheetId="1049" refreshError="1"/>
      <sheetData sheetId="1050" refreshError="1"/>
      <sheetData sheetId="1051" refreshError="1"/>
      <sheetData sheetId="1052" refreshError="1"/>
      <sheetData sheetId="1053" refreshError="1"/>
      <sheetData sheetId="1054" refreshError="1"/>
      <sheetData sheetId="1055" refreshError="1"/>
      <sheetData sheetId="1056" refreshError="1"/>
      <sheetData sheetId="1057" refreshError="1"/>
      <sheetData sheetId="1058" refreshError="1"/>
      <sheetData sheetId="1059" refreshError="1"/>
      <sheetData sheetId="1060" refreshError="1"/>
      <sheetData sheetId="1061" refreshError="1"/>
      <sheetData sheetId="1062" refreshError="1"/>
      <sheetData sheetId="1063" refreshError="1"/>
      <sheetData sheetId="1064" refreshError="1"/>
      <sheetData sheetId="1065" refreshError="1"/>
      <sheetData sheetId="1066" refreshError="1"/>
      <sheetData sheetId="1067" refreshError="1"/>
      <sheetData sheetId="1068" refreshError="1"/>
      <sheetData sheetId="1069" refreshError="1"/>
      <sheetData sheetId="1070" refreshError="1"/>
      <sheetData sheetId="1071" refreshError="1"/>
      <sheetData sheetId="1072" refreshError="1"/>
      <sheetData sheetId="1073" refreshError="1"/>
      <sheetData sheetId="1074" refreshError="1"/>
      <sheetData sheetId="1075" refreshError="1"/>
      <sheetData sheetId="1076" refreshError="1"/>
      <sheetData sheetId="1077" refreshError="1"/>
      <sheetData sheetId="1078" refreshError="1"/>
      <sheetData sheetId="1079" refreshError="1"/>
      <sheetData sheetId="1080" refreshError="1"/>
      <sheetData sheetId="1081" refreshError="1"/>
      <sheetData sheetId="1082" refreshError="1"/>
      <sheetData sheetId="1083"/>
      <sheetData sheetId="1084"/>
      <sheetData sheetId="1085" refreshError="1"/>
      <sheetData sheetId="1086" refreshError="1"/>
      <sheetData sheetId="1087" refreshError="1"/>
      <sheetData sheetId="1088" refreshError="1"/>
      <sheetData sheetId="1089" refreshError="1"/>
      <sheetData sheetId="1090" refreshError="1"/>
      <sheetData sheetId="1091"/>
      <sheetData sheetId="1092" refreshError="1"/>
      <sheetData sheetId="1093"/>
      <sheetData sheetId="1094"/>
      <sheetData sheetId="1095" refreshError="1"/>
      <sheetData sheetId="1096" refreshError="1"/>
      <sheetData sheetId="1097" refreshError="1"/>
      <sheetData sheetId="1098" refreshError="1"/>
      <sheetData sheetId="1099" refreshError="1"/>
      <sheetData sheetId="1100" refreshError="1"/>
      <sheetData sheetId="1101" refreshError="1"/>
      <sheetData sheetId="1102" refreshError="1"/>
      <sheetData sheetId="1103" refreshError="1"/>
      <sheetData sheetId="1104" refreshError="1"/>
      <sheetData sheetId="1105" refreshError="1"/>
      <sheetData sheetId="1106" refreshError="1"/>
      <sheetData sheetId="1107" refreshError="1"/>
      <sheetData sheetId="1108" refreshError="1"/>
      <sheetData sheetId="1109" refreshError="1"/>
      <sheetData sheetId="1110" refreshError="1"/>
      <sheetData sheetId="1111" refreshError="1"/>
      <sheetData sheetId="1112" refreshError="1"/>
      <sheetData sheetId="1113" refreshError="1"/>
      <sheetData sheetId="1114" refreshError="1"/>
      <sheetData sheetId="1115" refreshError="1"/>
      <sheetData sheetId="1116"/>
      <sheetData sheetId="1117"/>
      <sheetData sheetId="1118"/>
      <sheetData sheetId="1119"/>
      <sheetData sheetId="1120"/>
      <sheetData sheetId="1121"/>
      <sheetData sheetId="1122"/>
      <sheetData sheetId="1123"/>
      <sheetData sheetId="1124"/>
      <sheetData sheetId="1125"/>
      <sheetData sheetId="1126"/>
      <sheetData sheetId="1127"/>
      <sheetData sheetId="1128"/>
      <sheetData sheetId="1129"/>
      <sheetData sheetId="1130"/>
      <sheetData sheetId="1131"/>
      <sheetData sheetId="1132"/>
      <sheetData sheetId="1133"/>
      <sheetData sheetId="1134"/>
      <sheetData sheetId="1135"/>
      <sheetData sheetId="1136"/>
      <sheetData sheetId="1137"/>
      <sheetData sheetId="1138"/>
      <sheetData sheetId="1139"/>
      <sheetData sheetId="1140"/>
      <sheetData sheetId="1141"/>
      <sheetData sheetId="1142"/>
      <sheetData sheetId="1143"/>
      <sheetData sheetId="1144"/>
      <sheetData sheetId="1145"/>
      <sheetData sheetId="1146"/>
      <sheetData sheetId="1147"/>
      <sheetData sheetId="1148"/>
      <sheetData sheetId="1149"/>
      <sheetData sheetId="1150"/>
      <sheetData sheetId="1151"/>
      <sheetData sheetId="1152"/>
      <sheetData sheetId="1153"/>
      <sheetData sheetId="1154" refreshError="1"/>
      <sheetData sheetId="1155" refreshError="1"/>
      <sheetData sheetId="1156" refreshError="1"/>
      <sheetData sheetId="1157" refreshError="1"/>
      <sheetData sheetId="1158" refreshError="1"/>
      <sheetData sheetId="1159" refreshError="1"/>
      <sheetData sheetId="1160" refreshError="1"/>
      <sheetData sheetId="1161" refreshError="1"/>
      <sheetData sheetId="1162" refreshError="1"/>
      <sheetData sheetId="1163" refreshError="1"/>
      <sheetData sheetId="1164" refreshError="1"/>
      <sheetData sheetId="1165" refreshError="1"/>
      <sheetData sheetId="1166" refreshError="1"/>
      <sheetData sheetId="1167" refreshError="1"/>
      <sheetData sheetId="1168" refreshError="1"/>
      <sheetData sheetId="1169" refreshError="1"/>
      <sheetData sheetId="1170" refreshError="1"/>
      <sheetData sheetId="1171" refreshError="1"/>
      <sheetData sheetId="1172" refreshError="1"/>
      <sheetData sheetId="1173" refreshError="1"/>
      <sheetData sheetId="1174" refreshError="1"/>
      <sheetData sheetId="1175" refreshError="1"/>
      <sheetData sheetId="1176" refreshError="1"/>
      <sheetData sheetId="1177" refreshError="1"/>
      <sheetData sheetId="1178" refreshError="1"/>
      <sheetData sheetId="1179" refreshError="1"/>
      <sheetData sheetId="1180" refreshError="1"/>
      <sheetData sheetId="1181" refreshError="1"/>
      <sheetData sheetId="1182" refreshError="1"/>
      <sheetData sheetId="1183" refreshError="1"/>
      <sheetData sheetId="1184" refreshError="1"/>
      <sheetData sheetId="1185" refreshError="1"/>
      <sheetData sheetId="1186" refreshError="1"/>
      <sheetData sheetId="1187" refreshError="1"/>
      <sheetData sheetId="1188" refreshError="1"/>
      <sheetData sheetId="1189" refreshError="1"/>
      <sheetData sheetId="1190" refreshError="1"/>
      <sheetData sheetId="1191" refreshError="1"/>
      <sheetData sheetId="1192" refreshError="1"/>
      <sheetData sheetId="1193" refreshError="1"/>
      <sheetData sheetId="1194" refreshError="1"/>
      <sheetData sheetId="1195" refreshError="1"/>
      <sheetData sheetId="1196" refreshError="1"/>
      <sheetData sheetId="1197" refreshError="1"/>
      <sheetData sheetId="1198" refreshError="1"/>
      <sheetData sheetId="1199" refreshError="1"/>
      <sheetData sheetId="1200" refreshError="1"/>
      <sheetData sheetId="1201" refreshError="1"/>
      <sheetData sheetId="1202" refreshError="1"/>
      <sheetData sheetId="1203" refreshError="1"/>
      <sheetData sheetId="1204" refreshError="1"/>
      <sheetData sheetId="1205" refreshError="1"/>
      <sheetData sheetId="1206" refreshError="1"/>
      <sheetData sheetId="1207" refreshError="1"/>
      <sheetData sheetId="1208" refreshError="1"/>
      <sheetData sheetId="1209" refreshError="1"/>
      <sheetData sheetId="1210" refreshError="1"/>
      <sheetData sheetId="1211" refreshError="1"/>
      <sheetData sheetId="1212" refreshError="1"/>
      <sheetData sheetId="1213" refreshError="1"/>
      <sheetData sheetId="1214" refreshError="1"/>
      <sheetData sheetId="1215" refreshError="1"/>
      <sheetData sheetId="1216" refreshError="1"/>
      <sheetData sheetId="1217" refreshError="1"/>
      <sheetData sheetId="1218" refreshError="1"/>
      <sheetData sheetId="1219" refreshError="1"/>
      <sheetData sheetId="1220" refreshError="1"/>
      <sheetData sheetId="1221" refreshError="1"/>
      <sheetData sheetId="1222" refreshError="1"/>
      <sheetData sheetId="1223" refreshError="1"/>
      <sheetData sheetId="1224"/>
      <sheetData sheetId="1225"/>
      <sheetData sheetId="1226"/>
      <sheetData sheetId="1227"/>
      <sheetData sheetId="1228" refreshError="1"/>
      <sheetData sheetId="1229" refreshError="1"/>
      <sheetData sheetId="1230" refreshError="1"/>
      <sheetData sheetId="1231" refreshError="1"/>
      <sheetData sheetId="1232" refreshError="1"/>
      <sheetData sheetId="1233" refreshError="1"/>
      <sheetData sheetId="1234" refreshError="1"/>
      <sheetData sheetId="1235" refreshError="1"/>
      <sheetData sheetId="1236" refreshError="1"/>
      <sheetData sheetId="1237" refreshError="1"/>
      <sheetData sheetId="1238" refreshError="1"/>
      <sheetData sheetId="1239" refreshError="1"/>
      <sheetData sheetId="1240" refreshError="1"/>
      <sheetData sheetId="1241" refreshError="1"/>
      <sheetData sheetId="1242" refreshError="1"/>
      <sheetData sheetId="1243" refreshError="1"/>
      <sheetData sheetId="1244" refreshError="1"/>
      <sheetData sheetId="1245" refreshError="1"/>
      <sheetData sheetId="1246" refreshError="1"/>
      <sheetData sheetId="1247" refreshError="1"/>
      <sheetData sheetId="1248" refreshError="1"/>
      <sheetData sheetId="1249" refreshError="1"/>
      <sheetData sheetId="1250" refreshError="1"/>
      <sheetData sheetId="1251" refreshError="1"/>
      <sheetData sheetId="1252" refreshError="1"/>
      <sheetData sheetId="1253" refreshError="1"/>
      <sheetData sheetId="1254" refreshError="1"/>
      <sheetData sheetId="1255" refreshError="1"/>
      <sheetData sheetId="1256" refreshError="1"/>
      <sheetData sheetId="1257" refreshError="1"/>
      <sheetData sheetId="1258" refreshError="1"/>
      <sheetData sheetId="1259" refreshError="1"/>
      <sheetData sheetId="1260" refreshError="1"/>
      <sheetData sheetId="1261" refreshError="1"/>
      <sheetData sheetId="1262" refreshError="1"/>
      <sheetData sheetId="1263" refreshError="1"/>
      <sheetData sheetId="1264" refreshError="1"/>
      <sheetData sheetId="1265" refreshError="1"/>
      <sheetData sheetId="1266" refreshError="1"/>
      <sheetData sheetId="1267" refreshError="1"/>
      <sheetData sheetId="1268" refreshError="1"/>
      <sheetData sheetId="1269" refreshError="1"/>
      <sheetData sheetId="1270" refreshError="1"/>
      <sheetData sheetId="1271" refreshError="1"/>
      <sheetData sheetId="1272" refreshError="1"/>
      <sheetData sheetId="1273" refreshError="1"/>
      <sheetData sheetId="1274" refreshError="1"/>
      <sheetData sheetId="1275" refreshError="1"/>
      <sheetData sheetId="1276" refreshError="1"/>
      <sheetData sheetId="1277" refreshError="1"/>
      <sheetData sheetId="1278" refreshError="1"/>
      <sheetData sheetId="1279" refreshError="1"/>
      <sheetData sheetId="1280" refreshError="1"/>
      <sheetData sheetId="1281" refreshError="1"/>
      <sheetData sheetId="1282" refreshError="1"/>
      <sheetData sheetId="1283" refreshError="1"/>
      <sheetData sheetId="1284" refreshError="1"/>
      <sheetData sheetId="1285" refreshError="1"/>
      <sheetData sheetId="1286" refreshError="1"/>
      <sheetData sheetId="1287" refreshError="1"/>
      <sheetData sheetId="1288" refreshError="1"/>
      <sheetData sheetId="1289" refreshError="1"/>
      <sheetData sheetId="1290" refreshError="1"/>
      <sheetData sheetId="1291" refreshError="1"/>
      <sheetData sheetId="1292" refreshError="1"/>
      <sheetData sheetId="1293" refreshError="1"/>
      <sheetData sheetId="1294" refreshError="1"/>
      <sheetData sheetId="1295" refreshError="1"/>
      <sheetData sheetId="1296" refreshError="1"/>
      <sheetData sheetId="1297" refreshError="1"/>
      <sheetData sheetId="1298" refreshError="1"/>
      <sheetData sheetId="1299" refreshError="1"/>
      <sheetData sheetId="1300" refreshError="1"/>
      <sheetData sheetId="1301" refreshError="1"/>
      <sheetData sheetId="1302" refreshError="1"/>
      <sheetData sheetId="1303" refreshError="1"/>
      <sheetData sheetId="1304" refreshError="1"/>
      <sheetData sheetId="1305" refreshError="1"/>
      <sheetData sheetId="1306" refreshError="1"/>
      <sheetData sheetId="1307" refreshError="1"/>
      <sheetData sheetId="1308" refreshError="1"/>
      <sheetData sheetId="1309" refreshError="1"/>
      <sheetData sheetId="1310" refreshError="1"/>
      <sheetData sheetId="1311" refreshError="1"/>
      <sheetData sheetId="1312" refreshError="1"/>
      <sheetData sheetId="1313" refreshError="1"/>
      <sheetData sheetId="1314" refreshError="1"/>
      <sheetData sheetId="1315" refreshError="1"/>
      <sheetData sheetId="1316" refreshError="1"/>
      <sheetData sheetId="1317" refreshError="1"/>
      <sheetData sheetId="1318" refreshError="1"/>
      <sheetData sheetId="1319" refreshError="1"/>
      <sheetData sheetId="1320" refreshError="1"/>
      <sheetData sheetId="1321" refreshError="1"/>
      <sheetData sheetId="1322" refreshError="1"/>
      <sheetData sheetId="1323" refreshError="1"/>
      <sheetData sheetId="1324" refreshError="1"/>
      <sheetData sheetId="1325" refreshError="1"/>
      <sheetData sheetId="1326" refreshError="1"/>
      <sheetData sheetId="1327" refreshError="1"/>
      <sheetData sheetId="1328" refreshError="1"/>
      <sheetData sheetId="1329" refreshError="1"/>
      <sheetData sheetId="1330" refreshError="1"/>
      <sheetData sheetId="1331" refreshError="1"/>
      <sheetData sheetId="1332" refreshError="1"/>
      <sheetData sheetId="1333" refreshError="1"/>
      <sheetData sheetId="1334" refreshError="1"/>
      <sheetData sheetId="1335" refreshError="1"/>
      <sheetData sheetId="1336" refreshError="1"/>
      <sheetData sheetId="1337" refreshError="1"/>
      <sheetData sheetId="1338" refreshError="1"/>
      <sheetData sheetId="1339" refreshError="1"/>
      <sheetData sheetId="1340" refreshError="1"/>
      <sheetData sheetId="1341" refreshError="1"/>
      <sheetData sheetId="1342" refreshError="1"/>
      <sheetData sheetId="1343" refreshError="1"/>
      <sheetData sheetId="1344" refreshError="1"/>
      <sheetData sheetId="1345" refreshError="1"/>
      <sheetData sheetId="1346" refreshError="1"/>
      <sheetData sheetId="1347" refreshError="1"/>
      <sheetData sheetId="1348" refreshError="1"/>
      <sheetData sheetId="1349" refreshError="1"/>
      <sheetData sheetId="1350" refreshError="1"/>
      <sheetData sheetId="1351" refreshError="1"/>
      <sheetData sheetId="1352" refreshError="1"/>
      <sheetData sheetId="1353" refreshError="1"/>
      <sheetData sheetId="1354" refreshError="1"/>
      <sheetData sheetId="1355" refreshError="1"/>
      <sheetData sheetId="1356" refreshError="1"/>
      <sheetData sheetId="1357" refreshError="1"/>
      <sheetData sheetId="1358" refreshError="1"/>
      <sheetData sheetId="1359" refreshError="1"/>
      <sheetData sheetId="1360" refreshError="1"/>
      <sheetData sheetId="1361" refreshError="1"/>
      <sheetData sheetId="1362" refreshError="1"/>
      <sheetData sheetId="1363" refreshError="1"/>
      <sheetData sheetId="1364" refreshError="1"/>
      <sheetData sheetId="1365" refreshError="1"/>
      <sheetData sheetId="1366" refreshError="1"/>
      <sheetData sheetId="1367" refreshError="1"/>
      <sheetData sheetId="1368" refreshError="1"/>
      <sheetData sheetId="1369" refreshError="1"/>
      <sheetData sheetId="1370" refreshError="1"/>
      <sheetData sheetId="1371" refreshError="1"/>
      <sheetData sheetId="1372" refreshError="1"/>
      <sheetData sheetId="1373" refreshError="1"/>
      <sheetData sheetId="1374" refreshError="1"/>
      <sheetData sheetId="1375" refreshError="1"/>
      <sheetData sheetId="1376" refreshError="1"/>
      <sheetData sheetId="1377" refreshError="1"/>
      <sheetData sheetId="1378" refreshError="1"/>
      <sheetData sheetId="1379" refreshError="1"/>
      <sheetData sheetId="1380" refreshError="1"/>
      <sheetData sheetId="1381" refreshError="1"/>
      <sheetData sheetId="1382" refreshError="1"/>
      <sheetData sheetId="1383" refreshError="1"/>
      <sheetData sheetId="1384" refreshError="1"/>
      <sheetData sheetId="1385" refreshError="1"/>
      <sheetData sheetId="1386" refreshError="1"/>
      <sheetData sheetId="1387" refreshError="1"/>
      <sheetData sheetId="1388" refreshError="1"/>
      <sheetData sheetId="1389" refreshError="1"/>
      <sheetData sheetId="1390" refreshError="1"/>
      <sheetData sheetId="1391" refreshError="1"/>
      <sheetData sheetId="1392" refreshError="1"/>
      <sheetData sheetId="1393" refreshError="1"/>
      <sheetData sheetId="1394" refreshError="1"/>
      <sheetData sheetId="1395" refreshError="1"/>
      <sheetData sheetId="1396" refreshError="1"/>
      <sheetData sheetId="1397" refreshError="1"/>
      <sheetData sheetId="1398" refreshError="1"/>
      <sheetData sheetId="1399" refreshError="1"/>
      <sheetData sheetId="1400" refreshError="1"/>
      <sheetData sheetId="1401" refreshError="1"/>
      <sheetData sheetId="1402" refreshError="1"/>
      <sheetData sheetId="1403" refreshError="1"/>
      <sheetData sheetId="1404" refreshError="1"/>
      <sheetData sheetId="1405" refreshError="1"/>
      <sheetData sheetId="1406" refreshError="1"/>
      <sheetData sheetId="1407" refreshError="1"/>
      <sheetData sheetId="1408" refreshError="1"/>
      <sheetData sheetId="1409" refreshError="1"/>
      <sheetData sheetId="1410" refreshError="1"/>
      <sheetData sheetId="1411" refreshError="1"/>
      <sheetData sheetId="1412" refreshError="1"/>
      <sheetData sheetId="1413" refreshError="1"/>
      <sheetData sheetId="1414" refreshError="1"/>
      <sheetData sheetId="1415" refreshError="1"/>
      <sheetData sheetId="1416" refreshError="1"/>
      <sheetData sheetId="1417" refreshError="1"/>
      <sheetData sheetId="1418" refreshError="1"/>
      <sheetData sheetId="1419" refreshError="1"/>
      <sheetData sheetId="1420" refreshError="1"/>
      <sheetData sheetId="1421" refreshError="1"/>
      <sheetData sheetId="1422" refreshError="1"/>
      <sheetData sheetId="1423" refreshError="1"/>
      <sheetData sheetId="1424"/>
      <sheetData sheetId="1425"/>
      <sheetData sheetId="1426"/>
      <sheetData sheetId="1427"/>
      <sheetData sheetId="1428" refreshError="1"/>
      <sheetData sheetId="1429" refreshError="1"/>
      <sheetData sheetId="1430" refreshError="1"/>
      <sheetData sheetId="1431" refreshError="1"/>
      <sheetData sheetId="1432" refreshError="1"/>
      <sheetData sheetId="1433" refreshError="1"/>
      <sheetData sheetId="1434" refreshError="1"/>
      <sheetData sheetId="1435"/>
      <sheetData sheetId="1436" refreshError="1"/>
      <sheetData sheetId="1437"/>
      <sheetData sheetId="1438" refreshError="1"/>
      <sheetData sheetId="1439"/>
      <sheetData sheetId="1440"/>
      <sheetData sheetId="1441"/>
      <sheetData sheetId="1442"/>
      <sheetData sheetId="1443"/>
      <sheetData sheetId="1444"/>
      <sheetData sheetId="1445"/>
      <sheetData sheetId="1446"/>
      <sheetData sheetId="1447"/>
      <sheetData sheetId="1448"/>
      <sheetData sheetId="1449"/>
      <sheetData sheetId="1450"/>
      <sheetData sheetId="1451"/>
      <sheetData sheetId="1452"/>
      <sheetData sheetId="1453" refreshError="1"/>
      <sheetData sheetId="1454" refreshError="1"/>
      <sheetData sheetId="1455" refreshError="1"/>
      <sheetData sheetId="1456" refreshError="1"/>
      <sheetData sheetId="1457" refreshError="1"/>
      <sheetData sheetId="1458" refreshError="1"/>
      <sheetData sheetId="1459" refreshError="1"/>
      <sheetData sheetId="1460" refreshError="1"/>
      <sheetData sheetId="1461" refreshError="1"/>
      <sheetData sheetId="1462" refreshError="1"/>
      <sheetData sheetId="1463" refreshError="1"/>
      <sheetData sheetId="1464" refreshError="1"/>
      <sheetData sheetId="1465" refreshError="1"/>
      <sheetData sheetId="1466" refreshError="1"/>
      <sheetData sheetId="1467" refreshError="1"/>
      <sheetData sheetId="1468" refreshError="1"/>
      <sheetData sheetId="1469" refreshError="1"/>
      <sheetData sheetId="1470" refreshError="1"/>
      <sheetData sheetId="1471" refreshError="1"/>
      <sheetData sheetId="1472" refreshError="1"/>
      <sheetData sheetId="1473" refreshError="1"/>
      <sheetData sheetId="1474" refreshError="1"/>
      <sheetData sheetId="1475" refreshError="1"/>
      <sheetData sheetId="1476" refreshError="1"/>
      <sheetData sheetId="1477" refreshError="1"/>
      <sheetData sheetId="1478" refreshError="1"/>
      <sheetData sheetId="1479" refreshError="1"/>
      <sheetData sheetId="1480" refreshError="1"/>
      <sheetData sheetId="1481" refreshError="1"/>
      <sheetData sheetId="1482" refreshError="1"/>
      <sheetData sheetId="1483" refreshError="1"/>
      <sheetData sheetId="1484" refreshError="1"/>
      <sheetData sheetId="1485" refreshError="1"/>
      <sheetData sheetId="1486" refreshError="1"/>
      <sheetData sheetId="1487" refreshError="1"/>
      <sheetData sheetId="1488" refreshError="1"/>
      <sheetData sheetId="1489" refreshError="1"/>
      <sheetData sheetId="1490" refreshError="1"/>
      <sheetData sheetId="1491" refreshError="1"/>
      <sheetData sheetId="1492" refreshError="1"/>
      <sheetData sheetId="1493" refreshError="1"/>
      <sheetData sheetId="1494" refreshError="1"/>
      <sheetData sheetId="1495" refreshError="1"/>
      <sheetData sheetId="1496" refreshError="1"/>
      <sheetData sheetId="1497" refreshError="1"/>
      <sheetData sheetId="1498" refreshError="1"/>
      <sheetData sheetId="1499" refreshError="1"/>
      <sheetData sheetId="1500" refreshError="1"/>
      <sheetData sheetId="1501" refreshError="1"/>
      <sheetData sheetId="1502" refreshError="1"/>
      <sheetData sheetId="1503" refreshError="1"/>
      <sheetData sheetId="1504" refreshError="1"/>
      <sheetData sheetId="1505" refreshError="1"/>
      <sheetData sheetId="1506" refreshError="1"/>
      <sheetData sheetId="1507" refreshError="1"/>
      <sheetData sheetId="1508" refreshError="1"/>
      <sheetData sheetId="1509" refreshError="1"/>
      <sheetData sheetId="1510" refreshError="1"/>
      <sheetData sheetId="1511" refreshError="1"/>
      <sheetData sheetId="1512" refreshError="1"/>
      <sheetData sheetId="1513" refreshError="1"/>
      <sheetData sheetId="1514" refreshError="1"/>
      <sheetData sheetId="1515" refreshError="1"/>
      <sheetData sheetId="1516" refreshError="1"/>
      <sheetData sheetId="1517" refreshError="1"/>
      <sheetData sheetId="1518" refreshError="1"/>
      <sheetData sheetId="1519" refreshError="1"/>
      <sheetData sheetId="1520" refreshError="1"/>
      <sheetData sheetId="1521" refreshError="1"/>
      <sheetData sheetId="1522" refreshError="1"/>
      <sheetData sheetId="1523" refreshError="1"/>
      <sheetData sheetId="1524" refreshError="1"/>
      <sheetData sheetId="1525" refreshError="1"/>
      <sheetData sheetId="1526" refreshError="1"/>
      <sheetData sheetId="1527" refreshError="1"/>
      <sheetData sheetId="1528" refreshError="1"/>
      <sheetData sheetId="1529" refreshError="1"/>
      <sheetData sheetId="1530" refreshError="1"/>
      <sheetData sheetId="1531" refreshError="1"/>
      <sheetData sheetId="1532" refreshError="1"/>
      <sheetData sheetId="1533" refreshError="1"/>
      <sheetData sheetId="1534" refreshError="1"/>
      <sheetData sheetId="1535" refreshError="1"/>
      <sheetData sheetId="1536" refreshError="1"/>
      <sheetData sheetId="1537" refreshError="1"/>
      <sheetData sheetId="1538" refreshError="1"/>
      <sheetData sheetId="1539" refreshError="1"/>
      <sheetData sheetId="1540" refreshError="1"/>
      <sheetData sheetId="1541" refreshError="1"/>
      <sheetData sheetId="1542" refreshError="1"/>
      <sheetData sheetId="1543" refreshError="1"/>
      <sheetData sheetId="1544" refreshError="1"/>
      <sheetData sheetId="1545" refreshError="1"/>
      <sheetData sheetId="1546" refreshError="1"/>
      <sheetData sheetId="1547" refreshError="1"/>
      <sheetData sheetId="1548" refreshError="1"/>
      <sheetData sheetId="1549" refreshError="1"/>
      <sheetData sheetId="1550" refreshError="1"/>
      <sheetData sheetId="1551" refreshError="1"/>
      <sheetData sheetId="1552" refreshError="1"/>
      <sheetData sheetId="1553" refreshError="1"/>
      <sheetData sheetId="1554" refreshError="1"/>
      <sheetData sheetId="1555" refreshError="1"/>
      <sheetData sheetId="1556" refreshError="1"/>
      <sheetData sheetId="1557" refreshError="1"/>
      <sheetData sheetId="1558" refreshError="1"/>
      <sheetData sheetId="1559" refreshError="1"/>
      <sheetData sheetId="1560" refreshError="1"/>
      <sheetData sheetId="1561" refreshError="1"/>
      <sheetData sheetId="1562" refreshError="1"/>
      <sheetData sheetId="1563" refreshError="1"/>
      <sheetData sheetId="1564" refreshError="1"/>
      <sheetData sheetId="1565" refreshError="1"/>
      <sheetData sheetId="1566" refreshError="1"/>
      <sheetData sheetId="1567" refreshError="1"/>
      <sheetData sheetId="1568" refreshError="1"/>
      <sheetData sheetId="1569" refreshError="1"/>
      <sheetData sheetId="1570" refreshError="1"/>
      <sheetData sheetId="1571" refreshError="1"/>
      <sheetData sheetId="1572" refreshError="1"/>
      <sheetData sheetId="1573" refreshError="1"/>
      <sheetData sheetId="1574" refreshError="1"/>
      <sheetData sheetId="1575" refreshError="1"/>
      <sheetData sheetId="1576" refreshError="1"/>
      <sheetData sheetId="1577" refreshError="1"/>
      <sheetData sheetId="1578" refreshError="1"/>
      <sheetData sheetId="1579" refreshError="1"/>
      <sheetData sheetId="1580" refreshError="1"/>
      <sheetData sheetId="1581" refreshError="1"/>
      <sheetData sheetId="1582" refreshError="1"/>
      <sheetData sheetId="1583" refreshError="1"/>
      <sheetData sheetId="1584" refreshError="1"/>
      <sheetData sheetId="1585" refreshError="1"/>
      <sheetData sheetId="1586" refreshError="1"/>
      <sheetData sheetId="1587" refreshError="1"/>
      <sheetData sheetId="1588" refreshError="1"/>
      <sheetData sheetId="1589" refreshError="1"/>
      <sheetData sheetId="1590" refreshError="1"/>
      <sheetData sheetId="1591" refreshError="1"/>
      <sheetData sheetId="1592" refreshError="1"/>
      <sheetData sheetId="1593" refreshError="1"/>
      <sheetData sheetId="1594" refreshError="1"/>
      <sheetData sheetId="1595" refreshError="1"/>
      <sheetData sheetId="1596" refreshError="1"/>
      <sheetData sheetId="1597" refreshError="1"/>
      <sheetData sheetId="1598" refreshError="1"/>
      <sheetData sheetId="1599" refreshError="1"/>
      <sheetData sheetId="1600" refreshError="1"/>
      <sheetData sheetId="1601" refreshError="1"/>
      <sheetData sheetId="1602" refreshError="1"/>
      <sheetData sheetId="1603" refreshError="1"/>
      <sheetData sheetId="1604" refreshError="1"/>
      <sheetData sheetId="1605" refreshError="1"/>
      <sheetData sheetId="1606" refreshError="1"/>
      <sheetData sheetId="1607" refreshError="1"/>
      <sheetData sheetId="1608" refreshError="1"/>
      <sheetData sheetId="1609" refreshError="1"/>
      <sheetData sheetId="1610" refreshError="1"/>
      <sheetData sheetId="1611" refreshError="1"/>
      <sheetData sheetId="1612" refreshError="1"/>
      <sheetData sheetId="1613" refreshError="1"/>
      <sheetData sheetId="1614" refreshError="1"/>
      <sheetData sheetId="1615" refreshError="1"/>
      <sheetData sheetId="1616" refreshError="1"/>
      <sheetData sheetId="1617" refreshError="1"/>
      <sheetData sheetId="1618" refreshError="1"/>
      <sheetData sheetId="1619" refreshError="1"/>
      <sheetData sheetId="1620" refreshError="1"/>
      <sheetData sheetId="1621" refreshError="1"/>
      <sheetData sheetId="1622" refreshError="1"/>
      <sheetData sheetId="1623" refreshError="1"/>
      <sheetData sheetId="1624" refreshError="1"/>
      <sheetData sheetId="1625" refreshError="1"/>
      <sheetData sheetId="1626" refreshError="1"/>
      <sheetData sheetId="1627" refreshError="1"/>
      <sheetData sheetId="1628" refreshError="1"/>
      <sheetData sheetId="1629" refreshError="1"/>
      <sheetData sheetId="1630" refreshError="1"/>
      <sheetData sheetId="1631" refreshError="1"/>
      <sheetData sheetId="1632" refreshError="1"/>
      <sheetData sheetId="1633" refreshError="1"/>
      <sheetData sheetId="1634" refreshError="1"/>
      <sheetData sheetId="1635" refreshError="1"/>
      <sheetData sheetId="1636" refreshError="1"/>
      <sheetData sheetId="1637" refreshError="1"/>
      <sheetData sheetId="1638" refreshError="1"/>
      <sheetData sheetId="1639" refreshError="1"/>
      <sheetData sheetId="1640" refreshError="1"/>
      <sheetData sheetId="1641" refreshError="1"/>
      <sheetData sheetId="1642" refreshError="1"/>
      <sheetData sheetId="1643" refreshError="1"/>
      <sheetData sheetId="1644" refreshError="1"/>
      <sheetData sheetId="1645" refreshError="1"/>
      <sheetData sheetId="1646"/>
      <sheetData sheetId="1647"/>
      <sheetData sheetId="1648"/>
      <sheetData sheetId="1649"/>
      <sheetData sheetId="1650"/>
      <sheetData sheetId="1651"/>
      <sheetData sheetId="1652"/>
      <sheetData sheetId="1653"/>
      <sheetData sheetId="1654"/>
      <sheetData sheetId="1655"/>
      <sheetData sheetId="1656"/>
      <sheetData sheetId="1657"/>
      <sheetData sheetId="1658"/>
      <sheetData sheetId="1659"/>
      <sheetData sheetId="1660"/>
      <sheetData sheetId="1661"/>
      <sheetData sheetId="1662"/>
      <sheetData sheetId="1663"/>
      <sheetData sheetId="1664"/>
      <sheetData sheetId="1665"/>
      <sheetData sheetId="1666"/>
      <sheetData sheetId="1667"/>
      <sheetData sheetId="1668"/>
      <sheetData sheetId="1669"/>
      <sheetData sheetId="1670"/>
      <sheetData sheetId="1671"/>
      <sheetData sheetId="1672"/>
      <sheetData sheetId="1673"/>
      <sheetData sheetId="1674"/>
      <sheetData sheetId="1675"/>
      <sheetData sheetId="1676"/>
      <sheetData sheetId="1677"/>
      <sheetData sheetId="1678"/>
      <sheetData sheetId="1679"/>
      <sheetData sheetId="1680"/>
      <sheetData sheetId="1681"/>
      <sheetData sheetId="1682"/>
      <sheetData sheetId="1683"/>
      <sheetData sheetId="1684"/>
      <sheetData sheetId="1685"/>
      <sheetData sheetId="1686"/>
      <sheetData sheetId="1687"/>
      <sheetData sheetId="1688"/>
      <sheetData sheetId="1689"/>
      <sheetData sheetId="1690"/>
      <sheetData sheetId="1691"/>
      <sheetData sheetId="1692" refreshError="1"/>
      <sheetData sheetId="1693" refreshError="1"/>
      <sheetData sheetId="1694"/>
      <sheetData sheetId="1695" refreshError="1"/>
      <sheetData sheetId="1696"/>
      <sheetData sheetId="1697"/>
      <sheetData sheetId="1698"/>
      <sheetData sheetId="1699"/>
      <sheetData sheetId="1700"/>
      <sheetData sheetId="1701"/>
      <sheetData sheetId="1702"/>
      <sheetData sheetId="1703"/>
      <sheetData sheetId="1704"/>
      <sheetData sheetId="1705"/>
      <sheetData sheetId="1706"/>
      <sheetData sheetId="1707"/>
      <sheetData sheetId="1708"/>
      <sheetData sheetId="1709"/>
      <sheetData sheetId="1710"/>
      <sheetData sheetId="1711"/>
      <sheetData sheetId="1712"/>
      <sheetData sheetId="1713"/>
      <sheetData sheetId="1714"/>
      <sheetData sheetId="1715"/>
      <sheetData sheetId="1716"/>
      <sheetData sheetId="1717"/>
      <sheetData sheetId="1718"/>
      <sheetData sheetId="1719"/>
      <sheetData sheetId="1720"/>
      <sheetData sheetId="1721"/>
      <sheetData sheetId="1722"/>
      <sheetData sheetId="1723" refreshError="1"/>
      <sheetData sheetId="1724"/>
      <sheetData sheetId="1725" refreshError="1"/>
      <sheetData sheetId="1726"/>
      <sheetData sheetId="1727" refreshError="1"/>
      <sheetData sheetId="1728"/>
      <sheetData sheetId="1729"/>
      <sheetData sheetId="1730"/>
      <sheetData sheetId="1731"/>
      <sheetData sheetId="1732"/>
      <sheetData sheetId="1733"/>
      <sheetData sheetId="1734"/>
      <sheetData sheetId="1735"/>
      <sheetData sheetId="1736"/>
      <sheetData sheetId="1737" refreshError="1"/>
      <sheetData sheetId="1738"/>
      <sheetData sheetId="1739" refreshError="1"/>
      <sheetData sheetId="1740"/>
      <sheetData sheetId="1741"/>
      <sheetData sheetId="1742"/>
      <sheetData sheetId="1743"/>
      <sheetData sheetId="1744" refreshError="1"/>
      <sheetData sheetId="1745" refreshError="1"/>
      <sheetData sheetId="1746"/>
      <sheetData sheetId="1747" refreshError="1"/>
      <sheetData sheetId="1748" refreshError="1"/>
      <sheetData sheetId="1749" refreshError="1"/>
      <sheetData sheetId="1750"/>
      <sheetData sheetId="1751"/>
      <sheetData sheetId="1752"/>
      <sheetData sheetId="1753"/>
      <sheetData sheetId="1754"/>
      <sheetData sheetId="1755"/>
      <sheetData sheetId="1756"/>
      <sheetData sheetId="1757"/>
      <sheetData sheetId="1758"/>
      <sheetData sheetId="1759"/>
      <sheetData sheetId="1760"/>
      <sheetData sheetId="1761"/>
      <sheetData sheetId="1762"/>
      <sheetData sheetId="1763"/>
      <sheetData sheetId="1764"/>
      <sheetData sheetId="1765"/>
      <sheetData sheetId="1766"/>
      <sheetData sheetId="1767"/>
      <sheetData sheetId="1768"/>
      <sheetData sheetId="1769"/>
      <sheetData sheetId="1770"/>
      <sheetData sheetId="1771"/>
      <sheetData sheetId="1772"/>
      <sheetData sheetId="1773"/>
      <sheetData sheetId="1774"/>
      <sheetData sheetId="1775"/>
      <sheetData sheetId="1776"/>
      <sheetData sheetId="1777"/>
      <sheetData sheetId="1778"/>
      <sheetData sheetId="1779"/>
      <sheetData sheetId="1780"/>
      <sheetData sheetId="1781"/>
      <sheetData sheetId="1782"/>
      <sheetData sheetId="1783"/>
      <sheetData sheetId="1784"/>
      <sheetData sheetId="1785"/>
      <sheetData sheetId="1786"/>
      <sheetData sheetId="1787"/>
      <sheetData sheetId="1788"/>
      <sheetData sheetId="1789"/>
      <sheetData sheetId="1790"/>
      <sheetData sheetId="1791"/>
      <sheetData sheetId="1792"/>
      <sheetData sheetId="1793"/>
      <sheetData sheetId="1794"/>
      <sheetData sheetId="1795"/>
      <sheetData sheetId="1796"/>
      <sheetData sheetId="1797"/>
      <sheetData sheetId="1798"/>
      <sheetData sheetId="1799"/>
      <sheetData sheetId="1800"/>
      <sheetData sheetId="1801"/>
      <sheetData sheetId="1802"/>
      <sheetData sheetId="1803"/>
      <sheetData sheetId="1804"/>
      <sheetData sheetId="1805"/>
      <sheetData sheetId="1806"/>
      <sheetData sheetId="1807"/>
      <sheetData sheetId="1808"/>
      <sheetData sheetId="1809"/>
      <sheetData sheetId="1810"/>
      <sheetData sheetId="1811"/>
      <sheetData sheetId="1812"/>
      <sheetData sheetId="1813"/>
      <sheetData sheetId="1814"/>
      <sheetData sheetId="1815"/>
      <sheetData sheetId="1816"/>
      <sheetData sheetId="1817"/>
      <sheetData sheetId="1818"/>
      <sheetData sheetId="1819"/>
      <sheetData sheetId="1820"/>
      <sheetData sheetId="1821"/>
      <sheetData sheetId="1822"/>
      <sheetData sheetId="1823"/>
      <sheetData sheetId="1824"/>
      <sheetData sheetId="1825"/>
      <sheetData sheetId="1826"/>
      <sheetData sheetId="1827"/>
      <sheetData sheetId="1828"/>
      <sheetData sheetId="1829"/>
      <sheetData sheetId="1830"/>
      <sheetData sheetId="1831"/>
      <sheetData sheetId="1832"/>
      <sheetData sheetId="1833"/>
      <sheetData sheetId="1834"/>
      <sheetData sheetId="1835"/>
      <sheetData sheetId="1836"/>
      <sheetData sheetId="1837"/>
      <sheetData sheetId="1838"/>
      <sheetData sheetId="1839"/>
      <sheetData sheetId="1840"/>
      <sheetData sheetId="1841"/>
      <sheetData sheetId="1842"/>
      <sheetData sheetId="1843"/>
      <sheetData sheetId="1844"/>
      <sheetData sheetId="1845"/>
      <sheetData sheetId="1846"/>
      <sheetData sheetId="1847"/>
      <sheetData sheetId="1848"/>
      <sheetData sheetId="1849"/>
      <sheetData sheetId="1850" refreshError="1"/>
      <sheetData sheetId="1851" refreshError="1"/>
      <sheetData sheetId="1852" refreshError="1"/>
      <sheetData sheetId="1853" refreshError="1"/>
      <sheetData sheetId="1854" refreshError="1"/>
      <sheetData sheetId="1855" refreshError="1"/>
      <sheetData sheetId="1856" refreshError="1"/>
      <sheetData sheetId="1857" refreshError="1"/>
      <sheetData sheetId="1858" refreshError="1"/>
      <sheetData sheetId="1859" refreshError="1"/>
      <sheetData sheetId="1860" refreshError="1"/>
      <sheetData sheetId="1861" refreshError="1"/>
      <sheetData sheetId="1862" refreshError="1"/>
      <sheetData sheetId="1863" refreshError="1"/>
      <sheetData sheetId="1864" refreshError="1"/>
      <sheetData sheetId="1865" refreshError="1"/>
      <sheetData sheetId="1866" refreshError="1"/>
      <sheetData sheetId="1867" refreshError="1"/>
      <sheetData sheetId="1868" refreshError="1"/>
      <sheetData sheetId="1869" refreshError="1"/>
      <sheetData sheetId="1870" refreshError="1"/>
      <sheetData sheetId="1871" refreshError="1"/>
      <sheetData sheetId="1872" refreshError="1"/>
      <sheetData sheetId="1873" refreshError="1"/>
      <sheetData sheetId="1874" refreshError="1"/>
      <sheetData sheetId="1875" refreshError="1"/>
      <sheetData sheetId="1876" refreshError="1"/>
      <sheetData sheetId="1877" refreshError="1"/>
      <sheetData sheetId="1878" refreshError="1"/>
      <sheetData sheetId="1879" refreshError="1"/>
      <sheetData sheetId="1880" refreshError="1"/>
      <sheetData sheetId="1881" refreshError="1"/>
      <sheetData sheetId="1882" refreshError="1"/>
      <sheetData sheetId="1883" refreshError="1"/>
      <sheetData sheetId="1884" refreshError="1"/>
      <sheetData sheetId="1885" refreshError="1"/>
      <sheetData sheetId="1886" refreshError="1"/>
      <sheetData sheetId="1887" refreshError="1"/>
      <sheetData sheetId="1888" refreshError="1"/>
      <sheetData sheetId="1889" refreshError="1"/>
      <sheetData sheetId="1890" refreshError="1"/>
      <sheetData sheetId="1891" refreshError="1"/>
      <sheetData sheetId="1892" refreshError="1"/>
      <sheetData sheetId="1893" refreshError="1"/>
      <sheetData sheetId="1894" refreshError="1"/>
      <sheetData sheetId="1895" refreshError="1"/>
      <sheetData sheetId="1896" refreshError="1"/>
      <sheetData sheetId="1897" refreshError="1"/>
      <sheetData sheetId="1898" refreshError="1"/>
      <sheetData sheetId="1899" refreshError="1"/>
      <sheetData sheetId="1900" refreshError="1"/>
      <sheetData sheetId="1901" refreshError="1"/>
      <sheetData sheetId="1902" refreshError="1"/>
      <sheetData sheetId="1903" refreshError="1"/>
      <sheetData sheetId="1904" refreshError="1"/>
      <sheetData sheetId="1905" refreshError="1"/>
      <sheetData sheetId="1906" refreshError="1"/>
      <sheetData sheetId="1907"/>
      <sheetData sheetId="1908" refreshError="1"/>
      <sheetData sheetId="1909" refreshError="1"/>
      <sheetData sheetId="1910" refreshError="1"/>
      <sheetData sheetId="1911" refreshError="1"/>
      <sheetData sheetId="1912" refreshError="1"/>
      <sheetData sheetId="1913" refreshError="1"/>
      <sheetData sheetId="1914" refreshError="1"/>
      <sheetData sheetId="1915" refreshError="1"/>
      <sheetData sheetId="1916" refreshError="1"/>
      <sheetData sheetId="1917" refreshError="1"/>
      <sheetData sheetId="1918" refreshError="1"/>
      <sheetData sheetId="1919" refreshError="1"/>
      <sheetData sheetId="1920" refreshError="1"/>
      <sheetData sheetId="1921" refreshError="1"/>
      <sheetData sheetId="1922"/>
      <sheetData sheetId="1923" refreshError="1"/>
      <sheetData sheetId="1924"/>
      <sheetData sheetId="1925"/>
      <sheetData sheetId="1926"/>
      <sheetData sheetId="1927"/>
      <sheetData sheetId="1928"/>
      <sheetData sheetId="1929"/>
      <sheetData sheetId="1930"/>
      <sheetData sheetId="1931"/>
      <sheetData sheetId="1932"/>
      <sheetData sheetId="1933"/>
      <sheetData sheetId="1934"/>
      <sheetData sheetId="1935"/>
      <sheetData sheetId="1936"/>
      <sheetData sheetId="1937"/>
      <sheetData sheetId="1938"/>
      <sheetData sheetId="1939"/>
      <sheetData sheetId="1940"/>
      <sheetData sheetId="1941"/>
      <sheetData sheetId="1942"/>
      <sheetData sheetId="1943"/>
      <sheetData sheetId="1944"/>
      <sheetData sheetId="1945"/>
      <sheetData sheetId="1946" refreshError="1"/>
      <sheetData sheetId="1947" refreshError="1"/>
      <sheetData sheetId="1948" refreshError="1"/>
      <sheetData sheetId="1949" refreshError="1"/>
      <sheetData sheetId="1950" refreshError="1"/>
      <sheetData sheetId="1951" refreshError="1"/>
      <sheetData sheetId="1952" refreshError="1"/>
      <sheetData sheetId="1953" refreshError="1"/>
      <sheetData sheetId="1954" refreshError="1"/>
      <sheetData sheetId="1955" refreshError="1"/>
      <sheetData sheetId="1956" refreshError="1"/>
      <sheetData sheetId="1957" refreshError="1"/>
      <sheetData sheetId="1958" refreshError="1"/>
      <sheetData sheetId="1959" refreshError="1"/>
      <sheetData sheetId="1960" refreshError="1"/>
      <sheetData sheetId="1961" refreshError="1"/>
      <sheetData sheetId="1962" refreshError="1"/>
      <sheetData sheetId="1963" refreshError="1"/>
      <sheetData sheetId="1964" refreshError="1"/>
      <sheetData sheetId="1965" refreshError="1"/>
      <sheetData sheetId="1966" refreshError="1"/>
      <sheetData sheetId="1967" refreshError="1"/>
      <sheetData sheetId="1968" refreshError="1"/>
      <sheetData sheetId="1969" refreshError="1"/>
      <sheetData sheetId="1970" refreshError="1"/>
      <sheetData sheetId="1971" refreshError="1"/>
      <sheetData sheetId="1972" refreshError="1"/>
      <sheetData sheetId="1973"/>
      <sheetData sheetId="1974"/>
      <sheetData sheetId="1975" refreshError="1"/>
      <sheetData sheetId="1976" refreshError="1"/>
      <sheetData sheetId="1977" refreshError="1"/>
      <sheetData sheetId="1978" refreshError="1"/>
      <sheetData sheetId="1979" refreshError="1"/>
      <sheetData sheetId="1980" refreshError="1"/>
      <sheetData sheetId="1981" refreshError="1"/>
      <sheetData sheetId="1982" refreshError="1"/>
      <sheetData sheetId="1983" refreshError="1"/>
      <sheetData sheetId="1984" refreshError="1"/>
      <sheetData sheetId="1985" refreshError="1"/>
      <sheetData sheetId="1986" refreshError="1"/>
      <sheetData sheetId="1987" refreshError="1"/>
      <sheetData sheetId="1988" refreshError="1"/>
      <sheetData sheetId="1989" refreshError="1"/>
      <sheetData sheetId="1990" refreshError="1"/>
      <sheetData sheetId="1991" refreshError="1"/>
      <sheetData sheetId="1992" refreshError="1"/>
      <sheetData sheetId="1993" refreshError="1"/>
      <sheetData sheetId="1994" refreshError="1"/>
      <sheetData sheetId="1995" refreshError="1"/>
      <sheetData sheetId="1996" refreshError="1"/>
      <sheetData sheetId="1997" refreshError="1"/>
      <sheetData sheetId="1998" refreshError="1"/>
      <sheetData sheetId="1999" refreshError="1"/>
      <sheetData sheetId="2000" refreshError="1"/>
      <sheetData sheetId="2001" refreshError="1"/>
      <sheetData sheetId="2002" refreshError="1"/>
      <sheetData sheetId="2003" refreshError="1"/>
      <sheetData sheetId="2004" refreshError="1"/>
      <sheetData sheetId="2005" refreshError="1"/>
      <sheetData sheetId="2006" refreshError="1"/>
      <sheetData sheetId="2007" refreshError="1"/>
      <sheetData sheetId="2008" refreshError="1"/>
      <sheetData sheetId="2009" refreshError="1"/>
      <sheetData sheetId="2010" refreshError="1"/>
      <sheetData sheetId="2011" refreshError="1"/>
      <sheetData sheetId="2012" refreshError="1"/>
      <sheetData sheetId="2013" refreshError="1"/>
      <sheetData sheetId="2014" refreshError="1"/>
      <sheetData sheetId="2015" refreshError="1"/>
      <sheetData sheetId="2016" refreshError="1"/>
      <sheetData sheetId="2017" refreshError="1"/>
      <sheetData sheetId="2018" refreshError="1"/>
      <sheetData sheetId="2019" refreshError="1"/>
      <sheetData sheetId="2020" refreshError="1"/>
      <sheetData sheetId="2021" refreshError="1"/>
      <sheetData sheetId="2022" refreshError="1"/>
      <sheetData sheetId="2023" refreshError="1"/>
      <sheetData sheetId="2024" refreshError="1"/>
      <sheetData sheetId="2025" refreshError="1"/>
      <sheetData sheetId="2026" refreshError="1"/>
      <sheetData sheetId="2027" refreshError="1"/>
      <sheetData sheetId="2028" refreshError="1"/>
      <sheetData sheetId="2029" refreshError="1"/>
      <sheetData sheetId="2030" refreshError="1"/>
      <sheetData sheetId="2031" refreshError="1"/>
      <sheetData sheetId="2032" refreshError="1"/>
      <sheetData sheetId="2033" refreshError="1"/>
      <sheetData sheetId="2034" refreshError="1"/>
      <sheetData sheetId="2035" refreshError="1"/>
      <sheetData sheetId="2036" refreshError="1"/>
      <sheetData sheetId="2037" refreshError="1"/>
      <sheetData sheetId="2038" refreshError="1"/>
      <sheetData sheetId="2039" refreshError="1"/>
      <sheetData sheetId="2040" refreshError="1"/>
      <sheetData sheetId="2041" refreshError="1"/>
      <sheetData sheetId="2042" refreshError="1"/>
      <sheetData sheetId="2043" refreshError="1"/>
      <sheetData sheetId="2044" refreshError="1"/>
      <sheetData sheetId="2045" refreshError="1"/>
      <sheetData sheetId="2046" refreshError="1"/>
      <sheetData sheetId="2047" refreshError="1"/>
      <sheetData sheetId="2048" refreshError="1"/>
      <sheetData sheetId="2049" refreshError="1"/>
      <sheetData sheetId="2050" refreshError="1"/>
      <sheetData sheetId="2051" refreshError="1"/>
      <sheetData sheetId="2052" refreshError="1"/>
      <sheetData sheetId="2053" refreshError="1"/>
      <sheetData sheetId="2054" refreshError="1"/>
      <sheetData sheetId="2055" refreshError="1"/>
      <sheetData sheetId="2056" refreshError="1"/>
      <sheetData sheetId="2057" refreshError="1"/>
      <sheetData sheetId="2058" refreshError="1"/>
      <sheetData sheetId="2059" refreshError="1"/>
      <sheetData sheetId="2060" refreshError="1"/>
      <sheetData sheetId="2061" refreshError="1"/>
      <sheetData sheetId="2062" refreshError="1"/>
      <sheetData sheetId="2063" refreshError="1"/>
      <sheetData sheetId="2064" refreshError="1"/>
      <sheetData sheetId="2065" refreshError="1"/>
      <sheetData sheetId="2066" refreshError="1"/>
      <sheetData sheetId="2067" refreshError="1"/>
      <sheetData sheetId="2068" refreshError="1"/>
      <sheetData sheetId="2069" refreshError="1"/>
      <sheetData sheetId="2070" refreshError="1"/>
      <sheetData sheetId="2071" refreshError="1"/>
      <sheetData sheetId="2072" refreshError="1"/>
      <sheetData sheetId="2073" refreshError="1"/>
      <sheetData sheetId="2074" refreshError="1"/>
      <sheetData sheetId="2075" refreshError="1"/>
      <sheetData sheetId="2076" refreshError="1"/>
      <sheetData sheetId="2077" refreshError="1"/>
      <sheetData sheetId="2078" refreshError="1"/>
      <sheetData sheetId="2079" refreshError="1"/>
      <sheetData sheetId="2080" refreshError="1"/>
      <sheetData sheetId="2081" refreshError="1"/>
      <sheetData sheetId="2082" refreshError="1"/>
      <sheetData sheetId="2083" refreshError="1"/>
      <sheetData sheetId="2084" refreshError="1"/>
      <sheetData sheetId="2085" refreshError="1"/>
      <sheetData sheetId="2086" refreshError="1"/>
      <sheetData sheetId="2087" refreshError="1"/>
      <sheetData sheetId="2088" refreshError="1"/>
      <sheetData sheetId="2089" refreshError="1"/>
      <sheetData sheetId="2090" refreshError="1"/>
      <sheetData sheetId="2091" refreshError="1"/>
      <sheetData sheetId="2092" refreshError="1"/>
      <sheetData sheetId="2093" refreshError="1"/>
      <sheetData sheetId="2094" refreshError="1"/>
      <sheetData sheetId="2095" refreshError="1"/>
      <sheetData sheetId="2096" refreshError="1"/>
      <sheetData sheetId="2097" refreshError="1"/>
      <sheetData sheetId="2098" refreshError="1"/>
      <sheetData sheetId="2099" refreshError="1"/>
      <sheetData sheetId="2100" refreshError="1"/>
      <sheetData sheetId="2101" refreshError="1"/>
      <sheetData sheetId="2102" refreshError="1"/>
      <sheetData sheetId="2103" refreshError="1"/>
      <sheetData sheetId="2104" refreshError="1"/>
      <sheetData sheetId="2105" refreshError="1"/>
      <sheetData sheetId="2106" refreshError="1"/>
      <sheetData sheetId="2107" refreshError="1"/>
      <sheetData sheetId="2108" refreshError="1"/>
      <sheetData sheetId="2109" refreshError="1"/>
      <sheetData sheetId="2110" refreshError="1"/>
      <sheetData sheetId="2111" refreshError="1"/>
      <sheetData sheetId="2112" refreshError="1"/>
      <sheetData sheetId="2113" refreshError="1"/>
      <sheetData sheetId="2114" refreshError="1"/>
      <sheetData sheetId="2115" refreshError="1"/>
      <sheetData sheetId="2116" refreshError="1"/>
      <sheetData sheetId="2117" refreshError="1"/>
      <sheetData sheetId="2118" refreshError="1"/>
      <sheetData sheetId="2119" refreshError="1"/>
      <sheetData sheetId="2120" refreshError="1"/>
      <sheetData sheetId="2121" refreshError="1"/>
      <sheetData sheetId="2122" refreshError="1"/>
      <sheetData sheetId="2123" refreshError="1"/>
      <sheetData sheetId="2124" refreshError="1"/>
      <sheetData sheetId="2125" refreshError="1"/>
      <sheetData sheetId="2126" refreshError="1"/>
      <sheetData sheetId="2127" refreshError="1"/>
      <sheetData sheetId="2128" refreshError="1"/>
      <sheetData sheetId="2129" refreshError="1"/>
      <sheetData sheetId="2130" refreshError="1"/>
      <sheetData sheetId="2131" refreshError="1"/>
      <sheetData sheetId="2132" refreshError="1"/>
      <sheetData sheetId="2133" refreshError="1"/>
      <sheetData sheetId="2134" refreshError="1"/>
      <sheetData sheetId="2135" refreshError="1"/>
      <sheetData sheetId="2136" refreshError="1"/>
      <sheetData sheetId="2137" refreshError="1"/>
      <sheetData sheetId="2138" refreshError="1"/>
      <sheetData sheetId="2139" refreshError="1"/>
      <sheetData sheetId="2140" refreshError="1"/>
      <sheetData sheetId="2141" refreshError="1"/>
      <sheetData sheetId="2142" refreshError="1"/>
      <sheetData sheetId="2143" refreshError="1"/>
      <sheetData sheetId="2144" refreshError="1"/>
      <sheetData sheetId="2145" refreshError="1"/>
      <sheetData sheetId="2146" refreshError="1"/>
      <sheetData sheetId="2147" refreshError="1"/>
      <sheetData sheetId="2148" refreshError="1"/>
      <sheetData sheetId="2149" refreshError="1"/>
      <sheetData sheetId="2150" refreshError="1"/>
      <sheetData sheetId="2151" refreshError="1"/>
      <sheetData sheetId="2152" refreshError="1"/>
      <sheetData sheetId="2153" refreshError="1"/>
      <sheetData sheetId="2154" refreshError="1"/>
      <sheetData sheetId="2155" refreshError="1"/>
      <sheetData sheetId="2156" refreshError="1"/>
      <sheetData sheetId="2157" refreshError="1"/>
      <sheetData sheetId="2158" refreshError="1"/>
      <sheetData sheetId="2159" refreshError="1"/>
      <sheetData sheetId="2160" refreshError="1"/>
      <sheetData sheetId="2161" refreshError="1"/>
      <sheetData sheetId="2162" refreshError="1"/>
      <sheetData sheetId="2163" refreshError="1"/>
      <sheetData sheetId="2164" refreshError="1"/>
      <sheetData sheetId="2165" refreshError="1"/>
      <sheetData sheetId="2166" refreshError="1"/>
      <sheetData sheetId="2167" refreshError="1"/>
      <sheetData sheetId="2168" refreshError="1"/>
      <sheetData sheetId="2169" refreshError="1"/>
      <sheetData sheetId="2170" refreshError="1"/>
      <sheetData sheetId="2171" refreshError="1"/>
      <sheetData sheetId="2172" refreshError="1"/>
      <sheetData sheetId="2173" refreshError="1"/>
      <sheetData sheetId="2174" refreshError="1"/>
      <sheetData sheetId="2175" refreshError="1"/>
      <sheetData sheetId="2176" refreshError="1"/>
      <sheetData sheetId="2177" refreshError="1"/>
      <sheetData sheetId="2178" refreshError="1"/>
      <sheetData sheetId="2179" refreshError="1"/>
      <sheetData sheetId="2180" refreshError="1"/>
      <sheetData sheetId="2181" refreshError="1"/>
      <sheetData sheetId="2182" refreshError="1"/>
      <sheetData sheetId="2183" refreshError="1"/>
      <sheetData sheetId="2184" refreshError="1"/>
      <sheetData sheetId="2185" refreshError="1"/>
      <sheetData sheetId="2186" refreshError="1"/>
      <sheetData sheetId="2187" refreshError="1"/>
      <sheetData sheetId="2188" refreshError="1"/>
      <sheetData sheetId="2189" refreshError="1"/>
      <sheetData sheetId="2190" refreshError="1"/>
      <sheetData sheetId="2191" refreshError="1"/>
      <sheetData sheetId="2192" refreshError="1"/>
      <sheetData sheetId="2193" refreshError="1"/>
      <sheetData sheetId="2194" refreshError="1"/>
      <sheetData sheetId="2195" refreshError="1"/>
      <sheetData sheetId="2196" refreshError="1"/>
      <sheetData sheetId="2197" refreshError="1"/>
      <sheetData sheetId="2198" refreshError="1"/>
      <sheetData sheetId="2199" refreshError="1"/>
      <sheetData sheetId="2200" refreshError="1"/>
      <sheetData sheetId="2201" refreshError="1"/>
      <sheetData sheetId="2202" refreshError="1"/>
      <sheetData sheetId="2203" refreshError="1"/>
      <sheetData sheetId="2204" refreshError="1"/>
      <sheetData sheetId="2205" refreshError="1"/>
      <sheetData sheetId="2206" refreshError="1"/>
      <sheetData sheetId="2207" refreshError="1"/>
      <sheetData sheetId="2208" refreshError="1"/>
      <sheetData sheetId="2209" refreshError="1"/>
      <sheetData sheetId="2210" refreshError="1"/>
      <sheetData sheetId="2211" refreshError="1"/>
      <sheetData sheetId="2212" refreshError="1"/>
      <sheetData sheetId="2213" refreshError="1"/>
      <sheetData sheetId="2214" refreshError="1"/>
      <sheetData sheetId="2215" refreshError="1"/>
      <sheetData sheetId="2216" refreshError="1"/>
      <sheetData sheetId="2217" refreshError="1"/>
      <sheetData sheetId="2218" refreshError="1"/>
      <sheetData sheetId="2219" refreshError="1"/>
      <sheetData sheetId="2220" refreshError="1"/>
      <sheetData sheetId="2221" refreshError="1"/>
      <sheetData sheetId="2222" refreshError="1"/>
      <sheetData sheetId="2223" refreshError="1"/>
      <sheetData sheetId="2224" refreshError="1"/>
      <sheetData sheetId="2225" refreshError="1"/>
      <sheetData sheetId="2226" refreshError="1"/>
      <sheetData sheetId="2227" refreshError="1"/>
      <sheetData sheetId="2228" refreshError="1"/>
      <sheetData sheetId="2229" refreshError="1"/>
      <sheetData sheetId="2230" refreshError="1"/>
      <sheetData sheetId="2231" refreshError="1"/>
      <sheetData sheetId="2232" refreshError="1"/>
      <sheetData sheetId="2233" refreshError="1"/>
      <sheetData sheetId="2234" refreshError="1"/>
      <sheetData sheetId="2235" refreshError="1"/>
      <sheetData sheetId="2236" refreshError="1"/>
      <sheetData sheetId="2237" refreshError="1"/>
      <sheetData sheetId="2238" refreshError="1"/>
      <sheetData sheetId="2239" refreshError="1"/>
      <sheetData sheetId="2240" refreshError="1"/>
      <sheetData sheetId="2241" refreshError="1"/>
      <sheetData sheetId="2242" refreshError="1"/>
      <sheetData sheetId="2243" refreshError="1"/>
      <sheetData sheetId="2244" refreshError="1"/>
      <sheetData sheetId="2245" refreshError="1"/>
      <sheetData sheetId="2246" refreshError="1"/>
      <sheetData sheetId="2247" refreshError="1"/>
      <sheetData sheetId="2248" refreshError="1"/>
      <sheetData sheetId="2249" refreshError="1"/>
      <sheetData sheetId="2250" refreshError="1"/>
      <sheetData sheetId="2251" refreshError="1"/>
      <sheetData sheetId="2252" refreshError="1"/>
      <sheetData sheetId="2253" refreshError="1"/>
      <sheetData sheetId="2254" refreshError="1"/>
      <sheetData sheetId="2255" refreshError="1"/>
      <sheetData sheetId="2256" refreshError="1"/>
      <sheetData sheetId="2257" refreshError="1"/>
      <sheetData sheetId="2258" refreshError="1"/>
      <sheetData sheetId="2259" refreshError="1"/>
      <sheetData sheetId="2260" refreshError="1"/>
      <sheetData sheetId="2261" refreshError="1"/>
      <sheetData sheetId="2262" refreshError="1"/>
      <sheetData sheetId="2263" refreshError="1"/>
      <sheetData sheetId="2264" refreshError="1"/>
      <sheetData sheetId="2265" refreshError="1"/>
      <sheetData sheetId="2266" refreshError="1"/>
      <sheetData sheetId="2267" refreshError="1"/>
      <sheetData sheetId="2268" refreshError="1"/>
      <sheetData sheetId="2269" refreshError="1"/>
      <sheetData sheetId="2270" refreshError="1"/>
      <sheetData sheetId="2271" refreshError="1"/>
      <sheetData sheetId="2272" refreshError="1"/>
      <sheetData sheetId="2273" refreshError="1"/>
      <sheetData sheetId="2274" refreshError="1"/>
      <sheetData sheetId="2275" refreshError="1"/>
      <sheetData sheetId="2276" refreshError="1"/>
      <sheetData sheetId="2277" refreshError="1"/>
      <sheetData sheetId="2278" refreshError="1"/>
      <sheetData sheetId="2279" refreshError="1"/>
      <sheetData sheetId="2280" refreshError="1"/>
      <sheetData sheetId="2281" refreshError="1"/>
      <sheetData sheetId="2282" refreshError="1"/>
      <sheetData sheetId="2283" refreshError="1"/>
      <sheetData sheetId="2284" refreshError="1"/>
      <sheetData sheetId="2285" refreshError="1"/>
      <sheetData sheetId="2286" refreshError="1"/>
      <sheetData sheetId="2287" refreshError="1"/>
      <sheetData sheetId="2288" refreshError="1"/>
      <sheetData sheetId="2289" refreshError="1"/>
      <sheetData sheetId="2290" refreshError="1"/>
      <sheetData sheetId="2291" refreshError="1"/>
      <sheetData sheetId="2292" refreshError="1"/>
      <sheetData sheetId="2293" refreshError="1"/>
      <sheetData sheetId="2294" refreshError="1"/>
      <sheetData sheetId="2295" refreshError="1"/>
      <sheetData sheetId="2296" refreshError="1"/>
      <sheetData sheetId="2297" refreshError="1"/>
      <sheetData sheetId="2298" refreshError="1"/>
      <sheetData sheetId="2299" refreshError="1"/>
      <sheetData sheetId="2300" refreshError="1"/>
      <sheetData sheetId="2301" refreshError="1"/>
      <sheetData sheetId="2302" refreshError="1"/>
      <sheetData sheetId="2303" refreshError="1"/>
      <sheetData sheetId="2304" refreshError="1"/>
      <sheetData sheetId="2305" refreshError="1"/>
      <sheetData sheetId="2306" refreshError="1"/>
      <sheetData sheetId="2307" refreshError="1"/>
      <sheetData sheetId="2308" refreshError="1"/>
      <sheetData sheetId="2309" refreshError="1"/>
      <sheetData sheetId="2310" refreshError="1"/>
      <sheetData sheetId="2311" refreshError="1"/>
      <sheetData sheetId="2312" refreshError="1"/>
      <sheetData sheetId="2313" refreshError="1"/>
      <sheetData sheetId="2314" refreshError="1"/>
      <sheetData sheetId="2315" refreshError="1"/>
      <sheetData sheetId="2316" refreshError="1"/>
      <sheetData sheetId="2317" refreshError="1"/>
      <sheetData sheetId="2318" refreshError="1"/>
      <sheetData sheetId="2319" refreshError="1"/>
      <sheetData sheetId="2320" refreshError="1"/>
      <sheetData sheetId="2321" refreshError="1"/>
      <sheetData sheetId="2322" refreshError="1"/>
      <sheetData sheetId="2323" refreshError="1"/>
      <sheetData sheetId="2324" refreshError="1"/>
      <sheetData sheetId="2325" refreshError="1"/>
      <sheetData sheetId="2326" refreshError="1"/>
      <sheetData sheetId="2327" refreshError="1"/>
      <sheetData sheetId="2328" refreshError="1"/>
      <sheetData sheetId="2329" refreshError="1"/>
      <sheetData sheetId="2330" refreshError="1"/>
      <sheetData sheetId="2331" refreshError="1"/>
      <sheetData sheetId="2332" refreshError="1"/>
      <sheetData sheetId="2333" refreshError="1"/>
      <sheetData sheetId="2334" refreshError="1"/>
      <sheetData sheetId="2335" refreshError="1"/>
      <sheetData sheetId="2336" refreshError="1"/>
      <sheetData sheetId="2337" refreshError="1"/>
      <sheetData sheetId="2338" refreshError="1"/>
      <sheetData sheetId="2339" refreshError="1"/>
      <sheetData sheetId="2340" refreshError="1"/>
      <sheetData sheetId="2341" refreshError="1"/>
      <sheetData sheetId="2342" refreshError="1"/>
      <sheetData sheetId="2343" refreshError="1"/>
      <sheetData sheetId="2344" refreshError="1"/>
      <sheetData sheetId="2345" refreshError="1"/>
      <sheetData sheetId="2346" refreshError="1"/>
      <sheetData sheetId="2347" refreshError="1"/>
      <sheetData sheetId="2348" refreshError="1"/>
      <sheetData sheetId="2349" refreshError="1"/>
      <sheetData sheetId="2350" refreshError="1"/>
      <sheetData sheetId="2351" refreshError="1"/>
      <sheetData sheetId="2352" refreshError="1"/>
      <sheetData sheetId="2353" refreshError="1"/>
      <sheetData sheetId="2354" refreshError="1"/>
      <sheetData sheetId="2355" refreshError="1"/>
      <sheetData sheetId="2356" refreshError="1"/>
      <sheetData sheetId="2357" refreshError="1"/>
      <sheetData sheetId="2358" refreshError="1"/>
      <sheetData sheetId="2359" refreshError="1"/>
      <sheetData sheetId="2360" refreshError="1"/>
      <sheetData sheetId="2361" refreshError="1"/>
      <sheetData sheetId="2362" refreshError="1"/>
      <sheetData sheetId="2363" refreshError="1"/>
      <sheetData sheetId="2364" refreshError="1"/>
      <sheetData sheetId="2365" refreshError="1"/>
      <sheetData sheetId="2366" refreshError="1"/>
      <sheetData sheetId="2367" refreshError="1"/>
      <sheetData sheetId="2368" refreshError="1"/>
      <sheetData sheetId="2369" refreshError="1"/>
      <sheetData sheetId="2370" refreshError="1"/>
      <sheetData sheetId="2371" refreshError="1"/>
      <sheetData sheetId="2372" refreshError="1"/>
      <sheetData sheetId="2373" refreshError="1"/>
      <sheetData sheetId="2374" refreshError="1"/>
      <sheetData sheetId="2375" refreshError="1"/>
      <sheetData sheetId="2376" refreshError="1"/>
      <sheetData sheetId="2377" refreshError="1"/>
      <sheetData sheetId="2378" refreshError="1"/>
      <sheetData sheetId="2379" refreshError="1"/>
      <sheetData sheetId="2380" refreshError="1"/>
      <sheetData sheetId="2381" refreshError="1"/>
      <sheetData sheetId="2382" refreshError="1"/>
      <sheetData sheetId="2383" refreshError="1"/>
      <sheetData sheetId="2384"/>
      <sheetData sheetId="2385"/>
      <sheetData sheetId="2386"/>
      <sheetData sheetId="2387" refreshError="1"/>
      <sheetData sheetId="2388" refreshError="1"/>
      <sheetData sheetId="2389" refreshError="1"/>
      <sheetData sheetId="2390" refreshError="1"/>
      <sheetData sheetId="2391" refreshError="1"/>
      <sheetData sheetId="2392" refreshError="1"/>
      <sheetData sheetId="2393" refreshError="1"/>
      <sheetData sheetId="2394" refreshError="1"/>
      <sheetData sheetId="2395" refreshError="1"/>
      <sheetData sheetId="2396" refreshError="1"/>
      <sheetData sheetId="2397" refreshError="1"/>
      <sheetData sheetId="2398" refreshError="1"/>
      <sheetData sheetId="2399"/>
      <sheetData sheetId="2400" refreshError="1"/>
      <sheetData sheetId="2401" refreshError="1"/>
      <sheetData sheetId="2402" refreshError="1"/>
      <sheetData sheetId="2403" refreshError="1"/>
      <sheetData sheetId="2404" refreshError="1"/>
      <sheetData sheetId="2405" refreshError="1"/>
      <sheetData sheetId="2406" refreshError="1"/>
      <sheetData sheetId="2407" refreshError="1"/>
      <sheetData sheetId="2408" refreshError="1"/>
      <sheetData sheetId="2409" refreshError="1"/>
      <sheetData sheetId="2410" refreshError="1"/>
      <sheetData sheetId="2411" refreshError="1"/>
      <sheetData sheetId="2412" refreshError="1"/>
      <sheetData sheetId="2413" refreshError="1"/>
      <sheetData sheetId="2414" refreshError="1"/>
      <sheetData sheetId="2415" refreshError="1"/>
      <sheetData sheetId="2416"/>
      <sheetData sheetId="2417" refreshError="1"/>
      <sheetData sheetId="2418" refreshError="1"/>
      <sheetData sheetId="2419" refreshError="1"/>
      <sheetData sheetId="2420" refreshError="1"/>
      <sheetData sheetId="2421" refreshError="1"/>
      <sheetData sheetId="2422" refreshError="1"/>
      <sheetData sheetId="2423" refreshError="1"/>
      <sheetData sheetId="2424" refreshError="1"/>
      <sheetData sheetId="2425" refreshError="1"/>
      <sheetData sheetId="2426" refreshError="1"/>
      <sheetData sheetId="2427" refreshError="1"/>
      <sheetData sheetId="2428" refreshError="1"/>
      <sheetData sheetId="2429" refreshError="1"/>
      <sheetData sheetId="2430" refreshError="1"/>
      <sheetData sheetId="2431" refreshError="1"/>
      <sheetData sheetId="2432" refreshError="1"/>
      <sheetData sheetId="2433" refreshError="1"/>
      <sheetData sheetId="2434" refreshError="1"/>
      <sheetData sheetId="2435" refreshError="1"/>
      <sheetData sheetId="2436" refreshError="1"/>
      <sheetData sheetId="2437" refreshError="1"/>
      <sheetData sheetId="2438" refreshError="1"/>
      <sheetData sheetId="2439" refreshError="1"/>
      <sheetData sheetId="2440" refreshError="1"/>
      <sheetData sheetId="2441" refreshError="1"/>
      <sheetData sheetId="2442" refreshError="1"/>
      <sheetData sheetId="2443" refreshError="1"/>
      <sheetData sheetId="2444" refreshError="1"/>
      <sheetData sheetId="2445" refreshError="1"/>
      <sheetData sheetId="2446" refreshError="1"/>
      <sheetData sheetId="2447"/>
      <sheetData sheetId="2448"/>
      <sheetData sheetId="2449"/>
      <sheetData sheetId="2450"/>
      <sheetData sheetId="2451"/>
      <sheetData sheetId="2452"/>
      <sheetData sheetId="2453"/>
      <sheetData sheetId="2454"/>
      <sheetData sheetId="2455"/>
      <sheetData sheetId="2456"/>
      <sheetData sheetId="2457"/>
      <sheetData sheetId="2458"/>
      <sheetData sheetId="2459"/>
      <sheetData sheetId="2460"/>
      <sheetData sheetId="2461"/>
      <sheetData sheetId="2462"/>
      <sheetData sheetId="2463"/>
      <sheetData sheetId="2464"/>
      <sheetData sheetId="2465"/>
      <sheetData sheetId="2466"/>
      <sheetData sheetId="2467"/>
      <sheetData sheetId="2468" refreshError="1"/>
      <sheetData sheetId="2469" refreshError="1"/>
      <sheetData sheetId="2470" refreshError="1"/>
      <sheetData sheetId="2471" refreshError="1"/>
      <sheetData sheetId="2472" refreshError="1"/>
      <sheetData sheetId="2473" refreshError="1"/>
      <sheetData sheetId="2474" refreshError="1"/>
      <sheetData sheetId="2475" refreshError="1"/>
      <sheetData sheetId="2476" refreshError="1"/>
      <sheetData sheetId="2477" refreshError="1"/>
      <sheetData sheetId="2478" refreshError="1"/>
      <sheetData sheetId="2479" refreshError="1"/>
      <sheetData sheetId="2480" refreshError="1"/>
      <sheetData sheetId="2481" refreshError="1"/>
      <sheetData sheetId="2482" refreshError="1"/>
      <sheetData sheetId="2483" refreshError="1"/>
      <sheetData sheetId="2484" refreshError="1"/>
      <sheetData sheetId="2485" refreshError="1"/>
      <sheetData sheetId="2486" refreshError="1"/>
      <sheetData sheetId="2487" refreshError="1"/>
      <sheetData sheetId="2488" refreshError="1"/>
      <sheetData sheetId="2489" refreshError="1"/>
      <sheetData sheetId="2490" refreshError="1"/>
      <sheetData sheetId="2491" refreshError="1"/>
      <sheetData sheetId="2492" refreshError="1"/>
      <sheetData sheetId="2493" refreshError="1"/>
      <sheetData sheetId="2494"/>
      <sheetData sheetId="2495"/>
      <sheetData sheetId="2496"/>
      <sheetData sheetId="2497"/>
      <sheetData sheetId="2498"/>
      <sheetData sheetId="2499"/>
      <sheetData sheetId="2500"/>
      <sheetData sheetId="2501"/>
      <sheetData sheetId="2502"/>
      <sheetData sheetId="2503"/>
      <sheetData sheetId="2504"/>
      <sheetData sheetId="2505" refreshError="1"/>
      <sheetData sheetId="2506" refreshError="1"/>
      <sheetData sheetId="2507" refreshError="1"/>
      <sheetData sheetId="2508" refreshError="1"/>
      <sheetData sheetId="2509" refreshError="1"/>
      <sheetData sheetId="2510" refreshError="1"/>
      <sheetData sheetId="2511" refreshError="1"/>
      <sheetData sheetId="2512" refreshError="1"/>
      <sheetData sheetId="2513" refreshError="1"/>
      <sheetData sheetId="2514" refreshError="1"/>
      <sheetData sheetId="2515" refreshError="1"/>
      <sheetData sheetId="2516" refreshError="1"/>
      <sheetData sheetId="2517" refreshError="1"/>
      <sheetData sheetId="2518" refreshError="1"/>
      <sheetData sheetId="2519" refreshError="1"/>
      <sheetData sheetId="2520" refreshError="1"/>
      <sheetData sheetId="2521" refreshError="1"/>
      <sheetData sheetId="2522" refreshError="1"/>
      <sheetData sheetId="2523" refreshError="1"/>
      <sheetData sheetId="2524" refreshError="1"/>
      <sheetData sheetId="2525" refreshError="1"/>
      <sheetData sheetId="2526" refreshError="1"/>
      <sheetData sheetId="2527"/>
      <sheetData sheetId="2528"/>
      <sheetData sheetId="2529"/>
      <sheetData sheetId="2530"/>
      <sheetData sheetId="2531"/>
      <sheetData sheetId="2532"/>
      <sheetData sheetId="2533"/>
      <sheetData sheetId="2534"/>
      <sheetData sheetId="2535"/>
      <sheetData sheetId="2536"/>
      <sheetData sheetId="2537"/>
      <sheetData sheetId="2538"/>
      <sheetData sheetId="2539"/>
      <sheetData sheetId="2540"/>
      <sheetData sheetId="2541"/>
      <sheetData sheetId="2542"/>
      <sheetData sheetId="2543"/>
      <sheetData sheetId="2544"/>
      <sheetData sheetId="2545"/>
      <sheetData sheetId="2546"/>
      <sheetData sheetId="2547"/>
      <sheetData sheetId="2548"/>
      <sheetData sheetId="2549"/>
      <sheetData sheetId="2550"/>
      <sheetData sheetId="2551"/>
      <sheetData sheetId="2552"/>
      <sheetData sheetId="2553"/>
      <sheetData sheetId="2554"/>
      <sheetData sheetId="2555"/>
      <sheetData sheetId="2556"/>
      <sheetData sheetId="2557"/>
      <sheetData sheetId="2558"/>
      <sheetData sheetId="2559"/>
      <sheetData sheetId="2560"/>
      <sheetData sheetId="2561"/>
      <sheetData sheetId="2562"/>
      <sheetData sheetId="2563"/>
      <sheetData sheetId="2564"/>
      <sheetData sheetId="2565"/>
      <sheetData sheetId="2566"/>
      <sheetData sheetId="2567"/>
      <sheetData sheetId="2568"/>
      <sheetData sheetId="2569"/>
      <sheetData sheetId="2570"/>
      <sheetData sheetId="2571"/>
      <sheetData sheetId="2572"/>
      <sheetData sheetId="2573"/>
      <sheetData sheetId="2574"/>
      <sheetData sheetId="2575"/>
      <sheetData sheetId="2576"/>
      <sheetData sheetId="2577"/>
      <sheetData sheetId="2578"/>
      <sheetData sheetId="2579"/>
      <sheetData sheetId="2580"/>
      <sheetData sheetId="2581"/>
      <sheetData sheetId="2582"/>
      <sheetData sheetId="2583"/>
      <sheetData sheetId="2584"/>
      <sheetData sheetId="2585"/>
      <sheetData sheetId="2586"/>
      <sheetData sheetId="2587" refreshError="1"/>
      <sheetData sheetId="2588" refreshError="1"/>
      <sheetData sheetId="2589"/>
      <sheetData sheetId="2590" refreshError="1"/>
      <sheetData sheetId="2591" refreshError="1"/>
      <sheetData sheetId="2592" refreshError="1"/>
      <sheetData sheetId="2593" refreshError="1"/>
      <sheetData sheetId="2594" refreshError="1"/>
      <sheetData sheetId="2595" refreshError="1"/>
      <sheetData sheetId="2596"/>
      <sheetData sheetId="2597"/>
      <sheetData sheetId="2598"/>
      <sheetData sheetId="2599"/>
      <sheetData sheetId="2600"/>
      <sheetData sheetId="2601"/>
      <sheetData sheetId="2602"/>
      <sheetData sheetId="2603" refreshError="1"/>
      <sheetData sheetId="2604" refreshError="1"/>
      <sheetData sheetId="2605" refreshError="1"/>
      <sheetData sheetId="2606" refreshError="1"/>
      <sheetData sheetId="2607" refreshError="1"/>
      <sheetData sheetId="2608" refreshError="1"/>
      <sheetData sheetId="2609" refreshError="1"/>
      <sheetData sheetId="2610"/>
      <sheetData sheetId="2611"/>
      <sheetData sheetId="2612"/>
      <sheetData sheetId="2613"/>
      <sheetData sheetId="2614"/>
      <sheetData sheetId="2615"/>
      <sheetData sheetId="2616"/>
      <sheetData sheetId="2617"/>
      <sheetData sheetId="2618"/>
      <sheetData sheetId="2619"/>
      <sheetData sheetId="2620"/>
      <sheetData sheetId="2621"/>
      <sheetData sheetId="2622"/>
      <sheetData sheetId="2623"/>
      <sheetData sheetId="2624"/>
      <sheetData sheetId="2625"/>
      <sheetData sheetId="2626"/>
      <sheetData sheetId="2627"/>
      <sheetData sheetId="2628"/>
      <sheetData sheetId="2629"/>
      <sheetData sheetId="2630"/>
      <sheetData sheetId="2631"/>
      <sheetData sheetId="2632"/>
      <sheetData sheetId="2633"/>
      <sheetData sheetId="2634"/>
      <sheetData sheetId="2635"/>
      <sheetData sheetId="2636"/>
      <sheetData sheetId="2637"/>
      <sheetData sheetId="2638"/>
      <sheetData sheetId="2639"/>
      <sheetData sheetId="2640"/>
      <sheetData sheetId="2641"/>
      <sheetData sheetId="2642"/>
      <sheetData sheetId="2643"/>
      <sheetData sheetId="2644"/>
      <sheetData sheetId="2645"/>
      <sheetData sheetId="2646"/>
      <sheetData sheetId="2647"/>
      <sheetData sheetId="2648"/>
      <sheetData sheetId="2649"/>
      <sheetData sheetId="2650"/>
      <sheetData sheetId="2651"/>
      <sheetData sheetId="2652"/>
      <sheetData sheetId="2653"/>
      <sheetData sheetId="2654"/>
      <sheetData sheetId="2655"/>
      <sheetData sheetId="2656"/>
      <sheetData sheetId="2657"/>
      <sheetData sheetId="2658"/>
      <sheetData sheetId="2659"/>
      <sheetData sheetId="2660"/>
      <sheetData sheetId="2661"/>
      <sheetData sheetId="2662"/>
      <sheetData sheetId="2663"/>
      <sheetData sheetId="2664"/>
      <sheetData sheetId="2665"/>
      <sheetData sheetId="2666"/>
      <sheetData sheetId="2667"/>
      <sheetData sheetId="2668"/>
      <sheetData sheetId="2669"/>
      <sheetData sheetId="2670"/>
      <sheetData sheetId="2671"/>
      <sheetData sheetId="2672"/>
      <sheetData sheetId="2673"/>
      <sheetData sheetId="2674"/>
      <sheetData sheetId="2675"/>
      <sheetData sheetId="2676"/>
      <sheetData sheetId="2677"/>
      <sheetData sheetId="2678"/>
      <sheetData sheetId="2679"/>
      <sheetData sheetId="2680"/>
      <sheetData sheetId="2681"/>
      <sheetData sheetId="2682"/>
      <sheetData sheetId="2683"/>
      <sheetData sheetId="2684"/>
      <sheetData sheetId="2685"/>
      <sheetData sheetId="2686"/>
      <sheetData sheetId="2687"/>
      <sheetData sheetId="2688"/>
      <sheetData sheetId="2689"/>
      <sheetData sheetId="2690"/>
      <sheetData sheetId="2691"/>
      <sheetData sheetId="2692"/>
      <sheetData sheetId="2693"/>
      <sheetData sheetId="2694"/>
      <sheetData sheetId="2695"/>
      <sheetData sheetId="2696"/>
      <sheetData sheetId="2697"/>
      <sheetData sheetId="2698"/>
      <sheetData sheetId="2699"/>
      <sheetData sheetId="2700"/>
      <sheetData sheetId="2701" refreshError="1"/>
      <sheetData sheetId="2702" refreshError="1"/>
      <sheetData sheetId="2703" refreshError="1"/>
      <sheetData sheetId="2704" refreshError="1"/>
      <sheetData sheetId="2705" refreshError="1"/>
      <sheetData sheetId="2706" refreshError="1"/>
      <sheetData sheetId="2707" refreshError="1"/>
      <sheetData sheetId="2708" refreshError="1"/>
      <sheetData sheetId="2709" refreshError="1"/>
      <sheetData sheetId="2710" refreshError="1"/>
      <sheetData sheetId="2711" refreshError="1"/>
      <sheetData sheetId="2712" refreshError="1"/>
      <sheetData sheetId="2713" refreshError="1"/>
      <sheetData sheetId="2714" refreshError="1"/>
      <sheetData sheetId="2715" refreshError="1"/>
      <sheetData sheetId="2716" refreshError="1"/>
      <sheetData sheetId="2717" refreshError="1"/>
      <sheetData sheetId="2718" refreshError="1"/>
      <sheetData sheetId="2719" refreshError="1"/>
      <sheetData sheetId="2720" refreshError="1"/>
      <sheetData sheetId="2721" refreshError="1"/>
      <sheetData sheetId="2722" refreshError="1"/>
      <sheetData sheetId="2723" refreshError="1"/>
      <sheetData sheetId="2724" refreshError="1"/>
      <sheetData sheetId="2725" refreshError="1"/>
      <sheetData sheetId="2726" refreshError="1"/>
      <sheetData sheetId="2727" refreshError="1"/>
      <sheetData sheetId="2728" refreshError="1"/>
      <sheetData sheetId="2729" refreshError="1"/>
      <sheetData sheetId="2730" refreshError="1"/>
      <sheetData sheetId="2731" refreshError="1"/>
      <sheetData sheetId="2732" refreshError="1"/>
      <sheetData sheetId="2733" refreshError="1"/>
      <sheetData sheetId="2734" refreshError="1"/>
      <sheetData sheetId="2735" refreshError="1"/>
      <sheetData sheetId="2736" refreshError="1"/>
      <sheetData sheetId="2737" refreshError="1"/>
      <sheetData sheetId="2738" refreshError="1"/>
      <sheetData sheetId="2739"/>
      <sheetData sheetId="2740" refreshError="1"/>
      <sheetData sheetId="2741" refreshError="1"/>
      <sheetData sheetId="2742" refreshError="1"/>
      <sheetData sheetId="2743" refreshError="1"/>
      <sheetData sheetId="2744" refreshError="1"/>
      <sheetData sheetId="2745" refreshError="1"/>
      <sheetData sheetId="2746" refreshError="1"/>
      <sheetData sheetId="2747" refreshError="1"/>
      <sheetData sheetId="2748" refreshError="1"/>
      <sheetData sheetId="2749" refreshError="1"/>
      <sheetData sheetId="2750"/>
      <sheetData sheetId="2751"/>
      <sheetData sheetId="2752"/>
      <sheetData sheetId="2753"/>
      <sheetData sheetId="2754"/>
      <sheetData sheetId="2755"/>
      <sheetData sheetId="2756"/>
      <sheetData sheetId="2757"/>
      <sheetData sheetId="2758"/>
      <sheetData sheetId="2759" refreshError="1"/>
      <sheetData sheetId="2760"/>
      <sheetData sheetId="2761" refreshError="1"/>
      <sheetData sheetId="2762" refreshError="1"/>
      <sheetData sheetId="2763" refreshError="1"/>
      <sheetData sheetId="2764" refreshError="1"/>
      <sheetData sheetId="2765" refreshError="1"/>
      <sheetData sheetId="2766" refreshError="1"/>
      <sheetData sheetId="2767" refreshError="1"/>
      <sheetData sheetId="2768" refreshError="1"/>
      <sheetData sheetId="2769" refreshError="1"/>
      <sheetData sheetId="2770" refreshError="1"/>
      <sheetData sheetId="2771" refreshError="1"/>
      <sheetData sheetId="2772"/>
      <sheetData sheetId="2773"/>
      <sheetData sheetId="2774"/>
      <sheetData sheetId="2775"/>
      <sheetData sheetId="2776"/>
      <sheetData sheetId="2777"/>
      <sheetData sheetId="2778"/>
      <sheetData sheetId="2779"/>
      <sheetData sheetId="2780"/>
      <sheetData sheetId="2781"/>
      <sheetData sheetId="2782"/>
      <sheetData sheetId="2783"/>
      <sheetData sheetId="2784"/>
      <sheetData sheetId="2785"/>
      <sheetData sheetId="2786"/>
      <sheetData sheetId="2787"/>
      <sheetData sheetId="2788"/>
      <sheetData sheetId="2789"/>
      <sheetData sheetId="2790"/>
      <sheetData sheetId="2791"/>
      <sheetData sheetId="2792"/>
      <sheetData sheetId="2793"/>
      <sheetData sheetId="2794"/>
      <sheetData sheetId="2795"/>
      <sheetData sheetId="2796"/>
      <sheetData sheetId="2797"/>
      <sheetData sheetId="2798"/>
      <sheetData sheetId="2799"/>
      <sheetData sheetId="2800"/>
      <sheetData sheetId="2801"/>
      <sheetData sheetId="2802"/>
      <sheetData sheetId="2803"/>
      <sheetData sheetId="2804"/>
      <sheetData sheetId="2805"/>
      <sheetData sheetId="2806"/>
      <sheetData sheetId="2807"/>
      <sheetData sheetId="2808"/>
      <sheetData sheetId="2809"/>
      <sheetData sheetId="2810"/>
      <sheetData sheetId="2811"/>
      <sheetData sheetId="2812"/>
      <sheetData sheetId="2813"/>
      <sheetData sheetId="2814"/>
      <sheetData sheetId="2815"/>
      <sheetData sheetId="2816"/>
      <sheetData sheetId="2817"/>
      <sheetData sheetId="2818"/>
      <sheetData sheetId="2819"/>
      <sheetData sheetId="2820"/>
      <sheetData sheetId="2821"/>
      <sheetData sheetId="2822"/>
      <sheetData sheetId="2823"/>
      <sheetData sheetId="2824"/>
      <sheetData sheetId="2825"/>
      <sheetData sheetId="2826"/>
      <sheetData sheetId="2827"/>
      <sheetData sheetId="2828"/>
      <sheetData sheetId="2829"/>
      <sheetData sheetId="2830"/>
      <sheetData sheetId="2831"/>
      <sheetData sheetId="2832"/>
      <sheetData sheetId="2833"/>
      <sheetData sheetId="2834"/>
      <sheetData sheetId="2835"/>
      <sheetData sheetId="2836"/>
      <sheetData sheetId="2837"/>
      <sheetData sheetId="2838"/>
      <sheetData sheetId="2839"/>
      <sheetData sheetId="2840"/>
      <sheetData sheetId="2841"/>
      <sheetData sheetId="2842"/>
      <sheetData sheetId="2843"/>
      <sheetData sheetId="2844"/>
      <sheetData sheetId="2845"/>
      <sheetData sheetId="2846"/>
      <sheetData sheetId="2847"/>
      <sheetData sheetId="2848"/>
      <sheetData sheetId="2849"/>
      <sheetData sheetId="2850"/>
      <sheetData sheetId="2851"/>
      <sheetData sheetId="2852"/>
      <sheetData sheetId="2853"/>
      <sheetData sheetId="2854"/>
      <sheetData sheetId="2855"/>
      <sheetData sheetId="2856"/>
      <sheetData sheetId="2857"/>
      <sheetData sheetId="2858"/>
      <sheetData sheetId="2859"/>
      <sheetData sheetId="2860"/>
      <sheetData sheetId="2861"/>
      <sheetData sheetId="2862"/>
      <sheetData sheetId="2863"/>
      <sheetData sheetId="2864"/>
      <sheetData sheetId="2865"/>
      <sheetData sheetId="2866"/>
      <sheetData sheetId="2867"/>
      <sheetData sheetId="2868"/>
      <sheetData sheetId="2869"/>
      <sheetData sheetId="2870"/>
      <sheetData sheetId="2871"/>
      <sheetData sheetId="2872"/>
      <sheetData sheetId="2873"/>
      <sheetData sheetId="2874"/>
      <sheetData sheetId="2875"/>
      <sheetData sheetId="2876"/>
      <sheetData sheetId="2877"/>
      <sheetData sheetId="2878"/>
      <sheetData sheetId="2879"/>
      <sheetData sheetId="2880"/>
      <sheetData sheetId="2881"/>
      <sheetData sheetId="2882" refreshError="1"/>
      <sheetData sheetId="2883" refreshError="1"/>
      <sheetData sheetId="2884" refreshError="1"/>
      <sheetData sheetId="2885" refreshError="1"/>
      <sheetData sheetId="2886" refreshError="1"/>
      <sheetData sheetId="2887"/>
      <sheetData sheetId="2888"/>
      <sheetData sheetId="2889"/>
      <sheetData sheetId="2890"/>
      <sheetData sheetId="2891"/>
      <sheetData sheetId="2892"/>
      <sheetData sheetId="2893"/>
      <sheetData sheetId="2894"/>
      <sheetData sheetId="2895"/>
      <sheetData sheetId="2896"/>
      <sheetData sheetId="2897"/>
      <sheetData sheetId="2898"/>
      <sheetData sheetId="2899"/>
      <sheetData sheetId="2900"/>
      <sheetData sheetId="2901"/>
      <sheetData sheetId="2902"/>
      <sheetData sheetId="2903"/>
      <sheetData sheetId="2904"/>
      <sheetData sheetId="2905"/>
      <sheetData sheetId="2906"/>
      <sheetData sheetId="2907"/>
      <sheetData sheetId="2908"/>
      <sheetData sheetId="2909"/>
      <sheetData sheetId="2910"/>
      <sheetData sheetId="2911"/>
      <sheetData sheetId="2912"/>
      <sheetData sheetId="2913"/>
      <sheetData sheetId="2914"/>
      <sheetData sheetId="2915"/>
      <sheetData sheetId="2916"/>
      <sheetData sheetId="2917"/>
      <sheetData sheetId="2918"/>
      <sheetData sheetId="2919"/>
      <sheetData sheetId="2920"/>
      <sheetData sheetId="2921"/>
      <sheetData sheetId="2922"/>
      <sheetData sheetId="2923"/>
      <sheetData sheetId="2924"/>
      <sheetData sheetId="2925"/>
      <sheetData sheetId="2926"/>
      <sheetData sheetId="2927"/>
      <sheetData sheetId="2928"/>
      <sheetData sheetId="2929"/>
      <sheetData sheetId="2930"/>
      <sheetData sheetId="2931"/>
      <sheetData sheetId="2932"/>
      <sheetData sheetId="2933"/>
      <sheetData sheetId="2934"/>
      <sheetData sheetId="2935"/>
      <sheetData sheetId="2936"/>
      <sheetData sheetId="2937"/>
      <sheetData sheetId="2938"/>
      <sheetData sheetId="2939"/>
      <sheetData sheetId="2940"/>
      <sheetData sheetId="2941"/>
      <sheetData sheetId="2942"/>
      <sheetData sheetId="2943"/>
      <sheetData sheetId="2944"/>
      <sheetData sheetId="2945"/>
      <sheetData sheetId="2946"/>
      <sheetData sheetId="2947"/>
      <sheetData sheetId="2948"/>
      <sheetData sheetId="2949"/>
      <sheetData sheetId="2950"/>
      <sheetData sheetId="2951"/>
      <sheetData sheetId="2952"/>
      <sheetData sheetId="2953"/>
      <sheetData sheetId="2954"/>
      <sheetData sheetId="2955"/>
      <sheetData sheetId="2956"/>
      <sheetData sheetId="2957"/>
      <sheetData sheetId="2958"/>
      <sheetData sheetId="2959"/>
      <sheetData sheetId="2960"/>
      <sheetData sheetId="2961"/>
      <sheetData sheetId="2962"/>
      <sheetData sheetId="2963"/>
      <sheetData sheetId="2964"/>
      <sheetData sheetId="2965"/>
      <sheetData sheetId="2966"/>
      <sheetData sheetId="2967"/>
      <sheetData sheetId="2968"/>
      <sheetData sheetId="2969"/>
      <sheetData sheetId="2970"/>
      <sheetData sheetId="2971"/>
      <sheetData sheetId="2972"/>
      <sheetData sheetId="2973"/>
      <sheetData sheetId="2974"/>
      <sheetData sheetId="2975"/>
      <sheetData sheetId="2976"/>
      <sheetData sheetId="2977"/>
      <sheetData sheetId="2978"/>
      <sheetData sheetId="2979"/>
      <sheetData sheetId="2980"/>
      <sheetData sheetId="2981"/>
      <sheetData sheetId="2982"/>
      <sheetData sheetId="2983"/>
      <sheetData sheetId="2984"/>
      <sheetData sheetId="2985"/>
      <sheetData sheetId="2986"/>
      <sheetData sheetId="2987"/>
      <sheetData sheetId="2988"/>
      <sheetData sheetId="2989"/>
      <sheetData sheetId="2990"/>
      <sheetData sheetId="2991"/>
      <sheetData sheetId="2992"/>
      <sheetData sheetId="2993"/>
      <sheetData sheetId="2994"/>
      <sheetData sheetId="2995"/>
      <sheetData sheetId="2996"/>
      <sheetData sheetId="2997"/>
      <sheetData sheetId="2998"/>
      <sheetData sheetId="2999"/>
      <sheetData sheetId="3000"/>
      <sheetData sheetId="3001"/>
      <sheetData sheetId="3002"/>
      <sheetData sheetId="3003"/>
      <sheetData sheetId="3004"/>
      <sheetData sheetId="3005"/>
      <sheetData sheetId="3006"/>
      <sheetData sheetId="3007"/>
      <sheetData sheetId="3008"/>
      <sheetData sheetId="3009"/>
      <sheetData sheetId="3010"/>
      <sheetData sheetId="3011"/>
      <sheetData sheetId="3012"/>
      <sheetData sheetId="3013"/>
      <sheetData sheetId="3014"/>
      <sheetData sheetId="3015"/>
      <sheetData sheetId="3016"/>
      <sheetData sheetId="3017"/>
      <sheetData sheetId="3018"/>
      <sheetData sheetId="3019"/>
      <sheetData sheetId="3020"/>
      <sheetData sheetId="3021"/>
      <sheetData sheetId="3022"/>
      <sheetData sheetId="3023"/>
      <sheetData sheetId="3024"/>
      <sheetData sheetId="3025"/>
      <sheetData sheetId="3026"/>
      <sheetData sheetId="3027"/>
      <sheetData sheetId="3028"/>
      <sheetData sheetId="3029"/>
      <sheetData sheetId="3030"/>
      <sheetData sheetId="3031" refreshError="1"/>
      <sheetData sheetId="3032" refreshError="1"/>
      <sheetData sheetId="3033" refreshError="1"/>
      <sheetData sheetId="3034" refreshError="1"/>
      <sheetData sheetId="3035" refreshError="1"/>
      <sheetData sheetId="3036" refreshError="1"/>
      <sheetData sheetId="3037" refreshError="1"/>
      <sheetData sheetId="3038"/>
      <sheetData sheetId="3039" refreshError="1"/>
      <sheetData sheetId="3040" refreshError="1"/>
      <sheetData sheetId="3041" refreshError="1"/>
      <sheetData sheetId="3042" refreshError="1"/>
      <sheetData sheetId="3043" refreshError="1"/>
      <sheetData sheetId="3044" refreshError="1"/>
      <sheetData sheetId="3045" refreshError="1"/>
      <sheetData sheetId="3046" refreshError="1"/>
      <sheetData sheetId="3047" refreshError="1"/>
      <sheetData sheetId="3048" refreshError="1"/>
      <sheetData sheetId="3049" refreshError="1"/>
      <sheetData sheetId="3050" refreshError="1"/>
      <sheetData sheetId="3051" refreshError="1"/>
      <sheetData sheetId="3052" refreshError="1"/>
      <sheetData sheetId="3053" refreshError="1"/>
      <sheetData sheetId="3054" refreshError="1"/>
      <sheetData sheetId="3055" refreshError="1"/>
      <sheetData sheetId="3056" refreshError="1"/>
      <sheetData sheetId="3057"/>
      <sheetData sheetId="3058"/>
      <sheetData sheetId="3059" refreshError="1"/>
      <sheetData sheetId="3060" refreshError="1"/>
      <sheetData sheetId="3061" refreshError="1"/>
      <sheetData sheetId="3062" refreshError="1"/>
      <sheetData sheetId="3063" refreshError="1"/>
      <sheetData sheetId="3064" refreshError="1"/>
      <sheetData sheetId="3065" refreshError="1"/>
      <sheetData sheetId="3066" refreshError="1"/>
      <sheetData sheetId="3067" refreshError="1"/>
      <sheetData sheetId="3068" refreshError="1"/>
      <sheetData sheetId="3069"/>
      <sheetData sheetId="3070"/>
      <sheetData sheetId="3071"/>
      <sheetData sheetId="3072"/>
      <sheetData sheetId="3073"/>
      <sheetData sheetId="3074"/>
      <sheetData sheetId="3075"/>
      <sheetData sheetId="3076" refreshError="1"/>
      <sheetData sheetId="3077" refreshError="1"/>
      <sheetData sheetId="3078"/>
      <sheetData sheetId="3079"/>
      <sheetData sheetId="3080"/>
      <sheetData sheetId="3081"/>
      <sheetData sheetId="3082"/>
      <sheetData sheetId="3083" refreshError="1"/>
      <sheetData sheetId="3084" refreshError="1"/>
      <sheetData sheetId="3085" refreshError="1"/>
      <sheetData sheetId="3086" refreshError="1"/>
      <sheetData sheetId="3087" refreshError="1"/>
      <sheetData sheetId="3088" refreshError="1"/>
      <sheetData sheetId="3089" refreshError="1"/>
      <sheetData sheetId="3090" refreshError="1"/>
      <sheetData sheetId="3091" refreshError="1"/>
      <sheetData sheetId="3092" refreshError="1"/>
      <sheetData sheetId="3093" refreshError="1"/>
      <sheetData sheetId="3094" refreshError="1"/>
      <sheetData sheetId="3095" refreshError="1"/>
      <sheetData sheetId="3096" refreshError="1"/>
      <sheetData sheetId="3097" refreshError="1"/>
      <sheetData sheetId="3098" refreshError="1"/>
      <sheetData sheetId="3099" refreshError="1"/>
      <sheetData sheetId="3100" refreshError="1"/>
      <sheetData sheetId="3101" refreshError="1"/>
      <sheetData sheetId="3102" refreshError="1"/>
      <sheetData sheetId="3103" refreshError="1"/>
      <sheetData sheetId="3104" refreshError="1"/>
      <sheetData sheetId="3105" refreshError="1"/>
      <sheetData sheetId="3106" refreshError="1"/>
      <sheetData sheetId="3107" refreshError="1"/>
      <sheetData sheetId="3108" refreshError="1"/>
      <sheetData sheetId="3109" refreshError="1"/>
      <sheetData sheetId="3110" refreshError="1"/>
      <sheetData sheetId="3111" refreshError="1"/>
      <sheetData sheetId="3112" refreshError="1"/>
      <sheetData sheetId="3113" refreshError="1"/>
      <sheetData sheetId="3114" refreshError="1"/>
      <sheetData sheetId="3115" refreshError="1"/>
      <sheetData sheetId="3116" refreshError="1"/>
      <sheetData sheetId="3117" refreshError="1"/>
      <sheetData sheetId="3118" refreshError="1"/>
      <sheetData sheetId="3119" refreshError="1"/>
      <sheetData sheetId="3120" refreshError="1"/>
      <sheetData sheetId="3121" refreshError="1"/>
      <sheetData sheetId="3122" refreshError="1"/>
      <sheetData sheetId="3123" refreshError="1"/>
      <sheetData sheetId="3124"/>
      <sheetData sheetId="3125" refreshError="1"/>
      <sheetData sheetId="3126" refreshError="1"/>
      <sheetData sheetId="3127"/>
      <sheetData sheetId="3128" refreshError="1"/>
      <sheetData sheetId="3129" refreshError="1"/>
      <sheetData sheetId="3130" refreshError="1"/>
      <sheetData sheetId="3131" refreshError="1"/>
      <sheetData sheetId="3132" refreshError="1"/>
      <sheetData sheetId="3133" refreshError="1"/>
      <sheetData sheetId="3134" refreshError="1"/>
      <sheetData sheetId="3135" refreshError="1"/>
      <sheetData sheetId="3136" refreshError="1"/>
      <sheetData sheetId="3137" refreshError="1"/>
      <sheetData sheetId="3138" refreshError="1"/>
      <sheetData sheetId="3139" refreshError="1"/>
      <sheetData sheetId="3140"/>
      <sheetData sheetId="3141" refreshError="1"/>
      <sheetData sheetId="3142" refreshError="1"/>
      <sheetData sheetId="3143" refreshError="1"/>
      <sheetData sheetId="3144" refreshError="1"/>
      <sheetData sheetId="3145" refreshError="1"/>
      <sheetData sheetId="3146" refreshError="1"/>
      <sheetData sheetId="3147" refreshError="1"/>
      <sheetData sheetId="3148" refreshError="1"/>
      <sheetData sheetId="3149" refreshError="1"/>
      <sheetData sheetId="3150"/>
      <sheetData sheetId="3151"/>
      <sheetData sheetId="3152" refreshError="1"/>
      <sheetData sheetId="3153" refreshError="1"/>
      <sheetData sheetId="3154" refreshError="1"/>
      <sheetData sheetId="3155" refreshError="1"/>
      <sheetData sheetId="3156" refreshError="1"/>
      <sheetData sheetId="3157" refreshError="1"/>
      <sheetData sheetId="3158" refreshError="1"/>
      <sheetData sheetId="3159" refreshError="1"/>
      <sheetData sheetId="3160" refreshError="1"/>
      <sheetData sheetId="3161" refreshError="1"/>
      <sheetData sheetId="3162" refreshError="1"/>
      <sheetData sheetId="3163" refreshError="1"/>
      <sheetData sheetId="3164" refreshError="1"/>
      <sheetData sheetId="3165" refreshError="1"/>
      <sheetData sheetId="3166" refreshError="1"/>
      <sheetData sheetId="3167" refreshError="1"/>
      <sheetData sheetId="3168" refreshError="1"/>
      <sheetData sheetId="3169" refreshError="1"/>
      <sheetData sheetId="3170" refreshError="1"/>
      <sheetData sheetId="3171" refreshError="1"/>
      <sheetData sheetId="3172" refreshError="1"/>
      <sheetData sheetId="3173" refreshError="1"/>
      <sheetData sheetId="3174" refreshError="1"/>
      <sheetData sheetId="3175"/>
      <sheetData sheetId="3176"/>
      <sheetData sheetId="3177"/>
      <sheetData sheetId="3178"/>
      <sheetData sheetId="3179"/>
      <sheetData sheetId="3180"/>
      <sheetData sheetId="3181"/>
      <sheetData sheetId="3182"/>
      <sheetData sheetId="3183"/>
      <sheetData sheetId="3184"/>
      <sheetData sheetId="3185"/>
      <sheetData sheetId="3186"/>
      <sheetData sheetId="3187"/>
      <sheetData sheetId="3188"/>
      <sheetData sheetId="3189"/>
      <sheetData sheetId="3190"/>
      <sheetData sheetId="3191"/>
      <sheetData sheetId="3192"/>
      <sheetData sheetId="3193"/>
      <sheetData sheetId="3194"/>
      <sheetData sheetId="3195"/>
      <sheetData sheetId="3196"/>
      <sheetData sheetId="3197"/>
      <sheetData sheetId="3198"/>
      <sheetData sheetId="3199"/>
      <sheetData sheetId="3200"/>
      <sheetData sheetId="3201"/>
      <sheetData sheetId="3202"/>
      <sheetData sheetId="3203"/>
      <sheetData sheetId="3204"/>
      <sheetData sheetId="3205"/>
      <sheetData sheetId="3206"/>
      <sheetData sheetId="3207"/>
      <sheetData sheetId="3208"/>
      <sheetData sheetId="3209"/>
      <sheetData sheetId="3210"/>
      <sheetData sheetId="3211"/>
      <sheetData sheetId="3212"/>
      <sheetData sheetId="3213"/>
      <sheetData sheetId="3214"/>
      <sheetData sheetId="3215"/>
      <sheetData sheetId="3216"/>
      <sheetData sheetId="3217"/>
      <sheetData sheetId="3218"/>
      <sheetData sheetId="3219"/>
      <sheetData sheetId="3220"/>
      <sheetData sheetId="3221"/>
      <sheetData sheetId="3222"/>
      <sheetData sheetId="3223"/>
      <sheetData sheetId="3224"/>
      <sheetData sheetId="3225"/>
      <sheetData sheetId="3226"/>
      <sheetData sheetId="3227"/>
      <sheetData sheetId="3228"/>
      <sheetData sheetId="3229"/>
      <sheetData sheetId="3230"/>
      <sheetData sheetId="3231"/>
      <sheetData sheetId="3232"/>
      <sheetData sheetId="3233"/>
      <sheetData sheetId="3234"/>
      <sheetData sheetId="3235"/>
      <sheetData sheetId="3236"/>
      <sheetData sheetId="3237"/>
      <sheetData sheetId="3238"/>
      <sheetData sheetId="3239"/>
      <sheetData sheetId="3240"/>
      <sheetData sheetId="3241"/>
      <sheetData sheetId="3242"/>
      <sheetData sheetId="3243"/>
      <sheetData sheetId="3244"/>
      <sheetData sheetId="3245"/>
      <sheetData sheetId="3246"/>
      <sheetData sheetId="3247"/>
      <sheetData sheetId="3248"/>
      <sheetData sheetId="3249"/>
      <sheetData sheetId="3250"/>
      <sheetData sheetId="3251"/>
      <sheetData sheetId="3252"/>
      <sheetData sheetId="3253"/>
      <sheetData sheetId="3254"/>
      <sheetData sheetId="3255"/>
      <sheetData sheetId="3256"/>
      <sheetData sheetId="3257"/>
      <sheetData sheetId="3258"/>
      <sheetData sheetId="3259"/>
      <sheetData sheetId="3260"/>
      <sheetData sheetId="3261"/>
      <sheetData sheetId="3262"/>
      <sheetData sheetId="3263"/>
      <sheetData sheetId="3264"/>
      <sheetData sheetId="3265"/>
      <sheetData sheetId="3266"/>
      <sheetData sheetId="3267"/>
      <sheetData sheetId="3268"/>
      <sheetData sheetId="3269"/>
      <sheetData sheetId="3270"/>
      <sheetData sheetId="3271"/>
      <sheetData sheetId="3272"/>
      <sheetData sheetId="3273"/>
      <sheetData sheetId="3274"/>
      <sheetData sheetId="3275"/>
      <sheetData sheetId="3276"/>
      <sheetData sheetId="3277"/>
      <sheetData sheetId="3278"/>
      <sheetData sheetId="3279"/>
      <sheetData sheetId="3280"/>
      <sheetData sheetId="3281"/>
      <sheetData sheetId="3282"/>
      <sheetData sheetId="3283"/>
      <sheetData sheetId="3284"/>
      <sheetData sheetId="3285"/>
      <sheetData sheetId="3286"/>
      <sheetData sheetId="3287"/>
      <sheetData sheetId="3288"/>
      <sheetData sheetId="3289"/>
      <sheetData sheetId="3290"/>
      <sheetData sheetId="3291"/>
      <sheetData sheetId="3292"/>
      <sheetData sheetId="3293"/>
      <sheetData sheetId="3294"/>
      <sheetData sheetId="3295"/>
      <sheetData sheetId="3296"/>
      <sheetData sheetId="3297"/>
      <sheetData sheetId="3298"/>
      <sheetData sheetId="3299"/>
      <sheetData sheetId="3300"/>
      <sheetData sheetId="3301"/>
      <sheetData sheetId="3302"/>
      <sheetData sheetId="3303"/>
      <sheetData sheetId="3304"/>
      <sheetData sheetId="3305"/>
      <sheetData sheetId="3306"/>
      <sheetData sheetId="3307"/>
      <sheetData sheetId="3308"/>
      <sheetData sheetId="3309"/>
      <sheetData sheetId="3310"/>
      <sheetData sheetId="3311"/>
      <sheetData sheetId="3312"/>
      <sheetData sheetId="3313"/>
      <sheetData sheetId="3314"/>
      <sheetData sheetId="3315"/>
      <sheetData sheetId="3316"/>
      <sheetData sheetId="3317"/>
      <sheetData sheetId="3318"/>
      <sheetData sheetId="3319"/>
      <sheetData sheetId="3320"/>
      <sheetData sheetId="3321"/>
      <sheetData sheetId="3322"/>
      <sheetData sheetId="3323"/>
      <sheetData sheetId="3324"/>
      <sheetData sheetId="3325"/>
      <sheetData sheetId="3326"/>
      <sheetData sheetId="3327"/>
      <sheetData sheetId="3328"/>
      <sheetData sheetId="3329"/>
      <sheetData sheetId="3330"/>
      <sheetData sheetId="3331"/>
      <sheetData sheetId="3332"/>
      <sheetData sheetId="3333"/>
      <sheetData sheetId="3334"/>
      <sheetData sheetId="3335"/>
      <sheetData sheetId="3336"/>
      <sheetData sheetId="3337"/>
      <sheetData sheetId="3338"/>
      <sheetData sheetId="3339" refreshError="1"/>
      <sheetData sheetId="3340" refreshError="1"/>
      <sheetData sheetId="3341" refreshError="1"/>
      <sheetData sheetId="3342" refreshError="1"/>
      <sheetData sheetId="3343" refreshError="1"/>
      <sheetData sheetId="3344" refreshError="1"/>
      <sheetData sheetId="3345" refreshError="1"/>
      <sheetData sheetId="3346" refreshError="1"/>
      <sheetData sheetId="3347" refreshError="1"/>
      <sheetData sheetId="3348" refreshError="1"/>
      <sheetData sheetId="3349" refreshError="1"/>
      <sheetData sheetId="3350" refreshError="1"/>
      <sheetData sheetId="3351"/>
      <sheetData sheetId="3352"/>
      <sheetData sheetId="3353"/>
      <sheetData sheetId="3354"/>
      <sheetData sheetId="3355"/>
      <sheetData sheetId="3356"/>
      <sheetData sheetId="3357"/>
      <sheetData sheetId="3358"/>
      <sheetData sheetId="3359"/>
      <sheetData sheetId="3360"/>
      <sheetData sheetId="3361"/>
      <sheetData sheetId="3362"/>
      <sheetData sheetId="3363"/>
      <sheetData sheetId="3364"/>
      <sheetData sheetId="3365"/>
      <sheetData sheetId="3366"/>
      <sheetData sheetId="3367"/>
      <sheetData sheetId="3368"/>
      <sheetData sheetId="3369"/>
      <sheetData sheetId="3370"/>
      <sheetData sheetId="3371"/>
      <sheetData sheetId="3372"/>
      <sheetData sheetId="3373"/>
      <sheetData sheetId="3374"/>
      <sheetData sheetId="3375"/>
      <sheetData sheetId="3376"/>
      <sheetData sheetId="3377"/>
      <sheetData sheetId="3378"/>
      <sheetData sheetId="3379"/>
      <sheetData sheetId="3380"/>
      <sheetData sheetId="3381"/>
      <sheetData sheetId="3382"/>
      <sheetData sheetId="3383"/>
      <sheetData sheetId="3384"/>
      <sheetData sheetId="3385"/>
      <sheetData sheetId="3386"/>
      <sheetData sheetId="3387"/>
      <sheetData sheetId="3388"/>
      <sheetData sheetId="3389"/>
      <sheetData sheetId="3390"/>
      <sheetData sheetId="3391"/>
      <sheetData sheetId="3392"/>
      <sheetData sheetId="3393"/>
      <sheetData sheetId="3394"/>
      <sheetData sheetId="3395"/>
      <sheetData sheetId="3396"/>
      <sheetData sheetId="3397"/>
      <sheetData sheetId="3398"/>
      <sheetData sheetId="3399"/>
      <sheetData sheetId="3400"/>
      <sheetData sheetId="3401"/>
      <sheetData sheetId="3402"/>
      <sheetData sheetId="3403"/>
      <sheetData sheetId="3404"/>
      <sheetData sheetId="3405"/>
      <sheetData sheetId="3406"/>
      <sheetData sheetId="3407"/>
      <sheetData sheetId="3408"/>
      <sheetData sheetId="3409"/>
      <sheetData sheetId="3410"/>
      <sheetData sheetId="3411"/>
      <sheetData sheetId="3412"/>
      <sheetData sheetId="3413"/>
      <sheetData sheetId="3414"/>
      <sheetData sheetId="3415"/>
      <sheetData sheetId="3416"/>
      <sheetData sheetId="3417"/>
      <sheetData sheetId="3418"/>
      <sheetData sheetId="3419"/>
      <sheetData sheetId="3420"/>
      <sheetData sheetId="3421"/>
      <sheetData sheetId="3422"/>
      <sheetData sheetId="3423"/>
      <sheetData sheetId="3424"/>
      <sheetData sheetId="3425"/>
      <sheetData sheetId="3426"/>
      <sheetData sheetId="3427"/>
      <sheetData sheetId="3428"/>
      <sheetData sheetId="3429"/>
      <sheetData sheetId="3430"/>
      <sheetData sheetId="3431"/>
      <sheetData sheetId="3432"/>
      <sheetData sheetId="3433"/>
      <sheetData sheetId="3434"/>
      <sheetData sheetId="3435"/>
      <sheetData sheetId="3436"/>
      <sheetData sheetId="3437"/>
      <sheetData sheetId="3438"/>
      <sheetData sheetId="3439"/>
      <sheetData sheetId="3440"/>
      <sheetData sheetId="3441"/>
      <sheetData sheetId="3442"/>
      <sheetData sheetId="3443"/>
      <sheetData sheetId="3444"/>
      <sheetData sheetId="3445"/>
      <sheetData sheetId="3446"/>
      <sheetData sheetId="3447"/>
      <sheetData sheetId="3448"/>
      <sheetData sheetId="3449"/>
      <sheetData sheetId="3450"/>
      <sheetData sheetId="3451"/>
      <sheetData sheetId="3452"/>
      <sheetData sheetId="3453"/>
      <sheetData sheetId="3454"/>
      <sheetData sheetId="3455"/>
      <sheetData sheetId="3456"/>
      <sheetData sheetId="3457"/>
      <sheetData sheetId="3458"/>
      <sheetData sheetId="3459"/>
      <sheetData sheetId="3460"/>
      <sheetData sheetId="3461"/>
      <sheetData sheetId="3462"/>
      <sheetData sheetId="3463"/>
      <sheetData sheetId="3464"/>
      <sheetData sheetId="3465"/>
      <sheetData sheetId="3466"/>
      <sheetData sheetId="3467"/>
      <sheetData sheetId="3468"/>
      <sheetData sheetId="3469"/>
      <sheetData sheetId="3470"/>
      <sheetData sheetId="3471"/>
      <sheetData sheetId="3472"/>
      <sheetData sheetId="3473"/>
      <sheetData sheetId="3474"/>
      <sheetData sheetId="3475"/>
      <sheetData sheetId="3476"/>
      <sheetData sheetId="3477"/>
      <sheetData sheetId="3478"/>
      <sheetData sheetId="3479"/>
      <sheetData sheetId="3480"/>
      <sheetData sheetId="3481"/>
      <sheetData sheetId="3482"/>
      <sheetData sheetId="3483"/>
      <sheetData sheetId="3484"/>
      <sheetData sheetId="3485"/>
      <sheetData sheetId="3486"/>
      <sheetData sheetId="3487"/>
      <sheetData sheetId="3488"/>
      <sheetData sheetId="3489"/>
      <sheetData sheetId="3490"/>
      <sheetData sheetId="3491"/>
      <sheetData sheetId="3492"/>
      <sheetData sheetId="3493"/>
      <sheetData sheetId="3494"/>
      <sheetData sheetId="3495"/>
      <sheetData sheetId="3496"/>
      <sheetData sheetId="3497"/>
      <sheetData sheetId="3498"/>
      <sheetData sheetId="3499"/>
      <sheetData sheetId="3500"/>
      <sheetData sheetId="3501"/>
      <sheetData sheetId="3502"/>
      <sheetData sheetId="3503"/>
      <sheetData sheetId="3504"/>
      <sheetData sheetId="3505"/>
      <sheetData sheetId="3506"/>
      <sheetData sheetId="3507"/>
      <sheetData sheetId="3508"/>
      <sheetData sheetId="3509"/>
      <sheetData sheetId="3510"/>
      <sheetData sheetId="3511"/>
      <sheetData sheetId="3512"/>
      <sheetData sheetId="3513"/>
      <sheetData sheetId="3514"/>
      <sheetData sheetId="3515"/>
      <sheetData sheetId="3516"/>
      <sheetData sheetId="3517"/>
      <sheetData sheetId="3518"/>
      <sheetData sheetId="3519"/>
      <sheetData sheetId="3520"/>
      <sheetData sheetId="3521"/>
      <sheetData sheetId="3522"/>
      <sheetData sheetId="3523"/>
      <sheetData sheetId="3524"/>
      <sheetData sheetId="3525"/>
      <sheetData sheetId="3526"/>
      <sheetData sheetId="3527"/>
      <sheetData sheetId="3528"/>
      <sheetData sheetId="3529"/>
      <sheetData sheetId="3530"/>
      <sheetData sheetId="3531"/>
      <sheetData sheetId="3532"/>
      <sheetData sheetId="3533"/>
      <sheetData sheetId="3534"/>
      <sheetData sheetId="3535"/>
      <sheetData sheetId="3536"/>
      <sheetData sheetId="3537"/>
      <sheetData sheetId="3538"/>
      <sheetData sheetId="3539"/>
      <sheetData sheetId="3540"/>
      <sheetData sheetId="3541"/>
      <sheetData sheetId="3542"/>
      <sheetData sheetId="3543"/>
      <sheetData sheetId="3544"/>
      <sheetData sheetId="3545"/>
      <sheetData sheetId="3546"/>
      <sheetData sheetId="3547"/>
      <sheetData sheetId="3548"/>
      <sheetData sheetId="3549"/>
      <sheetData sheetId="3550"/>
      <sheetData sheetId="3551"/>
      <sheetData sheetId="3552"/>
      <sheetData sheetId="3553"/>
      <sheetData sheetId="3554"/>
      <sheetData sheetId="3555"/>
      <sheetData sheetId="3556"/>
      <sheetData sheetId="3557"/>
      <sheetData sheetId="3558"/>
      <sheetData sheetId="3559"/>
      <sheetData sheetId="3560"/>
      <sheetData sheetId="3561"/>
      <sheetData sheetId="3562"/>
      <sheetData sheetId="3563"/>
      <sheetData sheetId="3564"/>
      <sheetData sheetId="3565"/>
      <sheetData sheetId="3566"/>
      <sheetData sheetId="3567"/>
      <sheetData sheetId="3568"/>
      <sheetData sheetId="3569"/>
      <sheetData sheetId="3570"/>
      <sheetData sheetId="3571"/>
      <sheetData sheetId="3572"/>
      <sheetData sheetId="3573"/>
      <sheetData sheetId="3574"/>
      <sheetData sheetId="3575"/>
      <sheetData sheetId="3576"/>
      <sheetData sheetId="3577"/>
      <sheetData sheetId="3578"/>
      <sheetData sheetId="3579"/>
      <sheetData sheetId="3580"/>
      <sheetData sheetId="3581"/>
      <sheetData sheetId="3582"/>
      <sheetData sheetId="3583"/>
      <sheetData sheetId="3584"/>
      <sheetData sheetId="3585"/>
      <sheetData sheetId="3586"/>
      <sheetData sheetId="3587"/>
      <sheetData sheetId="3588"/>
      <sheetData sheetId="3589"/>
      <sheetData sheetId="3590"/>
      <sheetData sheetId="3591"/>
      <sheetData sheetId="3592"/>
      <sheetData sheetId="3593"/>
      <sheetData sheetId="3594"/>
      <sheetData sheetId="3595" refreshError="1"/>
      <sheetData sheetId="3596" refreshError="1"/>
      <sheetData sheetId="3597" refreshError="1"/>
      <sheetData sheetId="3598" refreshError="1"/>
      <sheetData sheetId="3599" refreshError="1"/>
      <sheetData sheetId="3600" refreshError="1"/>
      <sheetData sheetId="3601" refreshError="1"/>
      <sheetData sheetId="3602" refreshError="1"/>
      <sheetData sheetId="3603" refreshError="1"/>
      <sheetData sheetId="3604" refreshError="1"/>
      <sheetData sheetId="3605"/>
      <sheetData sheetId="3606"/>
      <sheetData sheetId="3607"/>
      <sheetData sheetId="3608"/>
      <sheetData sheetId="3609" refreshError="1"/>
      <sheetData sheetId="3610" refreshError="1"/>
      <sheetData sheetId="3611" refreshError="1"/>
      <sheetData sheetId="3612" refreshError="1"/>
      <sheetData sheetId="3613" refreshError="1"/>
      <sheetData sheetId="3614" refreshError="1"/>
      <sheetData sheetId="3615" refreshError="1"/>
      <sheetData sheetId="3616" refreshError="1"/>
      <sheetData sheetId="3617" refreshError="1"/>
      <sheetData sheetId="3618" refreshError="1"/>
      <sheetData sheetId="3619" refreshError="1"/>
      <sheetData sheetId="3620" refreshError="1"/>
      <sheetData sheetId="3621"/>
      <sheetData sheetId="3622" refreshError="1"/>
      <sheetData sheetId="3623" refreshError="1"/>
      <sheetData sheetId="3624" refreshError="1"/>
      <sheetData sheetId="3625" refreshError="1"/>
      <sheetData sheetId="3626" refreshError="1"/>
      <sheetData sheetId="3627" refreshError="1"/>
      <sheetData sheetId="3628" refreshError="1"/>
      <sheetData sheetId="3629" refreshError="1"/>
      <sheetData sheetId="3630" refreshError="1"/>
      <sheetData sheetId="3631" refreshError="1"/>
      <sheetData sheetId="3632" refreshError="1"/>
      <sheetData sheetId="3633" refreshError="1"/>
      <sheetData sheetId="3634" refreshError="1"/>
      <sheetData sheetId="3635" refreshError="1"/>
      <sheetData sheetId="3636" refreshError="1"/>
      <sheetData sheetId="3637"/>
      <sheetData sheetId="3638"/>
      <sheetData sheetId="3639"/>
      <sheetData sheetId="3640"/>
      <sheetData sheetId="3641"/>
      <sheetData sheetId="3642"/>
      <sheetData sheetId="3643"/>
      <sheetData sheetId="3644"/>
      <sheetData sheetId="3645"/>
      <sheetData sheetId="3646"/>
      <sheetData sheetId="3647"/>
      <sheetData sheetId="3648"/>
      <sheetData sheetId="3649"/>
      <sheetData sheetId="3650"/>
      <sheetData sheetId="3651"/>
      <sheetData sheetId="3652"/>
      <sheetData sheetId="3653"/>
      <sheetData sheetId="3654"/>
      <sheetData sheetId="3655"/>
      <sheetData sheetId="3656"/>
      <sheetData sheetId="3657"/>
      <sheetData sheetId="3658"/>
      <sheetData sheetId="3659"/>
      <sheetData sheetId="3660"/>
      <sheetData sheetId="3661"/>
      <sheetData sheetId="3662"/>
      <sheetData sheetId="3663"/>
      <sheetData sheetId="3664"/>
      <sheetData sheetId="3665"/>
      <sheetData sheetId="3666"/>
      <sheetData sheetId="3667"/>
      <sheetData sheetId="3668"/>
      <sheetData sheetId="3669"/>
      <sheetData sheetId="3670"/>
      <sheetData sheetId="3671"/>
      <sheetData sheetId="3672"/>
      <sheetData sheetId="3673"/>
      <sheetData sheetId="3674"/>
      <sheetData sheetId="3675"/>
      <sheetData sheetId="3676"/>
      <sheetData sheetId="3677"/>
      <sheetData sheetId="3678"/>
      <sheetData sheetId="3679"/>
      <sheetData sheetId="3680"/>
      <sheetData sheetId="3681"/>
      <sheetData sheetId="3682"/>
      <sheetData sheetId="3683"/>
      <sheetData sheetId="3684"/>
      <sheetData sheetId="3685"/>
      <sheetData sheetId="3686"/>
      <sheetData sheetId="3687"/>
      <sheetData sheetId="3688"/>
      <sheetData sheetId="3689"/>
      <sheetData sheetId="3690"/>
      <sheetData sheetId="3691"/>
      <sheetData sheetId="3692"/>
      <sheetData sheetId="3693"/>
      <sheetData sheetId="3694"/>
      <sheetData sheetId="3695"/>
      <sheetData sheetId="3696"/>
      <sheetData sheetId="3697"/>
      <sheetData sheetId="3698"/>
      <sheetData sheetId="3699"/>
      <sheetData sheetId="3700"/>
      <sheetData sheetId="3701"/>
      <sheetData sheetId="3702"/>
      <sheetData sheetId="3703"/>
      <sheetData sheetId="3704"/>
      <sheetData sheetId="3705"/>
      <sheetData sheetId="3706"/>
      <sheetData sheetId="3707"/>
      <sheetData sheetId="3708"/>
      <sheetData sheetId="3709"/>
      <sheetData sheetId="3710"/>
      <sheetData sheetId="3711"/>
      <sheetData sheetId="3712"/>
      <sheetData sheetId="3713"/>
      <sheetData sheetId="3714"/>
      <sheetData sheetId="3715"/>
      <sheetData sheetId="3716"/>
      <sheetData sheetId="3717"/>
      <sheetData sheetId="3718"/>
      <sheetData sheetId="3719"/>
      <sheetData sheetId="3720"/>
      <sheetData sheetId="3721"/>
      <sheetData sheetId="3722"/>
      <sheetData sheetId="3723"/>
      <sheetData sheetId="3724"/>
      <sheetData sheetId="3725"/>
      <sheetData sheetId="3726"/>
      <sheetData sheetId="3727"/>
      <sheetData sheetId="3728"/>
      <sheetData sheetId="3729"/>
      <sheetData sheetId="3730"/>
      <sheetData sheetId="3731"/>
      <sheetData sheetId="3732"/>
      <sheetData sheetId="3733"/>
      <sheetData sheetId="3734"/>
      <sheetData sheetId="3735"/>
      <sheetData sheetId="3736"/>
      <sheetData sheetId="3737"/>
      <sheetData sheetId="3738"/>
      <sheetData sheetId="3739"/>
      <sheetData sheetId="3740"/>
      <sheetData sheetId="3741"/>
      <sheetData sheetId="3742"/>
      <sheetData sheetId="3743"/>
      <sheetData sheetId="3744"/>
      <sheetData sheetId="3745"/>
      <sheetData sheetId="3746"/>
      <sheetData sheetId="3747"/>
      <sheetData sheetId="3748"/>
      <sheetData sheetId="3749"/>
      <sheetData sheetId="3750"/>
      <sheetData sheetId="3751"/>
      <sheetData sheetId="3752"/>
      <sheetData sheetId="3753"/>
      <sheetData sheetId="3754"/>
      <sheetData sheetId="3755"/>
      <sheetData sheetId="3756"/>
      <sheetData sheetId="3757"/>
      <sheetData sheetId="3758"/>
      <sheetData sheetId="3759"/>
      <sheetData sheetId="3760"/>
      <sheetData sheetId="3761"/>
      <sheetData sheetId="3762"/>
      <sheetData sheetId="3763"/>
      <sheetData sheetId="3764"/>
      <sheetData sheetId="3765"/>
      <sheetData sheetId="3766"/>
      <sheetData sheetId="3767"/>
      <sheetData sheetId="3768"/>
      <sheetData sheetId="3769"/>
      <sheetData sheetId="3770"/>
      <sheetData sheetId="3771"/>
      <sheetData sheetId="3772"/>
      <sheetData sheetId="3773"/>
      <sheetData sheetId="3774"/>
      <sheetData sheetId="3775"/>
      <sheetData sheetId="3776"/>
      <sheetData sheetId="3777"/>
      <sheetData sheetId="3778"/>
      <sheetData sheetId="3779"/>
      <sheetData sheetId="3780"/>
      <sheetData sheetId="3781"/>
      <sheetData sheetId="3782"/>
      <sheetData sheetId="3783"/>
      <sheetData sheetId="3784"/>
      <sheetData sheetId="3785"/>
      <sheetData sheetId="3786"/>
      <sheetData sheetId="3787"/>
      <sheetData sheetId="3788"/>
      <sheetData sheetId="3789"/>
      <sheetData sheetId="3790"/>
      <sheetData sheetId="3791"/>
      <sheetData sheetId="3792"/>
      <sheetData sheetId="3793"/>
      <sheetData sheetId="3794"/>
      <sheetData sheetId="3795"/>
      <sheetData sheetId="3796"/>
      <sheetData sheetId="3797"/>
      <sheetData sheetId="3798"/>
      <sheetData sheetId="3799"/>
      <sheetData sheetId="3800"/>
      <sheetData sheetId="3801"/>
      <sheetData sheetId="3802"/>
      <sheetData sheetId="3803"/>
      <sheetData sheetId="3804"/>
      <sheetData sheetId="3805"/>
      <sheetData sheetId="3806"/>
      <sheetData sheetId="3807"/>
      <sheetData sheetId="3808"/>
      <sheetData sheetId="3809"/>
      <sheetData sheetId="3810"/>
      <sheetData sheetId="3811"/>
      <sheetData sheetId="3812"/>
      <sheetData sheetId="3813"/>
      <sheetData sheetId="3814"/>
      <sheetData sheetId="3815"/>
      <sheetData sheetId="3816"/>
      <sheetData sheetId="3817"/>
      <sheetData sheetId="3818"/>
      <sheetData sheetId="3819"/>
      <sheetData sheetId="3820"/>
      <sheetData sheetId="3821"/>
      <sheetData sheetId="3822"/>
      <sheetData sheetId="3823"/>
      <sheetData sheetId="3824"/>
      <sheetData sheetId="3825"/>
      <sheetData sheetId="3826"/>
      <sheetData sheetId="3827"/>
      <sheetData sheetId="3828"/>
      <sheetData sheetId="3829"/>
      <sheetData sheetId="3830"/>
      <sheetData sheetId="3831"/>
      <sheetData sheetId="3832"/>
      <sheetData sheetId="3833"/>
      <sheetData sheetId="3834"/>
      <sheetData sheetId="3835"/>
      <sheetData sheetId="3836"/>
      <sheetData sheetId="3837"/>
      <sheetData sheetId="3838"/>
      <sheetData sheetId="3839"/>
      <sheetData sheetId="3840"/>
      <sheetData sheetId="3841"/>
      <sheetData sheetId="3842"/>
      <sheetData sheetId="3843"/>
      <sheetData sheetId="3844"/>
      <sheetData sheetId="3845"/>
      <sheetData sheetId="3846"/>
      <sheetData sheetId="3847"/>
      <sheetData sheetId="3848"/>
      <sheetData sheetId="3849"/>
      <sheetData sheetId="3850"/>
      <sheetData sheetId="3851"/>
      <sheetData sheetId="3852"/>
      <sheetData sheetId="3853"/>
      <sheetData sheetId="3854"/>
      <sheetData sheetId="3855"/>
      <sheetData sheetId="3856"/>
      <sheetData sheetId="3857"/>
      <sheetData sheetId="3858"/>
      <sheetData sheetId="3859"/>
      <sheetData sheetId="3860"/>
      <sheetData sheetId="3861"/>
      <sheetData sheetId="3862"/>
      <sheetData sheetId="3863"/>
      <sheetData sheetId="3864"/>
      <sheetData sheetId="3865"/>
      <sheetData sheetId="3866"/>
      <sheetData sheetId="3867"/>
      <sheetData sheetId="3868"/>
      <sheetData sheetId="3869"/>
      <sheetData sheetId="3870"/>
      <sheetData sheetId="3871"/>
      <sheetData sheetId="3872"/>
      <sheetData sheetId="3873"/>
      <sheetData sheetId="3874"/>
      <sheetData sheetId="3875"/>
      <sheetData sheetId="3876"/>
      <sheetData sheetId="3877"/>
      <sheetData sheetId="3878"/>
      <sheetData sheetId="3879"/>
      <sheetData sheetId="3880"/>
      <sheetData sheetId="3881"/>
      <sheetData sheetId="3882"/>
      <sheetData sheetId="3883"/>
      <sheetData sheetId="3884"/>
      <sheetData sheetId="3885"/>
      <sheetData sheetId="3886"/>
      <sheetData sheetId="3887"/>
      <sheetData sheetId="3888"/>
      <sheetData sheetId="3889"/>
      <sheetData sheetId="3890"/>
      <sheetData sheetId="3891"/>
      <sheetData sheetId="3892"/>
      <sheetData sheetId="3893"/>
      <sheetData sheetId="3894"/>
      <sheetData sheetId="3895"/>
      <sheetData sheetId="3896"/>
      <sheetData sheetId="3897"/>
      <sheetData sheetId="3898"/>
      <sheetData sheetId="3899"/>
      <sheetData sheetId="3900"/>
      <sheetData sheetId="3901"/>
      <sheetData sheetId="3902"/>
      <sheetData sheetId="3903"/>
      <sheetData sheetId="3904"/>
      <sheetData sheetId="3905"/>
      <sheetData sheetId="3906"/>
      <sheetData sheetId="3907"/>
      <sheetData sheetId="3908"/>
      <sheetData sheetId="3909"/>
      <sheetData sheetId="3910"/>
      <sheetData sheetId="3911"/>
      <sheetData sheetId="3912"/>
      <sheetData sheetId="3913"/>
      <sheetData sheetId="3914"/>
      <sheetData sheetId="3915"/>
      <sheetData sheetId="3916"/>
      <sheetData sheetId="3917"/>
      <sheetData sheetId="3918"/>
      <sheetData sheetId="3919"/>
      <sheetData sheetId="3920"/>
      <sheetData sheetId="3921"/>
      <sheetData sheetId="3922"/>
      <sheetData sheetId="3923"/>
      <sheetData sheetId="3924"/>
      <sheetData sheetId="3925"/>
      <sheetData sheetId="3926"/>
      <sheetData sheetId="3927"/>
      <sheetData sheetId="3928"/>
      <sheetData sheetId="3929"/>
      <sheetData sheetId="3930"/>
      <sheetData sheetId="3931"/>
      <sheetData sheetId="3932"/>
      <sheetData sheetId="3933"/>
      <sheetData sheetId="3934"/>
      <sheetData sheetId="3935"/>
      <sheetData sheetId="3936"/>
      <sheetData sheetId="3937"/>
      <sheetData sheetId="3938"/>
      <sheetData sheetId="3939"/>
      <sheetData sheetId="3940"/>
      <sheetData sheetId="3941"/>
      <sheetData sheetId="3942"/>
      <sheetData sheetId="3943"/>
      <sheetData sheetId="3944"/>
      <sheetData sheetId="3945"/>
      <sheetData sheetId="3946"/>
      <sheetData sheetId="3947"/>
      <sheetData sheetId="3948"/>
      <sheetData sheetId="3949"/>
      <sheetData sheetId="3950"/>
      <sheetData sheetId="3951"/>
      <sheetData sheetId="3952"/>
      <sheetData sheetId="3953"/>
      <sheetData sheetId="3954"/>
      <sheetData sheetId="3955"/>
      <sheetData sheetId="3956"/>
      <sheetData sheetId="3957"/>
      <sheetData sheetId="3958"/>
      <sheetData sheetId="3959"/>
      <sheetData sheetId="3960"/>
      <sheetData sheetId="3961"/>
      <sheetData sheetId="3962"/>
      <sheetData sheetId="3963"/>
      <sheetData sheetId="3964"/>
      <sheetData sheetId="3965"/>
      <sheetData sheetId="3966"/>
      <sheetData sheetId="3967"/>
      <sheetData sheetId="3968"/>
      <sheetData sheetId="3969"/>
      <sheetData sheetId="3970"/>
      <sheetData sheetId="3971"/>
      <sheetData sheetId="3972"/>
      <sheetData sheetId="3973"/>
      <sheetData sheetId="3974"/>
      <sheetData sheetId="3975"/>
      <sheetData sheetId="3976"/>
      <sheetData sheetId="3977"/>
      <sheetData sheetId="3978"/>
      <sheetData sheetId="3979"/>
      <sheetData sheetId="3980"/>
      <sheetData sheetId="3981"/>
      <sheetData sheetId="3982"/>
      <sheetData sheetId="3983"/>
      <sheetData sheetId="3984"/>
      <sheetData sheetId="3985"/>
      <sheetData sheetId="3986"/>
      <sheetData sheetId="3987"/>
      <sheetData sheetId="3988"/>
      <sheetData sheetId="3989"/>
      <sheetData sheetId="3990"/>
      <sheetData sheetId="3991"/>
      <sheetData sheetId="3992"/>
      <sheetData sheetId="3993"/>
      <sheetData sheetId="3994"/>
      <sheetData sheetId="3995"/>
      <sheetData sheetId="3996"/>
      <sheetData sheetId="3997"/>
      <sheetData sheetId="3998"/>
      <sheetData sheetId="3999"/>
      <sheetData sheetId="4000"/>
      <sheetData sheetId="4001"/>
      <sheetData sheetId="4002"/>
      <sheetData sheetId="4003"/>
      <sheetData sheetId="4004"/>
      <sheetData sheetId="4005"/>
      <sheetData sheetId="4006"/>
      <sheetData sheetId="4007"/>
      <sheetData sheetId="4008"/>
      <sheetData sheetId="4009"/>
      <sheetData sheetId="4010"/>
      <sheetData sheetId="4011"/>
      <sheetData sheetId="4012"/>
      <sheetData sheetId="4013"/>
      <sheetData sheetId="4014"/>
      <sheetData sheetId="4015"/>
      <sheetData sheetId="4016"/>
      <sheetData sheetId="4017"/>
      <sheetData sheetId="4018"/>
      <sheetData sheetId="4019"/>
      <sheetData sheetId="4020"/>
      <sheetData sheetId="4021"/>
      <sheetData sheetId="4022"/>
      <sheetData sheetId="4023"/>
      <sheetData sheetId="4024"/>
      <sheetData sheetId="4025"/>
      <sheetData sheetId="4026"/>
      <sheetData sheetId="4027"/>
      <sheetData sheetId="4028"/>
      <sheetData sheetId="4029"/>
      <sheetData sheetId="4030"/>
      <sheetData sheetId="4031"/>
      <sheetData sheetId="4032"/>
      <sheetData sheetId="4033"/>
      <sheetData sheetId="4034"/>
      <sheetData sheetId="4035"/>
      <sheetData sheetId="4036"/>
      <sheetData sheetId="4037"/>
      <sheetData sheetId="4038"/>
      <sheetData sheetId="4039"/>
      <sheetData sheetId="4040"/>
      <sheetData sheetId="4041"/>
      <sheetData sheetId="4042"/>
      <sheetData sheetId="4043"/>
      <sheetData sheetId="4044"/>
      <sheetData sheetId="4045"/>
      <sheetData sheetId="4046"/>
      <sheetData sheetId="4047"/>
      <sheetData sheetId="4048"/>
      <sheetData sheetId="4049"/>
      <sheetData sheetId="4050"/>
      <sheetData sheetId="4051"/>
      <sheetData sheetId="4052"/>
      <sheetData sheetId="4053"/>
      <sheetData sheetId="4054"/>
      <sheetData sheetId="4055"/>
      <sheetData sheetId="4056"/>
      <sheetData sheetId="4057"/>
      <sheetData sheetId="4058"/>
      <sheetData sheetId="4059"/>
      <sheetData sheetId="4060"/>
      <sheetData sheetId="4061"/>
      <sheetData sheetId="4062"/>
      <sheetData sheetId="4063"/>
      <sheetData sheetId="4064"/>
      <sheetData sheetId="4065"/>
      <sheetData sheetId="4066"/>
      <sheetData sheetId="4067"/>
      <sheetData sheetId="4068"/>
      <sheetData sheetId="4069"/>
      <sheetData sheetId="4070"/>
      <sheetData sheetId="4071"/>
      <sheetData sheetId="4072"/>
      <sheetData sheetId="4073"/>
      <sheetData sheetId="4074"/>
      <sheetData sheetId="4075"/>
      <sheetData sheetId="4076"/>
      <sheetData sheetId="4077"/>
      <sheetData sheetId="4078"/>
      <sheetData sheetId="4079"/>
      <sheetData sheetId="4080"/>
      <sheetData sheetId="4081"/>
      <sheetData sheetId="4082"/>
      <sheetData sheetId="4083"/>
      <sheetData sheetId="4084"/>
      <sheetData sheetId="4085"/>
      <sheetData sheetId="4086"/>
      <sheetData sheetId="4087"/>
      <sheetData sheetId="4088"/>
      <sheetData sheetId="4089"/>
      <sheetData sheetId="4090"/>
      <sheetData sheetId="4091"/>
      <sheetData sheetId="4092"/>
      <sheetData sheetId="4093"/>
      <sheetData sheetId="4094"/>
      <sheetData sheetId="4095"/>
      <sheetData sheetId="4096"/>
      <sheetData sheetId="4097"/>
      <sheetData sheetId="4098"/>
      <sheetData sheetId="4099"/>
      <sheetData sheetId="4100"/>
      <sheetData sheetId="4101"/>
      <sheetData sheetId="4102"/>
      <sheetData sheetId="4103"/>
      <sheetData sheetId="4104"/>
      <sheetData sheetId="4105"/>
      <sheetData sheetId="4106"/>
      <sheetData sheetId="4107"/>
      <sheetData sheetId="4108"/>
      <sheetData sheetId="4109"/>
      <sheetData sheetId="4110"/>
      <sheetData sheetId="4111"/>
      <sheetData sheetId="4112"/>
      <sheetData sheetId="4113"/>
      <sheetData sheetId="4114"/>
      <sheetData sheetId="4115"/>
      <sheetData sheetId="4116"/>
      <sheetData sheetId="4117"/>
      <sheetData sheetId="4118"/>
      <sheetData sheetId="4119"/>
      <sheetData sheetId="4120"/>
      <sheetData sheetId="4121"/>
      <sheetData sheetId="4122"/>
      <sheetData sheetId="4123"/>
      <sheetData sheetId="4124"/>
      <sheetData sheetId="4125"/>
      <sheetData sheetId="4126"/>
      <sheetData sheetId="4127"/>
      <sheetData sheetId="4128"/>
      <sheetData sheetId="4129"/>
      <sheetData sheetId="4130"/>
      <sheetData sheetId="4131"/>
      <sheetData sheetId="4132"/>
      <sheetData sheetId="4133"/>
      <sheetData sheetId="4134"/>
      <sheetData sheetId="4135"/>
      <sheetData sheetId="4136"/>
      <sheetData sheetId="4137"/>
      <sheetData sheetId="4138"/>
      <sheetData sheetId="4139"/>
      <sheetData sheetId="4140"/>
      <sheetData sheetId="4141"/>
      <sheetData sheetId="4142"/>
      <sheetData sheetId="4143"/>
      <sheetData sheetId="4144"/>
      <sheetData sheetId="4145"/>
      <sheetData sheetId="4146"/>
      <sheetData sheetId="4147"/>
      <sheetData sheetId="4148"/>
      <sheetData sheetId="4149"/>
      <sheetData sheetId="4150"/>
      <sheetData sheetId="4151"/>
      <sheetData sheetId="4152"/>
      <sheetData sheetId="4153"/>
      <sheetData sheetId="4154"/>
      <sheetData sheetId="4155"/>
      <sheetData sheetId="4156"/>
      <sheetData sheetId="4157"/>
      <sheetData sheetId="4158"/>
      <sheetData sheetId="4159"/>
      <sheetData sheetId="4160"/>
      <sheetData sheetId="4161"/>
      <sheetData sheetId="4162"/>
      <sheetData sheetId="4163"/>
      <sheetData sheetId="4164"/>
      <sheetData sheetId="4165"/>
      <sheetData sheetId="4166"/>
      <sheetData sheetId="4167"/>
      <sheetData sheetId="4168"/>
      <sheetData sheetId="4169"/>
      <sheetData sheetId="4170"/>
      <sheetData sheetId="4171"/>
      <sheetData sheetId="4172"/>
      <sheetData sheetId="4173"/>
      <sheetData sheetId="4174"/>
      <sheetData sheetId="4175"/>
      <sheetData sheetId="4176"/>
      <sheetData sheetId="4177"/>
      <sheetData sheetId="4178"/>
      <sheetData sheetId="4179"/>
      <sheetData sheetId="4180"/>
      <sheetData sheetId="4181"/>
      <sheetData sheetId="4182"/>
      <sheetData sheetId="4183"/>
      <sheetData sheetId="4184"/>
      <sheetData sheetId="4185"/>
      <sheetData sheetId="4186"/>
      <sheetData sheetId="4187"/>
      <sheetData sheetId="4188"/>
      <sheetData sheetId="4189"/>
      <sheetData sheetId="4190" refreshError="1"/>
      <sheetData sheetId="4191" refreshError="1"/>
      <sheetData sheetId="4192" refreshError="1"/>
      <sheetData sheetId="4193" refreshError="1"/>
      <sheetData sheetId="4194" refreshError="1"/>
      <sheetData sheetId="4195" refreshError="1"/>
      <sheetData sheetId="4196" refreshError="1"/>
      <sheetData sheetId="4197" refreshError="1"/>
      <sheetData sheetId="4198" refreshError="1"/>
      <sheetData sheetId="4199" refreshError="1"/>
      <sheetData sheetId="4200" refreshError="1"/>
      <sheetData sheetId="4201" refreshError="1"/>
      <sheetData sheetId="4202" refreshError="1"/>
      <sheetData sheetId="4203" refreshError="1"/>
      <sheetData sheetId="4204" refreshError="1"/>
      <sheetData sheetId="4205" refreshError="1"/>
      <sheetData sheetId="4206" refreshError="1"/>
      <sheetData sheetId="4207" refreshError="1"/>
      <sheetData sheetId="4208" refreshError="1"/>
      <sheetData sheetId="4209" refreshError="1"/>
      <sheetData sheetId="4210" refreshError="1"/>
      <sheetData sheetId="4211"/>
      <sheetData sheetId="4212"/>
      <sheetData sheetId="4213"/>
      <sheetData sheetId="4214"/>
      <sheetData sheetId="4215"/>
      <sheetData sheetId="4216"/>
      <sheetData sheetId="4217"/>
      <sheetData sheetId="4218"/>
      <sheetData sheetId="4219"/>
      <sheetData sheetId="4220"/>
      <sheetData sheetId="4221"/>
      <sheetData sheetId="4222"/>
      <sheetData sheetId="4223"/>
      <sheetData sheetId="4224"/>
      <sheetData sheetId="4225"/>
      <sheetData sheetId="4226"/>
      <sheetData sheetId="4227"/>
      <sheetData sheetId="4228"/>
      <sheetData sheetId="4229" refreshError="1"/>
      <sheetData sheetId="4230" refreshError="1"/>
      <sheetData sheetId="4231" refreshError="1"/>
      <sheetData sheetId="4232" refreshError="1"/>
      <sheetData sheetId="4233" refreshError="1"/>
      <sheetData sheetId="4234" refreshError="1"/>
      <sheetData sheetId="4235" refreshError="1"/>
      <sheetData sheetId="4236" refreshError="1"/>
      <sheetData sheetId="4237" refreshError="1"/>
      <sheetData sheetId="4238" refreshError="1"/>
      <sheetData sheetId="4239" refreshError="1"/>
      <sheetData sheetId="4240" refreshError="1"/>
      <sheetData sheetId="4241" refreshError="1"/>
      <sheetData sheetId="4242" refreshError="1"/>
      <sheetData sheetId="4243" refreshError="1"/>
      <sheetData sheetId="4244" refreshError="1"/>
      <sheetData sheetId="4245" refreshError="1"/>
      <sheetData sheetId="4246" refreshError="1"/>
      <sheetData sheetId="4247"/>
      <sheetData sheetId="4248" refreshError="1"/>
      <sheetData sheetId="4249" refreshError="1"/>
      <sheetData sheetId="4250" refreshError="1"/>
      <sheetData sheetId="4251" refreshError="1"/>
      <sheetData sheetId="4252" refreshError="1"/>
      <sheetData sheetId="4253" refreshError="1"/>
      <sheetData sheetId="4254" refreshError="1"/>
      <sheetData sheetId="4255" refreshError="1"/>
      <sheetData sheetId="4256" refreshError="1"/>
      <sheetData sheetId="4257" refreshError="1"/>
      <sheetData sheetId="4258"/>
      <sheetData sheetId="4259" refreshError="1"/>
      <sheetData sheetId="4260" refreshError="1"/>
      <sheetData sheetId="4261" refreshError="1"/>
      <sheetData sheetId="4262" refreshError="1"/>
      <sheetData sheetId="4263" refreshError="1"/>
      <sheetData sheetId="4264" refreshError="1"/>
      <sheetData sheetId="4265" refreshError="1"/>
      <sheetData sheetId="4266" refreshError="1"/>
      <sheetData sheetId="4267"/>
      <sheetData sheetId="4268"/>
      <sheetData sheetId="4269"/>
      <sheetData sheetId="4270"/>
      <sheetData sheetId="4271"/>
      <sheetData sheetId="4272"/>
      <sheetData sheetId="4273"/>
      <sheetData sheetId="4274"/>
      <sheetData sheetId="4275"/>
      <sheetData sheetId="4276"/>
      <sheetData sheetId="4277" refreshError="1"/>
      <sheetData sheetId="4278" refreshError="1"/>
      <sheetData sheetId="4279" refreshError="1"/>
      <sheetData sheetId="4280" refreshError="1"/>
      <sheetData sheetId="4281" refreshError="1"/>
      <sheetData sheetId="4282" refreshError="1"/>
      <sheetData sheetId="4283" refreshError="1"/>
      <sheetData sheetId="4284" refreshError="1"/>
      <sheetData sheetId="4285" refreshError="1"/>
      <sheetData sheetId="4286" refreshError="1"/>
      <sheetData sheetId="4287" refreshError="1"/>
      <sheetData sheetId="4288"/>
      <sheetData sheetId="4289"/>
      <sheetData sheetId="4290"/>
      <sheetData sheetId="4291" refreshError="1"/>
      <sheetData sheetId="4292" refreshError="1"/>
      <sheetData sheetId="4293"/>
      <sheetData sheetId="4294"/>
      <sheetData sheetId="4295"/>
      <sheetData sheetId="4296"/>
      <sheetData sheetId="4297"/>
      <sheetData sheetId="4298"/>
      <sheetData sheetId="4299"/>
      <sheetData sheetId="4300"/>
      <sheetData sheetId="4301"/>
      <sheetData sheetId="4302"/>
      <sheetData sheetId="4303"/>
      <sheetData sheetId="4304"/>
      <sheetData sheetId="4305"/>
      <sheetData sheetId="4306"/>
      <sheetData sheetId="4307"/>
      <sheetData sheetId="4308"/>
      <sheetData sheetId="4309"/>
      <sheetData sheetId="4310"/>
      <sheetData sheetId="4311"/>
      <sheetData sheetId="4312"/>
      <sheetData sheetId="4313"/>
      <sheetData sheetId="4314"/>
      <sheetData sheetId="4315"/>
      <sheetData sheetId="4316"/>
      <sheetData sheetId="4317"/>
      <sheetData sheetId="4318"/>
      <sheetData sheetId="4319"/>
      <sheetData sheetId="4320"/>
      <sheetData sheetId="4321"/>
      <sheetData sheetId="4322"/>
      <sheetData sheetId="4323"/>
      <sheetData sheetId="4324"/>
      <sheetData sheetId="4325"/>
      <sheetData sheetId="4326"/>
      <sheetData sheetId="4327"/>
      <sheetData sheetId="4328"/>
      <sheetData sheetId="4329"/>
      <sheetData sheetId="4330"/>
      <sheetData sheetId="4331"/>
      <sheetData sheetId="4332"/>
      <sheetData sheetId="4333"/>
      <sheetData sheetId="4334"/>
      <sheetData sheetId="4335"/>
      <sheetData sheetId="4336"/>
      <sheetData sheetId="4337"/>
      <sheetData sheetId="4338"/>
      <sheetData sheetId="4339"/>
      <sheetData sheetId="4340"/>
      <sheetData sheetId="4341"/>
      <sheetData sheetId="4342"/>
      <sheetData sheetId="4343"/>
      <sheetData sheetId="4344"/>
      <sheetData sheetId="4345"/>
      <sheetData sheetId="4346"/>
      <sheetData sheetId="4347"/>
      <sheetData sheetId="4348"/>
      <sheetData sheetId="4349"/>
      <sheetData sheetId="4350"/>
      <sheetData sheetId="4351"/>
      <sheetData sheetId="4352"/>
      <sheetData sheetId="4353"/>
      <sheetData sheetId="4354"/>
      <sheetData sheetId="4355"/>
      <sheetData sheetId="4356"/>
      <sheetData sheetId="4357"/>
      <sheetData sheetId="4358"/>
      <sheetData sheetId="4359"/>
      <sheetData sheetId="4360"/>
      <sheetData sheetId="4361"/>
      <sheetData sheetId="4362"/>
      <sheetData sheetId="4363"/>
      <sheetData sheetId="4364"/>
      <sheetData sheetId="4365"/>
      <sheetData sheetId="4366"/>
      <sheetData sheetId="4367"/>
      <sheetData sheetId="4368"/>
      <sheetData sheetId="4369"/>
      <sheetData sheetId="4370"/>
      <sheetData sheetId="4371"/>
      <sheetData sheetId="4372"/>
      <sheetData sheetId="4373"/>
      <sheetData sheetId="4374"/>
      <sheetData sheetId="4375"/>
      <sheetData sheetId="4376"/>
      <sheetData sheetId="4377"/>
      <sheetData sheetId="4378"/>
      <sheetData sheetId="4379"/>
      <sheetData sheetId="4380"/>
      <sheetData sheetId="4381"/>
      <sheetData sheetId="4382"/>
      <sheetData sheetId="4383"/>
      <sheetData sheetId="4384"/>
      <sheetData sheetId="4385"/>
      <sheetData sheetId="4386"/>
      <sheetData sheetId="4387"/>
      <sheetData sheetId="4388"/>
      <sheetData sheetId="4389"/>
      <sheetData sheetId="4390"/>
      <sheetData sheetId="4391"/>
      <sheetData sheetId="4392"/>
      <sheetData sheetId="4393"/>
      <sheetData sheetId="4394"/>
      <sheetData sheetId="4395"/>
      <sheetData sheetId="4396"/>
      <sheetData sheetId="4397"/>
      <sheetData sheetId="4398"/>
      <sheetData sheetId="4399"/>
      <sheetData sheetId="4400"/>
      <sheetData sheetId="4401"/>
      <sheetData sheetId="4402"/>
      <sheetData sheetId="4403"/>
      <sheetData sheetId="4404"/>
      <sheetData sheetId="4405"/>
      <sheetData sheetId="4406"/>
      <sheetData sheetId="4407"/>
      <sheetData sheetId="4408"/>
      <sheetData sheetId="4409"/>
      <sheetData sheetId="4410"/>
      <sheetData sheetId="4411"/>
      <sheetData sheetId="4412"/>
      <sheetData sheetId="4413"/>
      <sheetData sheetId="4414"/>
      <sheetData sheetId="4415"/>
      <sheetData sheetId="4416"/>
      <sheetData sheetId="4417"/>
      <sheetData sheetId="4418"/>
      <sheetData sheetId="4419"/>
      <sheetData sheetId="4420"/>
      <sheetData sheetId="4421"/>
      <sheetData sheetId="4422"/>
      <sheetData sheetId="4423"/>
      <sheetData sheetId="4424"/>
      <sheetData sheetId="4425"/>
      <sheetData sheetId="4426"/>
      <sheetData sheetId="4427"/>
      <sheetData sheetId="4428"/>
      <sheetData sheetId="4429"/>
      <sheetData sheetId="4430"/>
      <sheetData sheetId="4431"/>
      <sheetData sheetId="4432"/>
      <sheetData sheetId="4433"/>
      <sheetData sheetId="4434"/>
      <sheetData sheetId="4435"/>
      <sheetData sheetId="4436"/>
      <sheetData sheetId="4437"/>
      <sheetData sheetId="4438"/>
      <sheetData sheetId="4439"/>
      <sheetData sheetId="4440"/>
      <sheetData sheetId="4441"/>
      <sheetData sheetId="4442"/>
      <sheetData sheetId="4443"/>
      <sheetData sheetId="4444"/>
      <sheetData sheetId="4445"/>
      <sheetData sheetId="4446"/>
      <sheetData sheetId="4447"/>
      <sheetData sheetId="4448"/>
      <sheetData sheetId="4449"/>
      <sheetData sheetId="4450"/>
      <sheetData sheetId="4451"/>
      <sheetData sheetId="4452"/>
      <sheetData sheetId="4453"/>
      <sheetData sheetId="4454"/>
      <sheetData sheetId="4455"/>
      <sheetData sheetId="4456"/>
      <sheetData sheetId="4457"/>
      <sheetData sheetId="4458"/>
      <sheetData sheetId="4459"/>
      <sheetData sheetId="4460"/>
      <sheetData sheetId="4461"/>
      <sheetData sheetId="4462"/>
      <sheetData sheetId="4463"/>
      <sheetData sheetId="4464"/>
      <sheetData sheetId="4465"/>
      <sheetData sheetId="4466"/>
      <sheetData sheetId="4467"/>
      <sheetData sheetId="4468"/>
      <sheetData sheetId="4469"/>
      <sheetData sheetId="4470"/>
      <sheetData sheetId="4471"/>
      <sheetData sheetId="4472"/>
      <sheetData sheetId="4473"/>
      <sheetData sheetId="4474"/>
      <sheetData sheetId="4475"/>
      <sheetData sheetId="4476"/>
      <sheetData sheetId="4477"/>
      <sheetData sheetId="4478"/>
      <sheetData sheetId="4479"/>
      <sheetData sheetId="4480"/>
      <sheetData sheetId="4481"/>
      <sheetData sheetId="4482"/>
      <sheetData sheetId="4483"/>
      <sheetData sheetId="4484"/>
      <sheetData sheetId="4485"/>
      <sheetData sheetId="4486"/>
      <sheetData sheetId="4487"/>
      <sheetData sheetId="4488"/>
      <sheetData sheetId="4489"/>
      <sheetData sheetId="4490" refreshError="1"/>
      <sheetData sheetId="4491" refreshError="1"/>
      <sheetData sheetId="4492"/>
      <sheetData sheetId="4493"/>
      <sheetData sheetId="4494"/>
      <sheetData sheetId="4495"/>
      <sheetData sheetId="4496"/>
      <sheetData sheetId="4497"/>
      <sheetData sheetId="4498"/>
      <sheetData sheetId="4499"/>
      <sheetData sheetId="4500"/>
      <sheetData sheetId="4501"/>
      <sheetData sheetId="4502"/>
      <sheetData sheetId="4503"/>
      <sheetData sheetId="4504"/>
      <sheetData sheetId="4505"/>
      <sheetData sheetId="4506"/>
      <sheetData sheetId="4507"/>
      <sheetData sheetId="4508"/>
      <sheetData sheetId="4509"/>
      <sheetData sheetId="4510"/>
      <sheetData sheetId="4511"/>
      <sheetData sheetId="4512"/>
      <sheetData sheetId="4513"/>
      <sheetData sheetId="4514"/>
      <sheetData sheetId="4515"/>
      <sheetData sheetId="4516"/>
      <sheetData sheetId="4517"/>
      <sheetData sheetId="4518"/>
      <sheetData sheetId="4519"/>
      <sheetData sheetId="4520"/>
      <sheetData sheetId="4521"/>
      <sheetData sheetId="4522"/>
      <sheetData sheetId="4523"/>
      <sheetData sheetId="4524"/>
      <sheetData sheetId="4525"/>
      <sheetData sheetId="4526"/>
      <sheetData sheetId="4527"/>
      <sheetData sheetId="4528"/>
      <sheetData sheetId="4529"/>
      <sheetData sheetId="4530"/>
      <sheetData sheetId="4531"/>
      <sheetData sheetId="4532"/>
      <sheetData sheetId="4533"/>
      <sheetData sheetId="4534"/>
      <sheetData sheetId="4535"/>
      <sheetData sheetId="4536"/>
      <sheetData sheetId="4537"/>
      <sheetData sheetId="4538"/>
      <sheetData sheetId="4539"/>
      <sheetData sheetId="4540"/>
      <sheetData sheetId="4541"/>
      <sheetData sheetId="4542"/>
      <sheetData sheetId="4543"/>
      <sheetData sheetId="4544"/>
      <sheetData sheetId="4545"/>
      <sheetData sheetId="4546"/>
      <sheetData sheetId="4547"/>
      <sheetData sheetId="4548"/>
      <sheetData sheetId="4549"/>
      <sheetData sheetId="4550"/>
      <sheetData sheetId="4551"/>
      <sheetData sheetId="4552"/>
      <sheetData sheetId="4553"/>
      <sheetData sheetId="4554"/>
      <sheetData sheetId="4555"/>
      <sheetData sheetId="4556"/>
      <sheetData sheetId="4557"/>
      <sheetData sheetId="4558"/>
      <sheetData sheetId="4559"/>
      <sheetData sheetId="4560"/>
      <sheetData sheetId="4561"/>
      <sheetData sheetId="4562"/>
      <sheetData sheetId="4563"/>
      <sheetData sheetId="4564"/>
      <sheetData sheetId="4565"/>
      <sheetData sheetId="4566"/>
      <sheetData sheetId="4567"/>
      <sheetData sheetId="4568"/>
      <sheetData sheetId="4569"/>
      <sheetData sheetId="4570"/>
      <sheetData sheetId="4571"/>
      <sheetData sheetId="4572"/>
      <sheetData sheetId="4573"/>
      <sheetData sheetId="4574"/>
      <sheetData sheetId="4575"/>
      <sheetData sheetId="4576"/>
      <sheetData sheetId="4577"/>
      <sheetData sheetId="4578"/>
      <sheetData sheetId="4579"/>
      <sheetData sheetId="4580"/>
      <sheetData sheetId="4581"/>
      <sheetData sheetId="4582"/>
      <sheetData sheetId="4583"/>
      <sheetData sheetId="4584"/>
      <sheetData sheetId="4585"/>
      <sheetData sheetId="4586"/>
      <sheetData sheetId="4587"/>
      <sheetData sheetId="4588"/>
      <sheetData sheetId="4589"/>
      <sheetData sheetId="4590"/>
      <sheetData sheetId="4591"/>
      <sheetData sheetId="4592"/>
      <sheetData sheetId="4593"/>
      <sheetData sheetId="4594" refreshError="1"/>
      <sheetData sheetId="4595" refreshError="1"/>
      <sheetData sheetId="4596" refreshError="1"/>
      <sheetData sheetId="4597" refreshError="1"/>
      <sheetData sheetId="4598"/>
      <sheetData sheetId="4599"/>
      <sheetData sheetId="4600"/>
      <sheetData sheetId="4601"/>
      <sheetData sheetId="4602"/>
      <sheetData sheetId="4603"/>
      <sheetData sheetId="4604" refreshError="1"/>
      <sheetData sheetId="4605" refreshError="1"/>
      <sheetData sheetId="4606" refreshError="1"/>
      <sheetData sheetId="4607" refreshError="1"/>
      <sheetData sheetId="4608" refreshError="1"/>
      <sheetData sheetId="4609" refreshError="1"/>
      <sheetData sheetId="4610" refreshError="1"/>
      <sheetData sheetId="4611" refreshError="1"/>
      <sheetData sheetId="4612" refreshError="1"/>
      <sheetData sheetId="4613" refreshError="1"/>
      <sheetData sheetId="4614" refreshError="1"/>
      <sheetData sheetId="4615" refreshError="1"/>
      <sheetData sheetId="4616" refreshError="1"/>
      <sheetData sheetId="4617" refreshError="1"/>
      <sheetData sheetId="4618" refreshError="1"/>
      <sheetData sheetId="4619" refreshError="1"/>
      <sheetData sheetId="4620" refreshError="1"/>
      <sheetData sheetId="4621" refreshError="1"/>
      <sheetData sheetId="4622" refreshError="1"/>
      <sheetData sheetId="4623" refreshError="1"/>
      <sheetData sheetId="4624" refreshError="1"/>
      <sheetData sheetId="4625" refreshError="1"/>
      <sheetData sheetId="4626" refreshError="1"/>
      <sheetData sheetId="4627" refreshError="1"/>
      <sheetData sheetId="4628" refreshError="1"/>
      <sheetData sheetId="4629" refreshError="1"/>
      <sheetData sheetId="4630" refreshError="1"/>
      <sheetData sheetId="4631" refreshError="1"/>
      <sheetData sheetId="4632" refreshError="1"/>
      <sheetData sheetId="4633" refreshError="1"/>
      <sheetData sheetId="4634" refreshError="1"/>
      <sheetData sheetId="4635" refreshError="1"/>
      <sheetData sheetId="4636" refreshError="1"/>
      <sheetData sheetId="4637" refreshError="1"/>
      <sheetData sheetId="4638" refreshError="1"/>
      <sheetData sheetId="4639" refreshError="1"/>
      <sheetData sheetId="4640" refreshError="1"/>
      <sheetData sheetId="4641" refreshError="1"/>
      <sheetData sheetId="4642"/>
      <sheetData sheetId="4643"/>
      <sheetData sheetId="4644"/>
      <sheetData sheetId="4645"/>
      <sheetData sheetId="4646"/>
      <sheetData sheetId="4647"/>
      <sheetData sheetId="4648"/>
      <sheetData sheetId="4649"/>
      <sheetData sheetId="4650"/>
      <sheetData sheetId="4651"/>
      <sheetData sheetId="4652"/>
      <sheetData sheetId="4653"/>
      <sheetData sheetId="4654"/>
      <sheetData sheetId="4655"/>
      <sheetData sheetId="4656"/>
      <sheetData sheetId="4657"/>
      <sheetData sheetId="4658"/>
      <sheetData sheetId="4659"/>
      <sheetData sheetId="4660"/>
      <sheetData sheetId="4661"/>
      <sheetData sheetId="4662"/>
      <sheetData sheetId="4663" refreshError="1"/>
      <sheetData sheetId="4664" refreshError="1"/>
      <sheetData sheetId="4665" refreshError="1"/>
      <sheetData sheetId="4666" refreshError="1"/>
      <sheetData sheetId="4667" refreshError="1"/>
      <sheetData sheetId="4668"/>
      <sheetData sheetId="4669" refreshError="1"/>
      <sheetData sheetId="4670" refreshError="1"/>
      <sheetData sheetId="4671" refreshError="1"/>
      <sheetData sheetId="4672" refreshError="1"/>
      <sheetData sheetId="4673" refreshError="1"/>
      <sheetData sheetId="4674" refreshError="1"/>
      <sheetData sheetId="4675" refreshError="1"/>
      <sheetData sheetId="4676" refreshError="1"/>
      <sheetData sheetId="4677" refreshError="1"/>
      <sheetData sheetId="4678" refreshError="1"/>
      <sheetData sheetId="4679" refreshError="1"/>
      <sheetData sheetId="4680" refreshError="1"/>
      <sheetData sheetId="4681" refreshError="1"/>
      <sheetData sheetId="4682" refreshError="1"/>
      <sheetData sheetId="4683" refreshError="1"/>
      <sheetData sheetId="4684" refreshError="1"/>
      <sheetData sheetId="4685" refreshError="1"/>
      <sheetData sheetId="4686" refreshError="1"/>
      <sheetData sheetId="4687" refreshError="1"/>
      <sheetData sheetId="4688" refreshError="1"/>
      <sheetData sheetId="4689" refreshError="1"/>
      <sheetData sheetId="4690" refreshError="1"/>
      <sheetData sheetId="4691" refreshError="1"/>
      <sheetData sheetId="4692" refreshError="1"/>
      <sheetData sheetId="4693" refreshError="1"/>
      <sheetData sheetId="4694" refreshError="1"/>
      <sheetData sheetId="4695" refreshError="1"/>
      <sheetData sheetId="4696" refreshError="1"/>
      <sheetData sheetId="4697" refreshError="1"/>
      <sheetData sheetId="4698" refreshError="1"/>
      <sheetData sheetId="4699" refreshError="1"/>
      <sheetData sheetId="4700" refreshError="1"/>
      <sheetData sheetId="4701" refreshError="1"/>
      <sheetData sheetId="4702" refreshError="1"/>
      <sheetData sheetId="4703" refreshError="1"/>
      <sheetData sheetId="4704" refreshError="1"/>
      <sheetData sheetId="4705" refreshError="1"/>
      <sheetData sheetId="4706" refreshError="1"/>
      <sheetData sheetId="4707" refreshError="1"/>
      <sheetData sheetId="4708" refreshError="1"/>
      <sheetData sheetId="4709" refreshError="1"/>
      <sheetData sheetId="4710" refreshError="1"/>
      <sheetData sheetId="4711" refreshError="1"/>
      <sheetData sheetId="4712" refreshError="1"/>
      <sheetData sheetId="4713" refreshError="1"/>
      <sheetData sheetId="4714" refreshError="1"/>
      <sheetData sheetId="4715" refreshError="1"/>
      <sheetData sheetId="4716" refreshError="1"/>
      <sheetData sheetId="4717" refreshError="1"/>
      <sheetData sheetId="4718" refreshError="1"/>
      <sheetData sheetId="4719" refreshError="1"/>
      <sheetData sheetId="4720" refreshError="1"/>
      <sheetData sheetId="4721" refreshError="1"/>
      <sheetData sheetId="4722" refreshError="1"/>
      <sheetData sheetId="4723" refreshError="1"/>
      <sheetData sheetId="4724" refreshError="1"/>
      <sheetData sheetId="4725" refreshError="1"/>
      <sheetData sheetId="4726" refreshError="1"/>
      <sheetData sheetId="4727" refreshError="1"/>
      <sheetData sheetId="4728" refreshError="1"/>
      <sheetData sheetId="4729" refreshError="1"/>
      <sheetData sheetId="4730" refreshError="1"/>
      <sheetData sheetId="4731" refreshError="1"/>
      <sheetData sheetId="4732" refreshError="1"/>
      <sheetData sheetId="4733" refreshError="1"/>
      <sheetData sheetId="4734" refreshError="1"/>
      <sheetData sheetId="4735" refreshError="1"/>
      <sheetData sheetId="4736" refreshError="1"/>
      <sheetData sheetId="4737" refreshError="1"/>
      <sheetData sheetId="4738" refreshError="1"/>
      <sheetData sheetId="4739" refreshError="1"/>
      <sheetData sheetId="4740" refreshError="1"/>
      <sheetData sheetId="4741" refreshError="1"/>
      <sheetData sheetId="4742" refreshError="1"/>
      <sheetData sheetId="4743" refreshError="1"/>
      <sheetData sheetId="4744" refreshError="1"/>
      <sheetData sheetId="4745" refreshError="1"/>
      <sheetData sheetId="4746" refreshError="1"/>
      <sheetData sheetId="4747" refreshError="1"/>
      <sheetData sheetId="4748" refreshError="1"/>
      <sheetData sheetId="4749" refreshError="1"/>
      <sheetData sheetId="4750" refreshError="1"/>
      <sheetData sheetId="4751" refreshError="1"/>
      <sheetData sheetId="4752" refreshError="1"/>
      <sheetData sheetId="4753" refreshError="1"/>
      <sheetData sheetId="4754" refreshError="1"/>
      <sheetData sheetId="4755" refreshError="1"/>
      <sheetData sheetId="4756" refreshError="1"/>
      <sheetData sheetId="4757" refreshError="1"/>
      <sheetData sheetId="4758" refreshError="1"/>
      <sheetData sheetId="4759" refreshError="1"/>
      <sheetData sheetId="4760" refreshError="1"/>
      <sheetData sheetId="4761" refreshError="1"/>
      <sheetData sheetId="4762" refreshError="1"/>
      <sheetData sheetId="4763" refreshError="1"/>
      <sheetData sheetId="4764" refreshError="1"/>
      <sheetData sheetId="4765" refreshError="1"/>
      <sheetData sheetId="4766" refreshError="1"/>
      <sheetData sheetId="4767" refreshError="1"/>
      <sheetData sheetId="4768" refreshError="1"/>
      <sheetData sheetId="4769" refreshError="1"/>
      <sheetData sheetId="4770" refreshError="1"/>
      <sheetData sheetId="4771" refreshError="1"/>
      <sheetData sheetId="4772" refreshError="1"/>
      <sheetData sheetId="4773" refreshError="1"/>
      <sheetData sheetId="4774" refreshError="1"/>
      <sheetData sheetId="4775" refreshError="1"/>
      <sheetData sheetId="4776" refreshError="1"/>
      <sheetData sheetId="4777" refreshError="1"/>
      <sheetData sheetId="4778" refreshError="1"/>
      <sheetData sheetId="4779" refreshError="1"/>
      <sheetData sheetId="4780" refreshError="1"/>
      <sheetData sheetId="4781" refreshError="1"/>
      <sheetData sheetId="4782" refreshError="1"/>
      <sheetData sheetId="4783" refreshError="1"/>
      <sheetData sheetId="4784" refreshError="1"/>
      <sheetData sheetId="4785" refreshError="1"/>
      <sheetData sheetId="4786" refreshError="1"/>
      <sheetData sheetId="4787" refreshError="1"/>
      <sheetData sheetId="4788" refreshError="1"/>
      <sheetData sheetId="4789" refreshError="1"/>
      <sheetData sheetId="4790" refreshError="1"/>
      <sheetData sheetId="4791" refreshError="1"/>
      <sheetData sheetId="4792" refreshError="1"/>
      <sheetData sheetId="4793" refreshError="1"/>
      <sheetData sheetId="4794" refreshError="1"/>
      <sheetData sheetId="4795" refreshError="1"/>
      <sheetData sheetId="4796" refreshError="1"/>
      <sheetData sheetId="4797" refreshError="1"/>
      <sheetData sheetId="4798" refreshError="1"/>
      <sheetData sheetId="4799" refreshError="1"/>
      <sheetData sheetId="4800" refreshError="1"/>
      <sheetData sheetId="4801" refreshError="1"/>
      <sheetData sheetId="4802" refreshError="1"/>
      <sheetData sheetId="4803" refreshError="1"/>
      <sheetData sheetId="4804" refreshError="1"/>
      <sheetData sheetId="4805" refreshError="1"/>
      <sheetData sheetId="4806" refreshError="1"/>
      <sheetData sheetId="4807" refreshError="1"/>
      <sheetData sheetId="4808" refreshError="1"/>
      <sheetData sheetId="4809" refreshError="1"/>
      <sheetData sheetId="4810" refreshError="1"/>
      <sheetData sheetId="4811" refreshError="1"/>
      <sheetData sheetId="4812" refreshError="1"/>
      <sheetData sheetId="4813" refreshError="1"/>
      <sheetData sheetId="4814" refreshError="1"/>
      <sheetData sheetId="4815" refreshError="1"/>
      <sheetData sheetId="4816" refreshError="1"/>
      <sheetData sheetId="4817" refreshError="1"/>
      <sheetData sheetId="4818" refreshError="1"/>
      <sheetData sheetId="4819" refreshError="1"/>
      <sheetData sheetId="4820" refreshError="1"/>
      <sheetData sheetId="4821" refreshError="1"/>
      <sheetData sheetId="4822" refreshError="1"/>
      <sheetData sheetId="4823" refreshError="1"/>
      <sheetData sheetId="4824" refreshError="1"/>
      <sheetData sheetId="4825" refreshError="1"/>
      <sheetData sheetId="4826" refreshError="1"/>
      <sheetData sheetId="4827" refreshError="1"/>
      <sheetData sheetId="4828" refreshError="1"/>
      <sheetData sheetId="4829" refreshError="1"/>
      <sheetData sheetId="4830" refreshError="1"/>
      <sheetData sheetId="4831" refreshError="1"/>
      <sheetData sheetId="4832" refreshError="1"/>
      <sheetData sheetId="4833" refreshError="1"/>
      <sheetData sheetId="4834" refreshError="1"/>
      <sheetData sheetId="4835" refreshError="1"/>
      <sheetData sheetId="4836" refreshError="1"/>
      <sheetData sheetId="4837" refreshError="1"/>
      <sheetData sheetId="4838" refreshError="1"/>
      <sheetData sheetId="4839" refreshError="1"/>
      <sheetData sheetId="4840" refreshError="1"/>
      <sheetData sheetId="4841" refreshError="1"/>
      <sheetData sheetId="4842" refreshError="1"/>
      <sheetData sheetId="4843" refreshError="1"/>
      <sheetData sheetId="4844" refreshError="1"/>
      <sheetData sheetId="4845" refreshError="1"/>
      <sheetData sheetId="4846" refreshError="1"/>
      <sheetData sheetId="4847" refreshError="1"/>
      <sheetData sheetId="4848" refreshError="1"/>
      <sheetData sheetId="4849" refreshError="1"/>
      <sheetData sheetId="4850" refreshError="1"/>
      <sheetData sheetId="4851" refreshError="1"/>
      <sheetData sheetId="4852" refreshError="1"/>
      <sheetData sheetId="4853" refreshError="1"/>
      <sheetData sheetId="4854" refreshError="1"/>
      <sheetData sheetId="4855" refreshError="1"/>
      <sheetData sheetId="4856" refreshError="1"/>
      <sheetData sheetId="4857" refreshError="1"/>
      <sheetData sheetId="4858" refreshError="1"/>
      <sheetData sheetId="4859" refreshError="1"/>
      <sheetData sheetId="4860" refreshError="1"/>
      <sheetData sheetId="4861" refreshError="1"/>
      <sheetData sheetId="4862" refreshError="1"/>
      <sheetData sheetId="4863" refreshError="1"/>
      <sheetData sheetId="4864" refreshError="1"/>
      <sheetData sheetId="4865" refreshError="1"/>
      <sheetData sheetId="4866" refreshError="1"/>
      <sheetData sheetId="4867" refreshError="1"/>
      <sheetData sheetId="4868" refreshError="1"/>
      <sheetData sheetId="4869" refreshError="1"/>
      <sheetData sheetId="4870" refreshError="1"/>
      <sheetData sheetId="4871" refreshError="1"/>
      <sheetData sheetId="4872" refreshError="1"/>
      <sheetData sheetId="4873" refreshError="1"/>
      <sheetData sheetId="4874" refreshError="1"/>
      <sheetData sheetId="4875" refreshError="1"/>
      <sheetData sheetId="4876" refreshError="1"/>
      <sheetData sheetId="4877" refreshError="1"/>
      <sheetData sheetId="4878" refreshError="1"/>
      <sheetData sheetId="4879" refreshError="1"/>
      <sheetData sheetId="4880" refreshError="1"/>
      <sheetData sheetId="4881" refreshError="1"/>
      <sheetData sheetId="4882" refreshError="1"/>
      <sheetData sheetId="4883" refreshError="1"/>
      <sheetData sheetId="4884" refreshError="1"/>
      <sheetData sheetId="4885" refreshError="1"/>
      <sheetData sheetId="4886" refreshError="1"/>
      <sheetData sheetId="4887" refreshError="1"/>
      <sheetData sheetId="4888" refreshError="1"/>
      <sheetData sheetId="4889" refreshError="1"/>
      <sheetData sheetId="4890" refreshError="1"/>
      <sheetData sheetId="4891" refreshError="1"/>
      <sheetData sheetId="4892" refreshError="1"/>
      <sheetData sheetId="4893" refreshError="1"/>
      <sheetData sheetId="4894" refreshError="1"/>
      <sheetData sheetId="4895" refreshError="1"/>
      <sheetData sheetId="4896" refreshError="1"/>
      <sheetData sheetId="4897" refreshError="1"/>
      <sheetData sheetId="4898" refreshError="1"/>
      <sheetData sheetId="4899" refreshError="1"/>
      <sheetData sheetId="4900" refreshError="1"/>
      <sheetData sheetId="4901" refreshError="1"/>
      <sheetData sheetId="4902" refreshError="1"/>
      <sheetData sheetId="4903" refreshError="1"/>
      <sheetData sheetId="4904" refreshError="1"/>
      <sheetData sheetId="4905" refreshError="1"/>
      <sheetData sheetId="4906" refreshError="1"/>
      <sheetData sheetId="4907" refreshError="1"/>
      <sheetData sheetId="4908" refreshError="1"/>
      <sheetData sheetId="4909" refreshError="1"/>
      <sheetData sheetId="4910" refreshError="1"/>
      <sheetData sheetId="4911" refreshError="1"/>
      <sheetData sheetId="4912" refreshError="1"/>
      <sheetData sheetId="4913" refreshError="1"/>
      <sheetData sheetId="4914" refreshError="1"/>
      <sheetData sheetId="4915" refreshError="1"/>
      <sheetData sheetId="4916" refreshError="1"/>
      <sheetData sheetId="4917" refreshError="1"/>
      <sheetData sheetId="4918" refreshError="1"/>
      <sheetData sheetId="4919" refreshError="1"/>
      <sheetData sheetId="4920" refreshError="1"/>
      <sheetData sheetId="4921" refreshError="1"/>
      <sheetData sheetId="4922" refreshError="1"/>
      <sheetData sheetId="4923" refreshError="1"/>
      <sheetData sheetId="4924" refreshError="1"/>
      <sheetData sheetId="4925" refreshError="1"/>
      <sheetData sheetId="4926" refreshError="1"/>
      <sheetData sheetId="4927" refreshError="1"/>
      <sheetData sheetId="4928" refreshError="1"/>
      <sheetData sheetId="4929" refreshError="1"/>
      <sheetData sheetId="4930" refreshError="1"/>
      <sheetData sheetId="4931" refreshError="1"/>
      <sheetData sheetId="4932" refreshError="1"/>
      <sheetData sheetId="4933" refreshError="1"/>
      <sheetData sheetId="4934" refreshError="1"/>
      <sheetData sheetId="4935" refreshError="1"/>
      <sheetData sheetId="4936" refreshError="1"/>
      <sheetData sheetId="4937" refreshError="1"/>
      <sheetData sheetId="4938" refreshError="1"/>
      <sheetData sheetId="4939" refreshError="1"/>
      <sheetData sheetId="4940" refreshError="1"/>
      <sheetData sheetId="4941" refreshError="1"/>
      <sheetData sheetId="4942" refreshError="1"/>
      <sheetData sheetId="4943" refreshError="1"/>
      <sheetData sheetId="4944" refreshError="1"/>
      <sheetData sheetId="4945" refreshError="1"/>
      <sheetData sheetId="4946" refreshError="1"/>
      <sheetData sheetId="4947" refreshError="1"/>
      <sheetData sheetId="4948" refreshError="1"/>
      <sheetData sheetId="4949" refreshError="1"/>
      <sheetData sheetId="4950" refreshError="1"/>
      <sheetData sheetId="4951" refreshError="1"/>
      <sheetData sheetId="4952" refreshError="1"/>
      <sheetData sheetId="4953" refreshError="1"/>
      <sheetData sheetId="4954" refreshError="1"/>
      <sheetData sheetId="4955" refreshError="1"/>
      <sheetData sheetId="4956" refreshError="1"/>
      <sheetData sheetId="4957" refreshError="1"/>
      <sheetData sheetId="4958" refreshError="1"/>
      <sheetData sheetId="4959" refreshError="1"/>
      <sheetData sheetId="4960" refreshError="1"/>
      <sheetData sheetId="4961" refreshError="1"/>
      <sheetData sheetId="4962" refreshError="1"/>
      <sheetData sheetId="4963" refreshError="1"/>
      <sheetData sheetId="4964" refreshError="1"/>
      <sheetData sheetId="4965" refreshError="1"/>
      <sheetData sheetId="4966" refreshError="1"/>
      <sheetData sheetId="4967" refreshError="1"/>
      <sheetData sheetId="4968" refreshError="1"/>
      <sheetData sheetId="4969" refreshError="1"/>
      <sheetData sheetId="4970" refreshError="1"/>
      <sheetData sheetId="4971" refreshError="1"/>
      <sheetData sheetId="4972" refreshError="1"/>
      <sheetData sheetId="4973" refreshError="1"/>
      <sheetData sheetId="4974" refreshError="1"/>
      <sheetData sheetId="4975" refreshError="1"/>
      <sheetData sheetId="4976" refreshError="1"/>
      <sheetData sheetId="4977" refreshError="1"/>
      <sheetData sheetId="4978" refreshError="1"/>
      <sheetData sheetId="4979" refreshError="1"/>
      <sheetData sheetId="4980" refreshError="1"/>
      <sheetData sheetId="4981" refreshError="1"/>
      <sheetData sheetId="4982" refreshError="1"/>
      <sheetData sheetId="4983" refreshError="1"/>
      <sheetData sheetId="4984" refreshError="1"/>
      <sheetData sheetId="4985" refreshError="1"/>
      <sheetData sheetId="4986" refreshError="1"/>
      <sheetData sheetId="4987" refreshError="1"/>
      <sheetData sheetId="4988" refreshError="1"/>
      <sheetData sheetId="4989" refreshError="1"/>
      <sheetData sheetId="4990" refreshError="1"/>
      <sheetData sheetId="4991" refreshError="1"/>
      <sheetData sheetId="4992"/>
      <sheetData sheetId="4993"/>
      <sheetData sheetId="4994"/>
      <sheetData sheetId="4995"/>
      <sheetData sheetId="4996"/>
      <sheetData sheetId="4997"/>
      <sheetData sheetId="4998"/>
      <sheetData sheetId="4999"/>
      <sheetData sheetId="5000"/>
      <sheetData sheetId="5001"/>
      <sheetData sheetId="5002"/>
      <sheetData sheetId="5003"/>
      <sheetData sheetId="5004"/>
      <sheetData sheetId="5005"/>
      <sheetData sheetId="5006" refreshError="1"/>
      <sheetData sheetId="5007" refreshError="1"/>
      <sheetData sheetId="5008"/>
      <sheetData sheetId="5009"/>
      <sheetData sheetId="5010"/>
      <sheetData sheetId="5011"/>
      <sheetData sheetId="5012"/>
      <sheetData sheetId="5013"/>
      <sheetData sheetId="5014"/>
      <sheetData sheetId="5015"/>
      <sheetData sheetId="5016"/>
      <sheetData sheetId="5017"/>
      <sheetData sheetId="5018"/>
      <sheetData sheetId="5019"/>
      <sheetData sheetId="5020" refreshError="1"/>
      <sheetData sheetId="5021" refreshError="1"/>
      <sheetData sheetId="5022" refreshError="1"/>
      <sheetData sheetId="5023" refreshError="1"/>
      <sheetData sheetId="5024" refreshError="1"/>
      <sheetData sheetId="5025" refreshError="1"/>
      <sheetData sheetId="5026" refreshError="1"/>
      <sheetData sheetId="5027" refreshError="1"/>
      <sheetData sheetId="5028" refreshError="1"/>
      <sheetData sheetId="5029" refreshError="1"/>
      <sheetData sheetId="5030"/>
      <sheetData sheetId="5031"/>
      <sheetData sheetId="5032"/>
      <sheetData sheetId="5033"/>
      <sheetData sheetId="5034"/>
      <sheetData sheetId="5035"/>
      <sheetData sheetId="5036"/>
      <sheetData sheetId="5037"/>
      <sheetData sheetId="5038"/>
      <sheetData sheetId="5039"/>
      <sheetData sheetId="5040"/>
      <sheetData sheetId="5041"/>
      <sheetData sheetId="5042"/>
      <sheetData sheetId="5043"/>
      <sheetData sheetId="5044"/>
      <sheetData sheetId="5045"/>
      <sheetData sheetId="5046"/>
      <sheetData sheetId="5047"/>
      <sheetData sheetId="5048"/>
      <sheetData sheetId="5049"/>
      <sheetData sheetId="5050"/>
      <sheetData sheetId="5051"/>
      <sheetData sheetId="5052"/>
      <sheetData sheetId="5053"/>
      <sheetData sheetId="5054"/>
      <sheetData sheetId="5055"/>
      <sheetData sheetId="5056"/>
      <sheetData sheetId="5057"/>
      <sheetData sheetId="5058"/>
      <sheetData sheetId="5059"/>
      <sheetData sheetId="5060"/>
      <sheetData sheetId="5061"/>
      <sheetData sheetId="5062"/>
      <sheetData sheetId="5063"/>
      <sheetData sheetId="5064"/>
      <sheetData sheetId="5065"/>
      <sheetData sheetId="5066"/>
      <sheetData sheetId="5067"/>
      <sheetData sheetId="5068"/>
      <sheetData sheetId="5069"/>
      <sheetData sheetId="5070"/>
      <sheetData sheetId="5071"/>
      <sheetData sheetId="5072"/>
      <sheetData sheetId="5073"/>
      <sheetData sheetId="5074"/>
      <sheetData sheetId="5075"/>
      <sheetData sheetId="5076"/>
      <sheetData sheetId="5077"/>
      <sheetData sheetId="5078"/>
      <sheetData sheetId="5079"/>
      <sheetData sheetId="5080"/>
      <sheetData sheetId="5081"/>
      <sheetData sheetId="5082"/>
      <sheetData sheetId="5083"/>
      <sheetData sheetId="5084"/>
      <sheetData sheetId="5085"/>
      <sheetData sheetId="5086"/>
      <sheetData sheetId="5087"/>
      <sheetData sheetId="5088"/>
      <sheetData sheetId="5089"/>
      <sheetData sheetId="5090"/>
      <sheetData sheetId="5091"/>
      <sheetData sheetId="5092"/>
      <sheetData sheetId="5093"/>
      <sheetData sheetId="5094"/>
      <sheetData sheetId="5095"/>
      <sheetData sheetId="5096"/>
      <sheetData sheetId="5097"/>
      <sheetData sheetId="5098"/>
      <sheetData sheetId="5099"/>
      <sheetData sheetId="5100"/>
      <sheetData sheetId="5101"/>
      <sheetData sheetId="5102"/>
      <sheetData sheetId="5103"/>
      <sheetData sheetId="5104"/>
      <sheetData sheetId="5105"/>
      <sheetData sheetId="5106"/>
      <sheetData sheetId="5107"/>
      <sheetData sheetId="5108"/>
      <sheetData sheetId="5109"/>
      <sheetData sheetId="5110"/>
      <sheetData sheetId="5111"/>
      <sheetData sheetId="5112"/>
      <sheetData sheetId="5113"/>
      <sheetData sheetId="5114"/>
      <sheetData sheetId="5115"/>
      <sheetData sheetId="5116"/>
      <sheetData sheetId="5117"/>
      <sheetData sheetId="5118"/>
      <sheetData sheetId="5119"/>
      <sheetData sheetId="5120"/>
      <sheetData sheetId="5121"/>
      <sheetData sheetId="5122"/>
      <sheetData sheetId="5123"/>
      <sheetData sheetId="5124"/>
      <sheetData sheetId="5125"/>
      <sheetData sheetId="5126"/>
      <sheetData sheetId="5127"/>
      <sheetData sheetId="5128"/>
      <sheetData sheetId="5129"/>
      <sheetData sheetId="5130"/>
      <sheetData sheetId="5131"/>
      <sheetData sheetId="5132"/>
      <sheetData sheetId="5133"/>
      <sheetData sheetId="5134"/>
      <sheetData sheetId="5135"/>
      <sheetData sheetId="5136"/>
      <sheetData sheetId="5137"/>
      <sheetData sheetId="5138"/>
      <sheetData sheetId="5139"/>
      <sheetData sheetId="5140"/>
      <sheetData sheetId="5141"/>
      <sheetData sheetId="5142"/>
      <sheetData sheetId="5143"/>
      <sheetData sheetId="5144"/>
      <sheetData sheetId="5145"/>
      <sheetData sheetId="5146"/>
      <sheetData sheetId="5147"/>
      <sheetData sheetId="5148"/>
      <sheetData sheetId="5149"/>
      <sheetData sheetId="5150"/>
      <sheetData sheetId="5151"/>
      <sheetData sheetId="5152"/>
      <sheetData sheetId="5153"/>
      <sheetData sheetId="5154"/>
      <sheetData sheetId="5155"/>
      <sheetData sheetId="5156"/>
      <sheetData sheetId="5157"/>
      <sheetData sheetId="5158"/>
      <sheetData sheetId="5159"/>
      <sheetData sheetId="5160"/>
      <sheetData sheetId="5161"/>
      <sheetData sheetId="5162"/>
      <sheetData sheetId="5163"/>
      <sheetData sheetId="5164"/>
      <sheetData sheetId="5165"/>
      <sheetData sheetId="5166"/>
      <sheetData sheetId="5167"/>
      <sheetData sheetId="5168"/>
      <sheetData sheetId="5169"/>
      <sheetData sheetId="5170"/>
      <sheetData sheetId="5171"/>
      <sheetData sheetId="5172"/>
      <sheetData sheetId="5173"/>
      <sheetData sheetId="5174"/>
      <sheetData sheetId="5175"/>
      <sheetData sheetId="5176"/>
      <sheetData sheetId="5177"/>
      <sheetData sheetId="5178"/>
      <sheetData sheetId="5179"/>
      <sheetData sheetId="5180"/>
      <sheetData sheetId="5181"/>
      <sheetData sheetId="5182"/>
      <sheetData sheetId="5183"/>
      <sheetData sheetId="5184"/>
      <sheetData sheetId="5185"/>
      <sheetData sheetId="5186"/>
      <sheetData sheetId="5187"/>
      <sheetData sheetId="5188"/>
      <sheetData sheetId="5189"/>
      <sheetData sheetId="5190"/>
      <sheetData sheetId="5191"/>
      <sheetData sheetId="5192"/>
      <sheetData sheetId="5193"/>
      <sheetData sheetId="5194"/>
      <sheetData sheetId="5195"/>
      <sheetData sheetId="5196"/>
      <sheetData sheetId="5197"/>
      <sheetData sheetId="5198"/>
      <sheetData sheetId="5199"/>
      <sheetData sheetId="5200"/>
      <sheetData sheetId="5201"/>
      <sheetData sheetId="5202"/>
      <sheetData sheetId="5203"/>
      <sheetData sheetId="5204"/>
      <sheetData sheetId="5205"/>
      <sheetData sheetId="5206"/>
      <sheetData sheetId="5207"/>
      <sheetData sheetId="5208"/>
      <sheetData sheetId="5209"/>
      <sheetData sheetId="5210"/>
      <sheetData sheetId="5211"/>
      <sheetData sheetId="5212"/>
      <sheetData sheetId="5213"/>
      <sheetData sheetId="5214"/>
      <sheetData sheetId="5215"/>
      <sheetData sheetId="5216"/>
      <sheetData sheetId="5217"/>
      <sheetData sheetId="5218"/>
      <sheetData sheetId="5219"/>
      <sheetData sheetId="5220"/>
      <sheetData sheetId="5221"/>
      <sheetData sheetId="5222"/>
      <sheetData sheetId="5223"/>
      <sheetData sheetId="5224"/>
      <sheetData sheetId="5225"/>
      <sheetData sheetId="5226"/>
      <sheetData sheetId="5227"/>
      <sheetData sheetId="5228"/>
      <sheetData sheetId="5229"/>
      <sheetData sheetId="5230"/>
      <sheetData sheetId="5231"/>
      <sheetData sheetId="5232"/>
      <sheetData sheetId="5233"/>
      <sheetData sheetId="5234"/>
      <sheetData sheetId="5235"/>
      <sheetData sheetId="5236"/>
      <sheetData sheetId="5237"/>
      <sheetData sheetId="5238"/>
      <sheetData sheetId="5239"/>
      <sheetData sheetId="5240"/>
      <sheetData sheetId="5241"/>
      <sheetData sheetId="5242"/>
      <sheetData sheetId="5243"/>
      <sheetData sheetId="5244"/>
      <sheetData sheetId="5245"/>
      <sheetData sheetId="5246"/>
      <sheetData sheetId="5247"/>
      <sheetData sheetId="5248"/>
      <sheetData sheetId="5249"/>
      <sheetData sheetId="5250"/>
      <sheetData sheetId="5251"/>
      <sheetData sheetId="5252"/>
      <sheetData sheetId="5253"/>
      <sheetData sheetId="5254"/>
      <sheetData sheetId="5255"/>
      <sheetData sheetId="5256"/>
      <sheetData sheetId="5257"/>
      <sheetData sheetId="5258"/>
      <sheetData sheetId="5259"/>
      <sheetData sheetId="5260"/>
      <sheetData sheetId="5261"/>
      <sheetData sheetId="5262"/>
      <sheetData sheetId="5263"/>
      <sheetData sheetId="5264"/>
      <sheetData sheetId="5265"/>
      <sheetData sheetId="5266"/>
      <sheetData sheetId="5267"/>
      <sheetData sheetId="5268"/>
      <sheetData sheetId="5269"/>
      <sheetData sheetId="5270"/>
      <sheetData sheetId="5271"/>
      <sheetData sheetId="5272"/>
      <sheetData sheetId="5273"/>
      <sheetData sheetId="5274"/>
      <sheetData sheetId="5275"/>
      <sheetData sheetId="5276"/>
      <sheetData sheetId="5277"/>
      <sheetData sheetId="5278"/>
      <sheetData sheetId="5279"/>
      <sheetData sheetId="5280"/>
      <sheetData sheetId="5281"/>
      <sheetData sheetId="5282"/>
      <sheetData sheetId="5283"/>
      <sheetData sheetId="5284"/>
      <sheetData sheetId="5285"/>
      <sheetData sheetId="5286"/>
      <sheetData sheetId="5287"/>
      <sheetData sheetId="5288"/>
      <sheetData sheetId="5289"/>
      <sheetData sheetId="5290"/>
      <sheetData sheetId="5291"/>
      <sheetData sheetId="5292"/>
      <sheetData sheetId="5293"/>
      <sheetData sheetId="5294"/>
      <sheetData sheetId="5295"/>
      <sheetData sheetId="5296"/>
      <sheetData sheetId="5297"/>
      <sheetData sheetId="5298"/>
      <sheetData sheetId="5299"/>
      <sheetData sheetId="5300"/>
      <sheetData sheetId="5301"/>
      <sheetData sheetId="5302"/>
      <sheetData sheetId="5303"/>
      <sheetData sheetId="5304"/>
      <sheetData sheetId="5305"/>
      <sheetData sheetId="5306"/>
      <sheetData sheetId="5307"/>
      <sheetData sheetId="5308"/>
      <sheetData sheetId="5309"/>
      <sheetData sheetId="5310"/>
      <sheetData sheetId="5311"/>
      <sheetData sheetId="5312"/>
      <sheetData sheetId="5313"/>
      <sheetData sheetId="5314"/>
      <sheetData sheetId="5315"/>
      <sheetData sheetId="5316"/>
      <sheetData sheetId="5317"/>
      <sheetData sheetId="5318"/>
      <sheetData sheetId="5319"/>
      <sheetData sheetId="5320"/>
      <sheetData sheetId="5321"/>
      <sheetData sheetId="5322"/>
      <sheetData sheetId="5323"/>
      <sheetData sheetId="5324"/>
      <sheetData sheetId="5325"/>
      <sheetData sheetId="5326"/>
      <sheetData sheetId="5327"/>
      <sheetData sheetId="5328"/>
      <sheetData sheetId="5329"/>
      <sheetData sheetId="5330"/>
      <sheetData sheetId="5331"/>
      <sheetData sheetId="5332" refreshError="1"/>
      <sheetData sheetId="5333" refreshError="1"/>
      <sheetData sheetId="5334" refreshError="1"/>
      <sheetData sheetId="5335" refreshError="1"/>
      <sheetData sheetId="5336" refreshError="1"/>
      <sheetData sheetId="5337" refreshError="1"/>
      <sheetData sheetId="5338" refreshError="1"/>
      <sheetData sheetId="5339" refreshError="1"/>
      <sheetData sheetId="5340" refreshError="1"/>
      <sheetData sheetId="5341" refreshError="1"/>
      <sheetData sheetId="5342" refreshError="1"/>
      <sheetData sheetId="5343" refreshError="1"/>
      <sheetData sheetId="5344" refreshError="1"/>
      <sheetData sheetId="5345" refreshError="1"/>
      <sheetData sheetId="5346" refreshError="1"/>
      <sheetData sheetId="5347" refreshError="1"/>
      <sheetData sheetId="5348" refreshError="1"/>
      <sheetData sheetId="5349" refreshError="1"/>
      <sheetData sheetId="5350" refreshError="1"/>
      <sheetData sheetId="5351" refreshError="1"/>
      <sheetData sheetId="5352" refreshError="1"/>
      <sheetData sheetId="5353" refreshError="1"/>
      <sheetData sheetId="5354" refreshError="1"/>
      <sheetData sheetId="5355" refreshError="1"/>
      <sheetData sheetId="5356" refreshError="1"/>
      <sheetData sheetId="5357" refreshError="1"/>
      <sheetData sheetId="5358" refreshError="1"/>
      <sheetData sheetId="5359" refreshError="1"/>
      <sheetData sheetId="5360" refreshError="1"/>
      <sheetData sheetId="5361" refreshError="1"/>
      <sheetData sheetId="5362" refreshError="1"/>
      <sheetData sheetId="5363" refreshError="1"/>
      <sheetData sheetId="5364" refreshError="1"/>
      <sheetData sheetId="5365" refreshError="1"/>
      <sheetData sheetId="5366" refreshError="1"/>
      <sheetData sheetId="5367" refreshError="1"/>
      <sheetData sheetId="5368" refreshError="1"/>
      <sheetData sheetId="5369" refreshError="1"/>
      <sheetData sheetId="5370" refreshError="1"/>
      <sheetData sheetId="5371" refreshError="1"/>
      <sheetData sheetId="5372" refreshError="1"/>
      <sheetData sheetId="5373" refreshError="1"/>
      <sheetData sheetId="5374" refreshError="1"/>
      <sheetData sheetId="5375" refreshError="1"/>
      <sheetData sheetId="5376" refreshError="1"/>
      <sheetData sheetId="5377" refreshError="1"/>
      <sheetData sheetId="5378" refreshError="1"/>
      <sheetData sheetId="5379" refreshError="1"/>
      <sheetData sheetId="5380" refreshError="1"/>
      <sheetData sheetId="5381" refreshError="1"/>
      <sheetData sheetId="5382" refreshError="1"/>
      <sheetData sheetId="5383" refreshError="1"/>
      <sheetData sheetId="5384" refreshError="1"/>
      <sheetData sheetId="5385" refreshError="1"/>
      <sheetData sheetId="5386" refreshError="1"/>
      <sheetData sheetId="5387" refreshError="1"/>
      <sheetData sheetId="5388" refreshError="1"/>
      <sheetData sheetId="5389" refreshError="1"/>
      <sheetData sheetId="5390" refreshError="1"/>
      <sheetData sheetId="5391" refreshError="1"/>
      <sheetData sheetId="5392" refreshError="1"/>
      <sheetData sheetId="5393" refreshError="1"/>
      <sheetData sheetId="5394" refreshError="1"/>
      <sheetData sheetId="5395" refreshError="1"/>
      <sheetData sheetId="5396" refreshError="1"/>
      <sheetData sheetId="5397" refreshError="1"/>
      <sheetData sheetId="5398" refreshError="1"/>
      <sheetData sheetId="5399" refreshError="1"/>
      <sheetData sheetId="5400" refreshError="1"/>
      <sheetData sheetId="5401" refreshError="1"/>
      <sheetData sheetId="5402" refreshError="1"/>
      <sheetData sheetId="5403" refreshError="1"/>
      <sheetData sheetId="5404" refreshError="1"/>
      <sheetData sheetId="5405" refreshError="1"/>
      <sheetData sheetId="5406" refreshError="1"/>
      <sheetData sheetId="5407" refreshError="1"/>
      <sheetData sheetId="5408" refreshError="1"/>
      <sheetData sheetId="5409" refreshError="1"/>
      <sheetData sheetId="5410" refreshError="1"/>
      <sheetData sheetId="5411"/>
      <sheetData sheetId="5412"/>
      <sheetData sheetId="5413"/>
      <sheetData sheetId="5414"/>
      <sheetData sheetId="5415" refreshError="1"/>
      <sheetData sheetId="5416" refreshError="1"/>
      <sheetData sheetId="5417" refreshError="1"/>
      <sheetData sheetId="5418" refreshError="1"/>
      <sheetData sheetId="5419" refreshError="1"/>
      <sheetData sheetId="5420" refreshError="1"/>
      <sheetData sheetId="5421" refreshError="1"/>
      <sheetData sheetId="5422" refreshError="1"/>
      <sheetData sheetId="5423"/>
      <sheetData sheetId="5424"/>
      <sheetData sheetId="5425"/>
      <sheetData sheetId="5426"/>
      <sheetData sheetId="5427" refreshError="1"/>
      <sheetData sheetId="5428" refreshError="1"/>
      <sheetData sheetId="5429" refreshError="1"/>
      <sheetData sheetId="5430" refreshError="1"/>
      <sheetData sheetId="5431" refreshError="1"/>
      <sheetData sheetId="5432" refreshError="1"/>
      <sheetData sheetId="5433" refreshError="1"/>
      <sheetData sheetId="5434" refreshError="1"/>
      <sheetData sheetId="5435" refreshError="1"/>
      <sheetData sheetId="5436" refreshError="1"/>
      <sheetData sheetId="5437" refreshError="1"/>
      <sheetData sheetId="5438" refreshError="1"/>
      <sheetData sheetId="5439" refreshError="1"/>
      <sheetData sheetId="5440" refreshError="1"/>
      <sheetData sheetId="5441" refreshError="1"/>
      <sheetData sheetId="5442" refreshError="1"/>
      <sheetData sheetId="5443" refreshError="1"/>
      <sheetData sheetId="5444" refreshError="1"/>
      <sheetData sheetId="5445" refreshError="1"/>
      <sheetData sheetId="5446"/>
      <sheetData sheetId="5447"/>
      <sheetData sheetId="5448"/>
      <sheetData sheetId="5449"/>
      <sheetData sheetId="5450" refreshError="1"/>
      <sheetData sheetId="5451" refreshError="1"/>
      <sheetData sheetId="5452" refreshError="1"/>
      <sheetData sheetId="5453" refreshError="1"/>
      <sheetData sheetId="5454" refreshError="1"/>
      <sheetData sheetId="5455" refreshError="1"/>
      <sheetData sheetId="5456" refreshError="1"/>
      <sheetData sheetId="5457" refreshError="1"/>
      <sheetData sheetId="5458" refreshError="1"/>
      <sheetData sheetId="5459" refreshError="1"/>
      <sheetData sheetId="5460" refreshError="1"/>
      <sheetData sheetId="5461" refreshError="1"/>
      <sheetData sheetId="5462"/>
      <sheetData sheetId="5463"/>
      <sheetData sheetId="5464"/>
      <sheetData sheetId="5465"/>
      <sheetData sheetId="5466"/>
      <sheetData sheetId="5467"/>
      <sheetData sheetId="5468"/>
      <sheetData sheetId="5469"/>
      <sheetData sheetId="5470"/>
      <sheetData sheetId="5471"/>
      <sheetData sheetId="5472"/>
      <sheetData sheetId="5473"/>
      <sheetData sheetId="5474" refreshError="1"/>
      <sheetData sheetId="5475" refreshError="1"/>
      <sheetData sheetId="5476" refreshError="1"/>
      <sheetData sheetId="5477" refreshError="1"/>
      <sheetData sheetId="5478" refreshError="1"/>
      <sheetData sheetId="5479" refreshError="1"/>
      <sheetData sheetId="5480" refreshError="1"/>
      <sheetData sheetId="5481" refreshError="1"/>
      <sheetData sheetId="5482" refreshError="1"/>
      <sheetData sheetId="5483"/>
      <sheetData sheetId="5484" refreshError="1"/>
      <sheetData sheetId="5485" refreshError="1"/>
      <sheetData sheetId="5486" refreshError="1"/>
      <sheetData sheetId="5487" refreshError="1"/>
      <sheetData sheetId="5488" refreshError="1"/>
      <sheetData sheetId="5489" refreshError="1"/>
      <sheetData sheetId="5490" refreshError="1"/>
      <sheetData sheetId="5491" refreshError="1"/>
      <sheetData sheetId="5492" refreshError="1"/>
      <sheetData sheetId="5493" refreshError="1"/>
      <sheetData sheetId="5494" refreshError="1"/>
      <sheetData sheetId="5495" refreshError="1"/>
      <sheetData sheetId="5496" refreshError="1"/>
      <sheetData sheetId="5497" refreshError="1"/>
      <sheetData sheetId="5498" refreshError="1"/>
      <sheetData sheetId="5499" refreshError="1"/>
      <sheetData sheetId="5500" refreshError="1"/>
      <sheetData sheetId="5501" refreshError="1"/>
      <sheetData sheetId="5502" refreshError="1"/>
      <sheetData sheetId="5503" refreshError="1"/>
      <sheetData sheetId="5504" refreshError="1"/>
      <sheetData sheetId="5505" refreshError="1"/>
      <sheetData sheetId="5506" refreshError="1"/>
      <sheetData sheetId="5507" refreshError="1"/>
      <sheetData sheetId="5508"/>
      <sheetData sheetId="5509"/>
      <sheetData sheetId="5510" refreshError="1"/>
      <sheetData sheetId="5511" refreshError="1"/>
      <sheetData sheetId="5512" refreshError="1"/>
      <sheetData sheetId="5513" refreshError="1"/>
      <sheetData sheetId="5514" refreshError="1"/>
      <sheetData sheetId="5515" refreshError="1"/>
      <sheetData sheetId="5516" refreshError="1"/>
      <sheetData sheetId="5517" refreshError="1"/>
      <sheetData sheetId="5518" refreshError="1"/>
      <sheetData sheetId="5519" refreshError="1"/>
      <sheetData sheetId="5520" refreshError="1"/>
      <sheetData sheetId="5521" refreshError="1"/>
      <sheetData sheetId="5522" refreshError="1"/>
      <sheetData sheetId="5523" refreshError="1"/>
      <sheetData sheetId="5524" refreshError="1"/>
      <sheetData sheetId="5525" refreshError="1"/>
      <sheetData sheetId="5526" refreshError="1"/>
      <sheetData sheetId="5527" refreshError="1"/>
      <sheetData sheetId="5528" refreshError="1"/>
      <sheetData sheetId="5529" refreshError="1"/>
      <sheetData sheetId="5530" refreshError="1"/>
      <sheetData sheetId="5531" refreshError="1"/>
      <sheetData sheetId="5532" refreshError="1"/>
      <sheetData sheetId="5533" refreshError="1"/>
      <sheetData sheetId="5534" refreshError="1"/>
      <sheetData sheetId="5535" refreshError="1"/>
      <sheetData sheetId="5536" refreshError="1"/>
      <sheetData sheetId="5537" refreshError="1"/>
      <sheetData sheetId="5538" refreshError="1"/>
      <sheetData sheetId="5539"/>
      <sheetData sheetId="5540"/>
      <sheetData sheetId="5541"/>
      <sheetData sheetId="5542"/>
      <sheetData sheetId="5543"/>
      <sheetData sheetId="5544"/>
      <sheetData sheetId="5545"/>
      <sheetData sheetId="5546"/>
      <sheetData sheetId="5547"/>
      <sheetData sheetId="5548"/>
      <sheetData sheetId="5549"/>
      <sheetData sheetId="5550"/>
      <sheetData sheetId="5551"/>
      <sheetData sheetId="5552"/>
      <sheetData sheetId="5553"/>
      <sheetData sheetId="5554"/>
      <sheetData sheetId="5555" refreshError="1"/>
      <sheetData sheetId="5556"/>
      <sheetData sheetId="5557" refreshError="1"/>
      <sheetData sheetId="5558" refreshError="1"/>
      <sheetData sheetId="5559" refreshError="1"/>
      <sheetData sheetId="5560" refreshError="1"/>
      <sheetData sheetId="5561"/>
      <sheetData sheetId="5562" refreshError="1"/>
      <sheetData sheetId="5563" refreshError="1"/>
      <sheetData sheetId="5564" refreshError="1"/>
      <sheetData sheetId="5565" refreshError="1"/>
      <sheetData sheetId="5566" refreshError="1"/>
      <sheetData sheetId="5567"/>
      <sheetData sheetId="5568" refreshError="1"/>
      <sheetData sheetId="5569" refreshError="1"/>
      <sheetData sheetId="5570" refreshError="1"/>
      <sheetData sheetId="5571" refreshError="1"/>
      <sheetData sheetId="5572" refreshError="1"/>
      <sheetData sheetId="5573" refreshError="1"/>
      <sheetData sheetId="5574" refreshError="1"/>
      <sheetData sheetId="5575" refreshError="1"/>
      <sheetData sheetId="5576" refreshError="1"/>
      <sheetData sheetId="5577" refreshError="1"/>
      <sheetData sheetId="5578" refreshError="1"/>
      <sheetData sheetId="5579" refreshError="1"/>
      <sheetData sheetId="5580" refreshError="1"/>
      <sheetData sheetId="5581" refreshError="1"/>
      <sheetData sheetId="5582" refreshError="1"/>
      <sheetData sheetId="5583" refreshError="1"/>
      <sheetData sheetId="5584" refreshError="1"/>
      <sheetData sheetId="5585"/>
      <sheetData sheetId="5586"/>
      <sheetData sheetId="5587"/>
      <sheetData sheetId="5588"/>
      <sheetData sheetId="5589"/>
      <sheetData sheetId="5590"/>
      <sheetData sheetId="5591"/>
      <sheetData sheetId="5592"/>
      <sheetData sheetId="5593"/>
      <sheetData sheetId="5594"/>
      <sheetData sheetId="5595"/>
      <sheetData sheetId="5596"/>
      <sheetData sheetId="5597"/>
      <sheetData sheetId="5598"/>
      <sheetData sheetId="5599"/>
      <sheetData sheetId="5600"/>
      <sheetData sheetId="5601"/>
      <sheetData sheetId="5602"/>
      <sheetData sheetId="5603"/>
      <sheetData sheetId="5604"/>
      <sheetData sheetId="5605"/>
      <sheetData sheetId="5606" refreshError="1"/>
      <sheetData sheetId="5607" refreshError="1"/>
      <sheetData sheetId="5608" refreshError="1"/>
      <sheetData sheetId="5609" refreshError="1"/>
      <sheetData sheetId="5610" refreshError="1"/>
      <sheetData sheetId="5611" refreshError="1"/>
      <sheetData sheetId="5612" refreshError="1"/>
      <sheetData sheetId="5613" refreshError="1"/>
      <sheetData sheetId="5614" refreshError="1"/>
      <sheetData sheetId="5615" refreshError="1"/>
      <sheetData sheetId="5616" refreshError="1"/>
      <sheetData sheetId="5617" refreshError="1"/>
      <sheetData sheetId="5618" refreshError="1"/>
      <sheetData sheetId="5619" refreshError="1"/>
      <sheetData sheetId="5620" refreshError="1"/>
      <sheetData sheetId="5621"/>
      <sheetData sheetId="5622"/>
      <sheetData sheetId="5623"/>
      <sheetData sheetId="5624"/>
      <sheetData sheetId="5625"/>
      <sheetData sheetId="5626"/>
      <sheetData sheetId="5627"/>
      <sheetData sheetId="5628"/>
      <sheetData sheetId="5629"/>
      <sheetData sheetId="5630"/>
      <sheetData sheetId="5631"/>
      <sheetData sheetId="5632"/>
      <sheetData sheetId="5633"/>
      <sheetData sheetId="5634"/>
      <sheetData sheetId="5635"/>
      <sheetData sheetId="5636"/>
      <sheetData sheetId="5637"/>
      <sheetData sheetId="5638"/>
      <sheetData sheetId="5639"/>
      <sheetData sheetId="5640"/>
      <sheetData sheetId="5641"/>
      <sheetData sheetId="5642"/>
      <sheetData sheetId="5643"/>
      <sheetData sheetId="5644"/>
      <sheetData sheetId="5645"/>
      <sheetData sheetId="5646"/>
      <sheetData sheetId="5647"/>
      <sheetData sheetId="5648"/>
      <sheetData sheetId="5649"/>
      <sheetData sheetId="5650"/>
      <sheetData sheetId="5651"/>
      <sheetData sheetId="5652"/>
      <sheetData sheetId="5653"/>
      <sheetData sheetId="5654"/>
      <sheetData sheetId="5655"/>
      <sheetData sheetId="5656"/>
      <sheetData sheetId="5657"/>
      <sheetData sheetId="5658"/>
      <sheetData sheetId="5659"/>
      <sheetData sheetId="5660"/>
      <sheetData sheetId="5661"/>
      <sheetData sheetId="5662"/>
      <sheetData sheetId="5663"/>
      <sheetData sheetId="5664"/>
      <sheetData sheetId="5665"/>
      <sheetData sheetId="5666"/>
      <sheetData sheetId="5667"/>
      <sheetData sheetId="5668"/>
      <sheetData sheetId="5669"/>
      <sheetData sheetId="5670"/>
      <sheetData sheetId="5671"/>
      <sheetData sheetId="5672"/>
      <sheetData sheetId="5673"/>
      <sheetData sheetId="5674"/>
      <sheetData sheetId="5675"/>
      <sheetData sheetId="5676"/>
      <sheetData sheetId="5677"/>
      <sheetData sheetId="5678"/>
      <sheetData sheetId="5679"/>
      <sheetData sheetId="5680"/>
      <sheetData sheetId="5681"/>
      <sheetData sheetId="5682"/>
      <sheetData sheetId="5683"/>
      <sheetData sheetId="5684"/>
      <sheetData sheetId="5685"/>
      <sheetData sheetId="5686"/>
      <sheetData sheetId="5687"/>
      <sheetData sheetId="5688"/>
      <sheetData sheetId="5689"/>
      <sheetData sheetId="5690"/>
      <sheetData sheetId="5691"/>
      <sheetData sheetId="5692"/>
      <sheetData sheetId="5693"/>
      <sheetData sheetId="5694"/>
      <sheetData sheetId="5695"/>
      <sheetData sheetId="5696"/>
      <sheetData sheetId="5697"/>
      <sheetData sheetId="5698"/>
      <sheetData sheetId="5699"/>
      <sheetData sheetId="5700"/>
      <sheetData sheetId="5701"/>
      <sheetData sheetId="5702"/>
      <sheetData sheetId="5703"/>
      <sheetData sheetId="5704"/>
      <sheetData sheetId="5705"/>
      <sheetData sheetId="5706"/>
      <sheetData sheetId="5707"/>
      <sheetData sheetId="5708"/>
      <sheetData sheetId="5709"/>
      <sheetData sheetId="5710"/>
      <sheetData sheetId="5711"/>
      <sheetData sheetId="5712"/>
      <sheetData sheetId="5713"/>
      <sheetData sheetId="5714"/>
      <sheetData sheetId="5715"/>
      <sheetData sheetId="5716"/>
      <sheetData sheetId="5717"/>
      <sheetData sheetId="5718"/>
      <sheetData sheetId="5719"/>
      <sheetData sheetId="5720"/>
      <sheetData sheetId="5721"/>
      <sheetData sheetId="5722"/>
      <sheetData sheetId="5723"/>
      <sheetData sheetId="5724"/>
      <sheetData sheetId="5725"/>
      <sheetData sheetId="5726"/>
      <sheetData sheetId="5727"/>
      <sheetData sheetId="5728" refreshError="1"/>
      <sheetData sheetId="5729"/>
      <sheetData sheetId="5730" refreshError="1"/>
      <sheetData sheetId="5731" refreshError="1"/>
      <sheetData sheetId="5732" refreshError="1"/>
      <sheetData sheetId="5733" refreshError="1"/>
      <sheetData sheetId="5734" refreshError="1"/>
      <sheetData sheetId="5735" refreshError="1"/>
      <sheetData sheetId="5736" refreshError="1"/>
      <sheetData sheetId="5737" refreshError="1"/>
      <sheetData sheetId="5738" refreshError="1"/>
      <sheetData sheetId="5739" refreshError="1"/>
      <sheetData sheetId="5740" refreshError="1"/>
      <sheetData sheetId="5741" refreshError="1"/>
      <sheetData sheetId="5742" refreshError="1"/>
      <sheetData sheetId="5743" refreshError="1"/>
      <sheetData sheetId="5744" refreshError="1"/>
      <sheetData sheetId="5745" refreshError="1"/>
      <sheetData sheetId="5746" refreshError="1"/>
      <sheetData sheetId="5747" refreshError="1"/>
      <sheetData sheetId="5748" refreshError="1"/>
      <sheetData sheetId="5749" refreshError="1"/>
      <sheetData sheetId="5750" refreshError="1"/>
      <sheetData sheetId="5751" refreshError="1"/>
      <sheetData sheetId="5752" refreshError="1"/>
      <sheetData sheetId="5753" refreshError="1"/>
      <sheetData sheetId="5754" refreshError="1"/>
      <sheetData sheetId="5755" refreshError="1"/>
      <sheetData sheetId="5756" refreshError="1"/>
      <sheetData sheetId="5757" refreshError="1"/>
      <sheetData sheetId="5758" refreshError="1"/>
      <sheetData sheetId="5759" refreshError="1"/>
      <sheetData sheetId="5760" refreshError="1"/>
      <sheetData sheetId="5761" refreshError="1"/>
      <sheetData sheetId="5762" refreshError="1"/>
      <sheetData sheetId="5763" refreshError="1"/>
      <sheetData sheetId="5764" refreshError="1"/>
      <sheetData sheetId="5765" refreshError="1"/>
      <sheetData sheetId="5766" refreshError="1"/>
      <sheetData sheetId="5767" refreshError="1"/>
      <sheetData sheetId="5768" refreshError="1"/>
      <sheetData sheetId="5769" refreshError="1"/>
      <sheetData sheetId="5770" refreshError="1"/>
      <sheetData sheetId="5771" refreshError="1"/>
      <sheetData sheetId="5772" refreshError="1"/>
      <sheetData sheetId="5773" refreshError="1"/>
      <sheetData sheetId="5774" refreshError="1"/>
      <sheetData sheetId="5775" refreshError="1"/>
      <sheetData sheetId="5776" refreshError="1"/>
      <sheetData sheetId="5777" refreshError="1"/>
      <sheetData sheetId="5778" refreshError="1"/>
      <sheetData sheetId="5779" refreshError="1"/>
      <sheetData sheetId="5780" refreshError="1"/>
      <sheetData sheetId="5781" refreshError="1"/>
      <sheetData sheetId="5782" refreshError="1"/>
      <sheetData sheetId="5783" refreshError="1"/>
      <sheetData sheetId="5784" refreshError="1"/>
      <sheetData sheetId="5785" refreshError="1"/>
      <sheetData sheetId="5786" refreshError="1"/>
      <sheetData sheetId="5787" refreshError="1"/>
      <sheetData sheetId="5788" refreshError="1"/>
      <sheetData sheetId="5789" refreshError="1"/>
      <sheetData sheetId="5790" refreshError="1"/>
      <sheetData sheetId="5791" refreshError="1"/>
      <sheetData sheetId="5792" refreshError="1"/>
      <sheetData sheetId="5793" refreshError="1"/>
      <sheetData sheetId="5794" refreshError="1"/>
      <sheetData sheetId="5795" refreshError="1"/>
      <sheetData sheetId="5796" refreshError="1"/>
      <sheetData sheetId="5797" refreshError="1"/>
      <sheetData sheetId="5798" refreshError="1"/>
      <sheetData sheetId="5799" refreshError="1"/>
      <sheetData sheetId="5800" refreshError="1"/>
      <sheetData sheetId="5801" refreshError="1"/>
      <sheetData sheetId="5802" refreshError="1"/>
      <sheetData sheetId="5803" refreshError="1"/>
      <sheetData sheetId="5804" refreshError="1"/>
      <sheetData sheetId="5805" refreshError="1"/>
      <sheetData sheetId="5806" refreshError="1"/>
      <sheetData sheetId="5807" refreshError="1"/>
      <sheetData sheetId="5808" refreshError="1"/>
      <sheetData sheetId="5809" refreshError="1"/>
      <sheetData sheetId="5810" refreshError="1"/>
      <sheetData sheetId="5811" refreshError="1"/>
      <sheetData sheetId="5812" refreshError="1"/>
      <sheetData sheetId="5813" refreshError="1"/>
      <sheetData sheetId="5814" refreshError="1"/>
      <sheetData sheetId="5815" refreshError="1"/>
      <sheetData sheetId="5816" refreshError="1"/>
      <sheetData sheetId="5817" refreshError="1"/>
      <sheetData sheetId="5818" refreshError="1"/>
      <sheetData sheetId="5819" refreshError="1"/>
      <sheetData sheetId="5820" refreshError="1"/>
      <sheetData sheetId="5821" refreshError="1"/>
      <sheetData sheetId="5822" refreshError="1"/>
      <sheetData sheetId="5823" refreshError="1"/>
      <sheetData sheetId="5824" refreshError="1"/>
      <sheetData sheetId="5825" refreshError="1"/>
      <sheetData sheetId="5826" refreshError="1"/>
      <sheetData sheetId="5827"/>
      <sheetData sheetId="5828" refreshError="1"/>
      <sheetData sheetId="5829" refreshError="1"/>
      <sheetData sheetId="5830" refreshError="1"/>
      <sheetData sheetId="5831" refreshError="1"/>
      <sheetData sheetId="5832" refreshError="1"/>
      <sheetData sheetId="5833" refreshError="1"/>
      <sheetData sheetId="5834" refreshError="1"/>
      <sheetData sheetId="5835" refreshError="1"/>
      <sheetData sheetId="5836" refreshError="1"/>
      <sheetData sheetId="5837" refreshError="1"/>
      <sheetData sheetId="5838" refreshError="1"/>
      <sheetData sheetId="5839" refreshError="1"/>
      <sheetData sheetId="5840" refreshError="1"/>
      <sheetData sheetId="5841" refreshError="1"/>
      <sheetData sheetId="5842" refreshError="1"/>
      <sheetData sheetId="5843" refreshError="1"/>
      <sheetData sheetId="5844" refreshError="1"/>
      <sheetData sheetId="5845" refreshError="1"/>
      <sheetData sheetId="5846" refreshError="1"/>
      <sheetData sheetId="5847" refreshError="1"/>
      <sheetData sheetId="5848" refreshError="1"/>
      <sheetData sheetId="5849" refreshError="1"/>
      <sheetData sheetId="5850" refreshError="1"/>
      <sheetData sheetId="5851" refreshError="1"/>
      <sheetData sheetId="5852" refreshError="1"/>
      <sheetData sheetId="5853" refreshError="1"/>
      <sheetData sheetId="5854"/>
      <sheetData sheetId="5855"/>
      <sheetData sheetId="5856"/>
      <sheetData sheetId="5857"/>
      <sheetData sheetId="5858"/>
      <sheetData sheetId="5859"/>
      <sheetData sheetId="5860"/>
      <sheetData sheetId="5861"/>
      <sheetData sheetId="5862"/>
      <sheetData sheetId="5863"/>
      <sheetData sheetId="5864"/>
      <sheetData sheetId="5865"/>
      <sheetData sheetId="5866"/>
      <sheetData sheetId="5867"/>
      <sheetData sheetId="5868"/>
      <sheetData sheetId="5869"/>
      <sheetData sheetId="5870"/>
      <sheetData sheetId="5871"/>
      <sheetData sheetId="5872"/>
      <sheetData sheetId="5873"/>
      <sheetData sheetId="5874"/>
      <sheetData sheetId="5875"/>
      <sheetData sheetId="5876"/>
      <sheetData sheetId="5877"/>
      <sheetData sheetId="5878"/>
      <sheetData sheetId="5879"/>
      <sheetData sheetId="5880"/>
      <sheetData sheetId="5881"/>
      <sheetData sheetId="5882"/>
      <sheetData sheetId="5883"/>
      <sheetData sheetId="5884"/>
      <sheetData sheetId="5885"/>
      <sheetData sheetId="5886"/>
      <sheetData sheetId="5887"/>
      <sheetData sheetId="5888"/>
      <sheetData sheetId="5889" refreshError="1"/>
      <sheetData sheetId="5890" refreshError="1"/>
      <sheetData sheetId="5891" refreshError="1"/>
      <sheetData sheetId="5892" refreshError="1"/>
      <sheetData sheetId="5893" refreshError="1"/>
      <sheetData sheetId="5894" refreshError="1"/>
      <sheetData sheetId="5895" refreshError="1"/>
      <sheetData sheetId="5896" refreshError="1"/>
      <sheetData sheetId="5897" refreshError="1"/>
      <sheetData sheetId="5898" refreshError="1"/>
      <sheetData sheetId="5899" refreshError="1"/>
      <sheetData sheetId="5900" refreshError="1"/>
      <sheetData sheetId="5901" refreshError="1"/>
      <sheetData sheetId="5902" refreshError="1"/>
      <sheetData sheetId="5903" refreshError="1"/>
      <sheetData sheetId="5904" refreshError="1"/>
      <sheetData sheetId="5905" refreshError="1"/>
      <sheetData sheetId="5906" refreshError="1"/>
      <sheetData sheetId="5907" refreshError="1"/>
      <sheetData sheetId="5908" refreshError="1"/>
      <sheetData sheetId="5909" refreshError="1"/>
      <sheetData sheetId="5910"/>
      <sheetData sheetId="5911" refreshError="1"/>
      <sheetData sheetId="5912" refreshError="1"/>
      <sheetData sheetId="5913" refreshError="1"/>
      <sheetData sheetId="5914" refreshError="1"/>
      <sheetData sheetId="5915" refreshError="1"/>
      <sheetData sheetId="5916" refreshError="1"/>
      <sheetData sheetId="5917" refreshError="1"/>
      <sheetData sheetId="5918" refreshError="1"/>
      <sheetData sheetId="5919" refreshError="1"/>
      <sheetData sheetId="5920" refreshError="1"/>
      <sheetData sheetId="5921" refreshError="1"/>
      <sheetData sheetId="5922" refreshError="1"/>
      <sheetData sheetId="5923" refreshError="1"/>
      <sheetData sheetId="5924" refreshError="1"/>
      <sheetData sheetId="5925" refreshError="1"/>
      <sheetData sheetId="5926" refreshError="1"/>
      <sheetData sheetId="5927" refreshError="1"/>
      <sheetData sheetId="5928" refreshError="1"/>
      <sheetData sheetId="5929" refreshError="1"/>
      <sheetData sheetId="5930" refreshError="1"/>
      <sheetData sheetId="5931" refreshError="1"/>
      <sheetData sheetId="5932" refreshError="1"/>
      <sheetData sheetId="5933" refreshError="1"/>
      <sheetData sheetId="5934" refreshError="1"/>
      <sheetData sheetId="5935" refreshError="1"/>
      <sheetData sheetId="5936" refreshError="1"/>
      <sheetData sheetId="5937" refreshError="1"/>
      <sheetData sheetId="5938" refreshError="1"/>
      <sheetData sheetId="5939" refreshError="1"/>
      <sheetData sheetId="5940" refreshError="1"/>
      <sheetData sheetId="5941" refreshError="1"/>
      <sheetData sheetId="5942" refreshError="1"/>
      <sheetData sheetId="5943" refreshError="1"/>
      <sheetData sheetId="5944" refreshError="1"/>
      <sheetData sheetId="5945" refreshError="1"/>
      <sheetData sheetId="5946" refreshError="1"/>
      <sheetData sheetId="5947" refreshError="1"/>
      <sheetData sheetId="5948" refreshError="1"/>
      <sheetData sheetId="5949" refreshError="1"/>
      <sheetData sheetId="5950" refreshError="1"/>
      <sheetData sheetId="5951" refreshError="1"/>
      <sheetData sheetId="5952" refreshError="1"/>
      <sheetData sheetId="5953" refreshError="1"/>
      <sheetData sheetId="5954" refreshError="1"/>
      <sheetData sheetId="5955" refreshError="1"/>
      <sheetData sheetId="5956" refreshError="1"/>
      <sheetData sheetId="5957"/>
      <sheetData sheetId="5958"/>
      <sheetData sheetId="5959" refreshError="1"/>
      <sheetData sheetId="5960" refreshError="1"/>
      <sheetData sheetId="5961" refreshError="1"/>
      <sheetData sheetId="5962" refreshError="1"/>
      <sheetData sheetId="5963" refreshError="1"/>
      <sheetData sheetId="5964" refreshError="1"/>
      <sheetData sheetId="5965" refreshError="1"/>
      <sheetData sheetId="5966" refreshError="1"/>
      <sheetData sheetId="5967" refreshError="1"/>
      <sheetData sheetId="5968" refreshError="1"/>
      <sheetData sheetId="5969" refreshError="1"/>
      <sheetData sheetId="5970" refreshError="1"/>
      <sheetData sheetId="5971" refreshError="1"/>
      <sheetData sheetId="5972" refreshError="1"/>
      <sheetData sheetId="5973" refreshError="1"/>
      <sheetData sheetId="5974"/>
      <sheetData sheetId="5975"/>
      <sheetData sheetId="5976"/>
      <sheetData sheetId="5977"/>
      <sheetData sheetId="5978"/>
      <sheetData sheetId="5979"/>
      <sheetData sheetId="5980"/>
      <sheetData sheetId="5981"/>
      <sheetData sheetId="5982"/>
      <sheetData sheetId="5983"/>
      <sheetData sheetId="5984" refreshError="1"/>
      <sheetData sheetId="5985" refreshError="1"/>
    </sheetDataSet>
  </externalBook>
</externalLink>
</file>

<file path=xl/externalLinks/externalLink2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2.주요계수총괄"/>
      <sheetName val="유형자산"/>
      <sheetName val="2.주요계수총괄 (2)"/>
      <sheetName val="2.1fcf분석"/>
      <sheetName val="차이요인"/>
      <sheetName val="손익계산서"/>
      <sheetName val="6.1영업이익"/>
      <sheetName val="6.298년대비99년"/>
      <sheetName val="6.3영업이익분석"/>
      <sheetName val="6.4매출액구성"/>
      <sheetName val="요인"/>
      <sheetName val="6.5매출원가구성"/>
      <sheetName val="6.6판매관리비 구성"/>
      <sheetName val="7요약cf"/>
      <sheetName val="7.1WORKING CAPITAL"/>
      <sheetName val="7.2설비투자내역"/>
      <sheetName val="자산매각"/>
      <sheetName val="7.3차입금"/>
      <sheetName val="8대차대조표"/>
      <sheetName val="Module1"/>
      <sheetName val="VXXXXX"/>
      <sheetName val="갑지"/>
      <sheetName val="추가공사"/>
      <sheetName val="중기계획5"/>
      <sheetName val="Cover"/>
      <sheetName val="주요지표"/>
      <sheetName val=" PL"/>
      <sheetName val="ROIC"/>
      <sheetName val=" Cash Flow"/>
      <sheetName val="BS"/>
      <sheetName val="기타&amp;특별수지 명세"/>
      <sheetName val="목차"/>
      <sheetName val="기본원칙"/>
      <sheetName val="매출액명세"/>
      <sheetName val="매출원가명세"/>
      <sheetName val="매출이익명세"/>
      <sheetName val="인력계획"/>
      <sheetName val="인건비"/>
      <sheetName val="판관비-공통"/>
      <sheetName val="판관비-기타경비명세"/>
      <sheetName val="매출채권산출"/>
      <sheetName val="재고자산산출"/>
      <sheetName val="수입계획"/>
      <sheetName val="매입채무산출"/>
      <sheetName val="투자계획"/>
      <sheetName val="이자비용"/>
      <sheetName val="BS계정"/>
      <sheetName val="Sensible Indicator"/>
      <sheetName val="현금흐름"/>
      <sheetName val="교각1"/>
      <sheetName val="간선계산"/>
      <sheetName val="입찰안"/>
      <sheetName val="목표세부명세"/>
      <sheetName val="전차선로 물량표"/>
      <sheetName val="설계내역서"/>
      <sheetName val="포장복구집계"/>
      <sheetName val="노임이"/>
      <sheetName val="SUMMARY"/>
      <sheetName val="PAINT"/>
      <sheetName val="SFAM_Summary"/>
      <sheetName val="입력장표"/>
      <sheetName val="간지"/>
      <sheetName val="대비"/>
      <sheetName val="2006년 제조경비 추정"/>
      <sheetName val="제조경비 계획"/>
      <sheetName val="2006년 일반관리비 추정"/>
      <sheetName val="일반관리비계획"/>
      <sheetName val="지급수수료"/>
      <sheetName val="제작비"/>
      <sheetName val="잡급 (일반)"/>
      <sheetName val="복리후생비 (일반)"/>
      <sheetName val="여비교통비 (일반)"/>
      <sheetName val="통신비 (일반)"/>
      <sheetName val="세금과공과 (일반)"/>
      <sheetName val="지급임차료 (일반)"/>
      <sheetName val="감가상각비 (일반)"/>
      <sheetName val="수선비 (일반)"/>
      <sheetName val="보험료 (일반)"/>
      <sheetName val="접대비 (일반)"/>
      <sheetName val="광고선전비(일반)"/>
      <sheetName val="지급수수료 (일반)"/>
      <sheetName val="교육훈련비 (일반)"/>
      <sheetName val="도서인쇄비 (일반)"/>
      <sheetName val="사무비 (일반)"/>
      <sheetName val="소모품비 (일반)"/>
      <sheetName val="운반비 (일반)"/>
      <sheetName val="지급용역비 (일반)"/>
      <sheetName val="차수"/>
      <sheetName val="ABUT수량-A1"/>
      <sheetName val="적용환율"/>
      <sheetName val="송전기본"/>
      <sheetName val="버스운행안내"/>
      <sheetName val="예방접종계획"/>
      <sheetName val="근태계획서"/>
      <sheetName val="건설가"/>
      <sheetName val="2_주요계수총괄"/>
      <sheetName val="2_주요계수총괄_(2)"/>
      <sheetName val="2_1fcf분석"/>
      <sheetName val="6_1영업이익"/>
      <sheetName val="6_298년대비99년"/>
      <sheetName val="6_3영업이익분석"/>
      <sheetName val="6_4매출액구성"/>
      <sheetName val="6_5매출원가구성"/>
      <sheetName val="6_6판매관리비_구성"/>
      <sheetName val="7_1WORKING_CAPITAL"/>
      <sheetName val="7_2설비투자내역"/>
      <sheetName val="7_3차입금"/>
      <sheetName val="_PL"/>
      <sheetName val="_Cash_Flow"/>
      <sheetName val="기타&amp;특별수지_명세"/>
      <sheetName val="Sensible_Indicator"/>
      <sheetName val="전차선로_물량표"/>
      <sheetName val="2006년_제조경비_추정"/>
      <sheetName val="제조경비_계획"/>
      <sheetName val="2006년_일반관리비_추정"/>
      <sheetName val="잡급_(일반)"/>
      <sheetName val="복리후생비_(일반)"/>
      <sheetName val="여비교통비_(일반)"/>
      <sheetName val="통신비_(일반)"/>
      <sheetName val="세금과공과_(일반)"/>
      <sheetName val="지급임차료_(일반)"/>
      <sheetName val="감가상각비_(일반)"/>
      <sheetName val="수선비_(일반)"/>
      <sheetName val="보험료_(일반)"/>
      <sheetName val="접대비_(일반)"/>
      <sheetName val="지급수수료_(일반)"/>
      <sheetName val="교육훈련비_(일반)"/>
      <sheetName val="도서인쇄비_(일반)"/>
      <sheetName val="사무비_(일반)"/>
      <sheetName val="소모품비_(일반)"/>
      <sheetName val="운반비_(일반)"/>
      <sheetName val="지급용역비_(일반)"/>
      <sheetName val="총괄"/>
      <sheetName val="손익분석"/>
      <sheetName val="투입분"/>
      <sheetName val="SCH"/>
      <sheetName val="Lead"/>
      <sheetName val="Assumptions"/>
      <sheetName val="신흥교"/>
      <sheetName val="단면 (2)"/>
      <sheetName val="금액내역서"/>
      <sheetName val="인사자료총집계"/>
      <sheetName val="支払手形"/>
      <sheetName val="雑収"/>
      <sheetName val="97년추정손익계산서"/>
      <sheetName val="토공사"/>
      <sheetName val="산출기준(파견전산실)"/>
      <sheetName val="Asset9809CAK"/>
      <sheetName val="출자한도"/>
      <sheetName val="STARTSHEET"/>
      <sheetName val="Parameters"/>
      <sheetName val="양식(직판용)"/>
      <sheetName val="역T형"/>
      <sheetName val="982월원안"/>
      <sheetName val="표지"/>
      <sheetName val="선수금"/>
      <sheetName val="Asso02"/>
      <sheetName val="예금현황"/>
      <sheetName val="Report Setup"/>
      <sheetName val="BATCH"/>
      <sheetName val="점수계산1-2"/>
      <sheetName val="갑지1"/>
      <sheetName val="장비가동"/>
      <sheetName val="수입"/>
      <sheetName val="월별수입"/>
      <sheetName val="화의-현금흐름"/>
      <sheetName val="담보"/>
      <sheetName val="1유리"/>
      <sheetName val="호프"/>
      <sheetName val="추가예산"/>
      <sheetName val="개발팀"/>
      <sheetName val="월별"/>
      <sheetName val="SUM(D)"/>
      <sheetName val="작성기준"/>
      <sheetName val="시멘트"/>
      <sheetName val="2000.05"/>
      <sheetName val="노무비"/>
      <sheetName val="Main"/>
      <sheetName val="Cash Flow"/>
      <sheetName val="Source"/>
      <sheetName val="TOT"/>
      <sheetName val="충주"/>
      <sheetName val="pivot"/>
      <sheetName val="bs세부"/>
      <sheetName val="품셈TABLE"/>
      <sheetName val="별제권_정리담보권"/>
      <sheetName val="선수금,기성"/>
      <sheetName val="직노"/>
      <sheetName val="결손금"/>
      <sheetName val="매출"/>
      <sheetName val="CLM-MP"/>
      <sheetName val="자바라1"/>
      <sheetName val="예적금"/>
      <sheetName val="월별손익"/>
      <sheetName val="국내총괄"/>
      <sheetName val="공통가설"/>
      <sheetName val="특판제외"/>
      <sheetName val="건축공사실행"/>
      <sheetName val="건축원가"/>
      <sheetName val="5사남"/>
      <sheetName val="노임단가"/>
      <sheetName val="경비_원본"/>
      <sheetName val="3) 클레임 반영시"/>
      <sheetName val="exchange"/>
      <sheetName val="ETC"/>
      <sheetName val="수주실적0709"/>
      <sheetName val="공사비예산서(토목분)"/>
      <sheetName val="부채"/>
      <sheetName val="명세"/>
      <sheetName val="BAN9905"/>
      <sheetName val="94B"/>
      <sheetName val="cash_flow"/>
      <sheetName val="Analysis"/>
      <sheetName val="Excess Calc"/>
      <sheetName val="graph"/>
      <sheetName val="ITEMLIST9911"/>
      <sheetName val="2.대외공문"/>
      <sheetName val="완성차 미수금"/>
      <sheetName val="Ctrl"/>
      <sheetName val="잉여금"/>
      <sheetName val="Parm"/>
      <sheetName val="합계잔액시산표"/>
      <sheetName val="DATA"/>
      <sheetName val="AS복구"/>
      <sheetName val="중기터파기"/>
      <sheetName val="변수값"/>
      <sheetName val="중기상차"/>
      <sheetName val="マスタ"/>
      <sheetName val="Regenerator  Concrete Structure"/>
      <sheetName val="자금청구"/>
      <sheetName val="base"/>
      <sheetName val="IMPEADENCE MAP 취수장"/>
      <sheetName val="최종"/>
      <sheetName val="choose"/>
      <sheetName val="Factor"/>
      <sheetName val="노임"/>
      <sheetName val="Area"/>
      <sheetName val="2. Summary-cash"/>
      <sheetName val="Calc"/>
      <sheetName val="Tenancy Sch"/>
      <sheetName val="Input"/>
      <sheetName val="Outgoings"/>
      <sheetName val="부하계산서"/>
      <sheetName val="wall"/>
      <sheetName val="Front"/>
      <sheetName val="일위대가"/>
      <sheetName val="토목주소"/>
      <sheetName val="프랜트면허"/>
      <sheetName val="6호기"/>
      <sheetName val="건축2"/>
      <sheetName val="일위대가(계측기설치)"/>
      <sheetName val="금액"/>
      <sheetName val="6_5매⧁⠀㄀　㄀"/>
      <sheetName val="회사99"/>
      <sheetName val="CVT산정"/>
      <sheetName val="TRIM-Y3"/>
      <sheetName val="창호매출연계"/>
      <sheetName val="수로교총재료집계"/>
      <sheetName val=""/>
      <sheetName val="MixBed"/>
      <sheetName val="FAX"/>
      <sheetName val="남양시작동자105노65기1.3화1.2"/>
      <sheetName val="공사수행방안"/>
      <sheetName val="물량산출근거"/>
      <sheetName val="95하"/>
      <sheetName val="MIJIBI"/>
      <sheetName val="공문"/>
      <sheetName val="I一般比"/>
      <sheetName val="단가조사"/>
      <sheetName val="물량표"/>
      <sheetName val="감충변동"/>
      <sheetName val="정부노임단가"/>
      <sheetName val="Table"/>
      <sheetName val="중기계획5.xls"/>
      <sheetName val="%EC%A4%91%EA%B8%B0%EA%B3%84%ED%"/>
      <sheetName val="\\Dsmadmin\c\DATA\경영계획\99년도\제출자"/>
      <sheetName val="96빙그레"/>
      <sheetName val="96해태"/>
      <sheetName val="96롯데"/>
      <sheetName val="B767"/>
      <sheetName val="유일형"/>
      <sheetName val="원본"/>
      <sheetName val="ITEM-LIST"/>
      <sheetName val="스낵물량"/>
      <sheetName val="Sheet12"/>
      <sheetName val="탄산"/>
      <sheetName val="98매출현"/>
      <sheetName val="2_주요계수총괄1"/>
      <sheetName val="2_주요계수총괄_(2)1"/>
      <sheetName val="2_1fcf분석1"/>
      <sheetName val="6_1영업이익1"/>
      <sheetName val="6_298년대비99년1"/>
      <sheetName val="6_3영업이익분석1"/>
      <sheetName val="6_4매출액구성1"/>
      <sheetName val="6_5매출원가구성1"/>
      <sheetName val="6_6판매관리비_구성1"/>
      <sheetName val="7_1WORKING_CAPITAL1"/>
      <sheetName val="7_2설비투자내역1"/>
      <sheetName val="7_3차입금1"/>
      <sheetName val="_PL1"/>
      <sheetName val="_Cash_Flow1"/>
      <sheetName val="기타&amp;특별수지_명세1"/>
      <sheetName val="Sensible_Indicator1"/>
      <sheetName val="전차선로_물량표1"/>
      <sheetName val="2006년_제조경비_추정1"/>
      <sheetName val="제조경비_계획1"/>
      <sheetName val="2006년_일반관리비_추정1"/>
      <sheetName val="잡급_(일반)1"/>
      <sheetName val="복리후생비_(일반)1"/>
      <sheetName val="여비교통비_(일반)1"/>
      <sheetName val="통신비_(일반)1"/>
      <sheetName val="세금과공과_(일반)1"/>
      <sheetName val="지급임차료_(일반)1"/>
      <sheetName val="감가상각비_(일반)1"/>
      <sheetName val="수선비_(일반)1"/>
      <sheetName val="보험료_(일반)1"/>
      <sheetName val="접대비_(일반)1"/>
      <sheetName val="지급수수료_(일반)1"/>
      <sheetName val="교육훈련비_(일반)1"/>
      <sheetName val="도서인쇄비_(일반)1"/>
      <sheetName val="사무비_(일반)1"/>
      <sheetName val="소모품비_(일반)1"/>
      <sheetName val="운반비_(일반)1"/>
      <sheetName val="지급용역비_(일반)1"/>
      <sheetName val="BQ"/>
      <sheetName val="#REF"/>
      <sheetName val="4"/>
      <sheetName val="총괄-1"/>
      <sheetName val="TOP HEAVY PAYMENT graph"/>
      <sheetName val="소일위대가코드표"/>
      <sheetName val="총괄표"/>
      <sheetName val="지우지말것"/>
      <sheetName val="실행"/>
      <sheetName val="Sheet3"/>
      <sheetName val="관급"/>
      <sheetName val="교통대책내역"/>
      <sheetName val="GAEYO"/>
      <sheetName val="은행"/>
      <sheetName val="Sheet6"/>
      <sheetName val="개발계획수립"/>
      <sheetName val="환율입력"/>
      <sheetName val="신규DEP"/>
      <sheetName val="10매출"/>
      <sheetName val="시험연구비상각"/>
      <sheetName val="TOTAL"/>
      <sheetName val="업무담당"/>
      <sheetName val="골조시행"/>
      <sheetName val="CODE"/>
      <sheetName val="영업외손"/>
      <sheetName val="일반관리"/>
      <sheetName val="특별손익"/>
      <sheetName val="ABAD"/>
      <sheetName val="A1기성"/>
      <sheetName val="BGT"/>
      <sheetName val="CHAVOSH"/>
      <sheetName val="ZAR SAZ"/>
      <sheetName val="장비명"/>
      <sheetName val="조작코드"/>
      <sheetName val="변형자료"/>
      <sheetName val="날짜별"/>
      <sheetName val="수납장"/>
      <sheetName val="업체별"/>
      <sheetName val="result"/>
      <sheetName val="data비교_raw"/>
      <sheetName val="수율생산"/>
      <sheetName val="내역"/>
      <sheetName val="약품공급2"/>
      <sheetName val="2_주요계수총괄2"/>
      <sheetName val="2_주요계수총괄_(2)2"/>
      <sheetName val="2_1fcf분석2"/>
      <sheetName val="6_1영업이익2"/>
      <sheetName val="6_298년대비99년2"/>
      <sheetName val="6_3영업이익분석2"/>
      <sheetName val="6_4매출액구성2"/>
      <sheetName val="6_5매출원가구성2"/>
      <sheetName val="6_6판매관리비_구성2"/>
      <sheetName val="7_1WORKING_CAPITAL2"/>
      <sheetName val="7_2설비투자내역2"/>
      <sheetName val="7_3차입금2"/>
      <sheetName val="_PL2"/>
      <sheetName val="_Cash_Flow2"/>
      <sheetName val="기타&amp;특별수지_명세2"/>
      <sheetName val="Sensible_Indicator2"/>
      <sheetName val="전차선로_물량표2"/>
      <sheetName val="2006년_제조경비_추정2"/>
      <sheetName val="제조경비_계획2"/>
      <sheetName val="2006년_일반관리비_추정2"/>
      <sheetName val="잡급_(일반)2"/>
      <sheetName val="복리후생비_(일반)2"/>
      <sheetName val="여비교통비_(일반)2"/>
      <sheetName val="통신비_(일반)2"/>
      <sheetName val="세금과공과_(일반)2"/>
      <sheetName val="지급임차료_(일반)2"/>
      <sheetName val="감가상각비_(일반)2"/>
      <sheetName val="수선비_(일반)2"/>
      <sheetName val="보험료_(일반)2"/>
      <sheetName val="접대비_(일반)2"/>
      <sheetName val="지급수수료_(일반)2"/>
      <sheetName val="교육훈련비_(일반)2"/>
      <sheetName val="도서인쇄비_(일반)2"/>
      <sheetName val="사무비_(일반)2"/>
      <sheetName val="소모품비_(일반)2"/>
      <sheetName val="운반비_(일반)2"/>
      <sheetName val="지급용역비_(일반)2"/>
      <sheetName val="언양"/>
      <sheetName val="Rates"/>
      <sheetName val="OIL SYST DATA SHTS"/>
      <sheetName val="Index"/>
      <sheetName val="IMCI-Assumptions (Mgt.)"/>
      <sheetName val="Balance sheet"/>
      <sheetName val="200004"/>
      <sheetName val="200008"/>
      <sheetName val="200002"/>
      <sheetName val="200001"/>
      <sheetName val="200007"/>
      <sheetName val="200006"/>
      <sheetName val="200003"/>
      <sheetName val="200005"/>
      <sheetName val="200011"/>
      <sheetName val="200010"/>
      <sheetName val="200009"/>
      <sheetName val="main_map"/>
      <sheetName val="7 (2)"/>
      <sheetName val="공정가치"/>
      <sheetName val="요약PL"/>
      <sheetName val="부서현황"/>
      <sheetName val="__Dsmadmin_c_DATA_경영계획_99년도_제출자"/>
      <sheetName val="Sheet5"/>
      <sheetName val="기초단가"/>
      <sheetName val="Report_Setup"/>
      <sheetName val="대차대조"/>
      <sheetName val="WIS"/>
      <sheetName val="1.설계조건"/>
      <sheetName val="SIL98"/>
      <sheetName val="Sheet1"/>
      <sheetName val="__Dsmadmin_c_DATA______99_____2"/>
      <sheetName val="기본자료"/>
      <sheetName val="2_주요계수총괄3"/>
      <sheetName val="2_주요계수총괄_(2)3"/>
      <sheetName val="2_1fcf분석3"/>
      <sheetName val="6_1영업이익3"/>
      <sheetName val="6_298년대비99년3"/>
      <sheetName val="6_3영업이익분석3"/>
      <sheetName val="6_4매출액구성3"/>
      <sheetName val="6_5매출원가구성3"/>
      <sheetName val="6_6판매관리비_구성3"/>
      <sheetName val="7_1WORKING_CAPITAL3"/>
      <sheetName val="7_2설비투자내역3"/>
      <sheetName val="7_3차입금3"/>
      <sheetName val="_PL3"/>
      <sheetName val="_Cash_Flow3"/>
      <sheetName val="기타&amp;특별수지_명세3"/>
      <sheetName val="Sensible_Indicator3"/>
      <sheetName val="2000_05"/>
      <sheetName val="전차선로_물량표3"/>
      <sheetName val="2006년_제조경비_추정3"/>
      <sheetName val="제조경비_계획3"/>
      <sheetName val="2006년_일반관리비_추정3"/>
      <sheetName val="잡급_(일반)3"/>
      <sheetName val="복리후생비_(일반)3"/>
      <sheetName val="여비교통비_(일반)3"/>
      <sheetName val="통신비_(일반)3"/>
      <sheetName val="세금과공과_(일반)3"/>
      <sheetName val="지급임차료_(일반)3"/>
      <sheetName val="감가상각비_(일반)3"/>
      <sheetName val="수선비_(일반)3"/>
      <sheetName val="보험료_(일반)3"/>
      <sheetName val="접대비_(일반)3"/>
      <sheetName val="지급수수료_(일반)3"/>
      <sheetName val="교육훈련비_(일반)3"/>
      <sheetName val="도서인쇄비_(일반)3"/>
      <sheetName val="사무비_(일반)3"/>
      <sheetName val="소모품비_(일반)3"/>
      <sheetName val="운반비_(일반)3"/>
      <sheetName val="지급용역비_(일반)3"/>
      <sheetName val="단면_(2)"/>
      <sheetName val="Excess_Calc"/>
      <sheetName val="2_대외공문"/>
      <sheetName val="완성차_미수금"/>
      <sheetName val="Regenerator__Concrete_Structure"/>
      <sheetName val="3)_클레임_반영시"/>
      <sheetName val="IMPEADENCE_MAP_취수장"/>
      <sheetName val="2__Summary-cash"/>
      <sheetName val="Tenancy_Sch"/>
      <sheetName val="TOP_HEAVY_PAYMENT_graph"/>
      <sheetName val="남양시작동자105노65기1_3화1_2"/>
      <sheetName val="중기계획5_xls"/>
      <sheetName val="OIL_SYST_DATA_SHTS"/>
      <sheetName val="IMCI-Assumptions_(Mgt_)"/>
      <sheetName val="Balance_sheet"/>
      <sheetName val="7_(2)"/>
      <sheetName val="1_설계조건"/>
      <sheetName val="ZAR_SAZ"/>
      <sheetName val="Forecloser"/>
      <sheetName val="Price Level"/>
      <sheetName val="Location"/>
      <sheetName val="Comment"/>
      <sheetName val="Physical"/>
      <sheetName val="Link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 sheetId="20"/>
      <sheetData sheetId="21"/>
      <sheetData sheetId="22"/>
      <sheetData sheetId="23" refreshError="1"/>
      <sheetData sheetId="24"/>
      <sheetData sheetId="25"/>
      <sheetData sheetId="26"/>
      <sheetData sheetId="27"/>
      <sheetData sheetId="28"/>
      <sheetData sheetId="29"/>
      <sheetData sheetId="30"/>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sheetData sheetId="62"/>
      <sheetData sheetId="63"/>
      <sheetData sheetId="64"/>
      <sheetData sheetId="65"/>
      <sheetData sheetId="66"/>
      <sheetData sheetId="67"/>
      <sheetData sheetId="68"/>
      <sheetData sheetId="69"/>
      <sheetData sheetId="70"/>
      <sheetData sheetId="71"/>
      <sheetData sheetId="72"/>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sheetData sheetId="436" refreshError="1"/>
      <sheetData sheetId="437"/>
      <sheetData sheetId="438"/>
      <sheetData sheetId="439"/>
      <sheetData sheetId="440"/>
      <sheetData sheetId="441"/>
      <sheetData sheetId="442"/>
      <sheetData sheetId="443"/>
      <sheetData sheetId="444"/>
      <sheetData sheetId="445"/>
      <sheetData sheetId="446"/>
      <sheetData sheetId="447"/>
      <sheetData sheetId="448"/>
      <sheetData sheetId="449"/>
      <sheetData sheetId="450"/>
      <sheetData sheetId="451"/>
      <sheetData sheetId="452"/>
      <sheetData sheetId="453"/>
      <sheetData sheetId="454"/>
      <sheetData sheetId="455"/>
      <sheetData sheetId="456"/>
      <sheetData sheetId="457"/>
      <sheetData sheetId="458"/>
      <sheetData sheetId="459"/>
      <sheetData sheetId="460"/>
      <sheetData sheetId="461"/>
      <sheetData sheetId="462"/>
      <sheetData sheetId="463"/>
      <sheetData sheetId="464"/>
      <sheetData sheetId="465"/>
      <sheetData sheetId="466"/>
      <sheetData sheetId="467"/>
      <sheetData sheetId="468"/>
      <sheetData sheetId="469"/>
      <sheetData sheetId="470"/>
      <sheetData sheetId="471"/>
      <sheetData sheetId="472"/>
      <sheetData sheetId="473"/>
      <sheetData sheetId="474"/>
      <sheetData sheetId="475"/>
      <sheetData sheetId="476"/>
      <sheetData sheetId="477"/>
      <sheetData sheetId="478"/>
      <sheetData sheetId="479"/>
      <sheetData sheetId="480"/>
      <sheetData sheetId="481"/>
      <sheetData sheetId="482"/>
      <sheetData sheetId="483"/>
      <sheetData sheetId="484"/>
      <sheetData sheetId="485"/>
      <sheetData sheetId="486"/>
      <sheetData sheetId="487"/>
      <sheetData sheetId="488"/>
      <sheetData sheetId="489"/>
      <sheetData sheetId="490"/>
      <sheetData sheetId="491"/>
      <sheetData sheetId="492"/>
      <sheetData sheetId="493" refreshError="1"/>
      <sheetData sheetId="494" refreshError="1"/>
      <sheetData sheetId="495" refreshError="1"/>
      <sheetData sheetId="496" refreshError="1"/>
      <sheetData sheetId="497" refreshError="1"/>
      <sheetData sheetId="498" refreshError="1"/>
    </sheetDataSet>
  </externalBook>
</externalLink>
</file>

<file path=xl/externalLinks/externalLink2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1"/>
      <sheetName val="표지 (3)"/>
      <sheetName val="표지 (2)"/>
      <sheetName val="하도업체(mal)"/>
      <sheetName val="자재업체(mal)"/>
      <sheetName val="노임"/>
      <sheetName val="장비"/>
      <sheetName val="자재단가"/>
      <sheetName val="하도업체(egy)"/>
      <sheetName val="자재업체(egy) "/>
      <sheetName val="노임이 (2)"/>
      <sheetName val="노임이"/>
      <sheetName val="목표세부명세"/>
      <sheetName val="업체FIX"/>
      <sheetName val="현금흐름"/>
      <sheetName val="손익"/>
      <sheetName val="입찰안"/>
      <sheetName val="공사비집계"/>
      <sheetName val="45,46"/>
      <sheetName val="공통가설"/>
      <sheetName val="시멘트"/>
      <sheetName val="base"/>
      <sheetName val="A-4"/>
      <sheetName val="점수계산1-2"/>
      <sheetName val="분양금입금계획"/>
      <sheetName val="투입"/>
      <sheetName val="수입"/>
      <sheetName val="일반"/>
      <sheetName val="손익계산서"/>
      <sheetName val="내역서"/>
      <sheetName val="SKETCH"/>
      <sheetName val="REINF."/>
      <sheetName val="LOADS"/>
      <sheetName val="CHECK1"/>
      <sheetName val="설계내역서"/>
      <sheetName val="인건비"/>
      <sheetName val="교각1"/>
      <sheetName val="Sheet5"/>
      <sheetName val="공문"/>
      <sheetName val="인사자료총집계"/>
      <sheetName val="#REF"/>
      <sheetName val="실행철강하도"/>
      <sheetName val="폼관조직"/>
      <sheetName val="현장관리비"/>
      <sheetName val="월별수입"/>
      <sheetName val="차수"/>
      <sheetName val="화의-현금흐름"/>
      <sheetName val="담보"/>
      <sheetName val="1유리"/>
      <sheetName val="호프"/>
      <sheetName val="예적금"/>
      <sheetName val="월별손익"/>
      <sheetName val="추가예산"/>
      <sheetName val="020114"/>
      <sheetName val="0111월"/>
      <sheetName val="건축내역"/>
      <sheetName val="지급자재"/>
      <sheetName val="ABUT수량-A1"/>
      <sheetName val="대손검토"/>
      <sheetName val="차액보증"/>
      <sheetName val="Sheet1 (2)"/>
      <sheetName val="이자율"/>
      <sheetName val="매출"/>
      <sheetName val="국내총괄"/>
      <sheetName val="특판제외"/>
      <sheetName val="건축공사실행"/>
      <sheetName val="건축원가"/>
      <sheetName val="5사남"/>
      <sheetName val="SUMMARY"/>
      <sheetName val="PAINT"/>
      <sheetName val="FURNITURE-01"/>
      <sheetName val="I一般比"/>
      <sheetName val="입찰보고"/>
      <sheetName val="IMPEADENCE MAP 취수장"/>
      <sheetName val="시산표"/>
      <sheetName val="재무가정"/>
      <sheetName val="수정시산표"/>
      <sheetName val="인원계획-미화"/>
      <sheetName val="노무비"/>
      <sheetName val="내역"/>
      <sheetName val="Intro2"/>
      <sheetName val="Id"/>
      <sheetName val="전체"/>
      <sheetName val="별제권_정리담보권"/>
      <sheetName val="적용환율"/>
      <sheetName val="확인서"/>
      <sheetName val="별제권_정리담보권1"/>
      <sheetName val="회사정보"/>
      <sheetName val="계수원본(99.2.28)"/>
      <sheetName val="대차대조표"/>
      <sheetName val="Scenario"/>
      <sheetName val="Ⅱ1-0타"/>
      <sheetName val="인근점포"/>
      <sheetName val="현금및현금등가물1"/>
      <sheetName val="SO416"/>
      <sheetName val="최종"/>
      <sheetName val="choose"/>
      <sheetName val="fs"/>
      <sheetName val="원본"/>
      <sheetName val="공정코드"/>
      <sheetName val="9GNG운반"/>
      <sheetName val="지하시설물작성"/>
      <sheetName val="토목주소"/>
      <sheetName val="프랜트면허"/>
      <sheetName val="Customer Databas"/>
      <sheetName val="기준및분포(OT)"/>
      <sheetName val="면적"/>
      <sheetName val="편입조서"/>
      <sheetName val="상가지급현황"/>
      <sheetName val="음료실행"/>
      <sheetName val="갑지(추정)"/>
      <sheetName val="ITEM"/>
      <sheetName val="982월원안"/>
      <sheetName val="차선도색현황"/>
      <sheetName val="낙찰표"/>
      <sheetName val="INPUT"/>
      <sheetName val="1공구산출내역서"/>
      <sheetName val="견적공통"/>
      <sheetName val="날1"/>
      <sheetName val="건축집계"/>
      <sheetName val="EACT10"/>
      <sheetName val="일위대가"/>
      <sheetName val="부대공Ⅱ"/>
      <sheetName val="2.주요계수총괄"/>
      <sheetName val="횡배수관토공수량"/>
      <sheetName val="원가"/>
      <sheetName val="지장물"/>
      <sheetName val="A (Calcs)"/>
      <sheetName val="B (Controls)"/>
      <sheetName val="Set-Up"/>
      <sheetName val="Multi-Iteration"/>
      <sheetName val="1-최종안"/>
      <sheetName val="사업분석-분양가결정"/>
      <sheetName val="단가대비표"/>
      <sheetName val="잡비"/>
      <sheetName val="BSD (2)"/>
      <sheetName val="95년12월말"/>
      <sheetName val="빙장비사양"/>
      <sheetName val="장비사양"/>
      <sheetName val="Sheet6"/>
      <sheetName val="01"/>
      <sheetName val="수목표준대가"/>
      <sheetName val="차량운반구"/>
      <sheetName val="Dept Upload"/>
      <sheetName val="93상각비"/>
      <sheetName val="출자한도"/>
      <sheetName val="Sheet3"/>
      <sheetName val="6동"/>
      <sheetName val="기본DATA"/>
      <sheetName val="갑지1"/>
      <sheetName val="D1300 자삽"/>
      <sheetName val="목차"/>
      <sheetName val="결산감사"/>
      <sheetName val="선수금(29)"/>
      <sheetName val="Config"/>
      <sheetName val="대비"/>
      <sheetName val="조건 (A)"/>
      <sheetName val="당진1,2호기전선관설치및접지4차공사내역서-을지"/>
      <sheetName val="XZLC004_PART2"/>
      <sheetName val="XZLC003_PART1"/>
      <sheetName val="본사공가현황"/>
      <sheetName val="공사내역"/>
      <sheetName val="토공99-5=2"/>
      <sheetName val="제출 (2)"/>
      <sheetName val="표지_(3)"/>
      <sheetName val="표지_(2)"/>
      <sheetName val="자재업체(egy)_"/>
      <sheetName val="노임이_(2)"/>
      <sheetName val="개요"/>
      <sheetName val="주관사업"/>
      <sheetName val="A"/>
      <sheetName val="물량표(신)"/>
      <sheetName val="b_balju"/>
      <sheetName val="b_balju (2)"/>
      <sheetName val="b_gunmul"/>
      <sheetName val="물량표"/>
      <sheetName val="명단"/>
      <sheetName val="선급비용"/>
      <sheetName val="실행기초"/>
      <sheetName val="자바라1"/>
      <sheetName val="은행"/>
      <sheetName val="노동부"/>
      <sheetName val="현장관리비 산출내역"/>
      <sheetName val="2월가격"/>
      <sheetName val="ETC"/>
      <sheetName val="구성비"/>
      <sheetName val="물건조서"/>
      <sheetName val="실농조서"/>
      <sheetName val="집계표"/>
      <sheetName val="간접경상비"/>
      <sheetName val="SG"/>
      <sheetName val="날개벽수량표"/>
      <sheetName val="Index"/>
      <sheetName val="증감대비"/>
      <sheetName val="Sheet1_(2)"/>
      <sheetName val="IMPEADENCE_MAP_취수장"/>
      <sheetName val="계수원본(99_2_28)"/>
      <sheetName val="REINF_"/>
      <sheetName val="Customer_Databas"/>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Set>
  </externalBook>
</externalLink>
</file>

<file path=xl/externalLinks/externalLink2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sErrNameDelete"/>
      <sheetName val="Summary"/>
      <sheetName val="노임이"/>
    </sheetNames>
    <sheetDataSet>
      <sheetData sheetId="0" refreshError="1"/>
      <sheetData sheetId="1" refreshError="1"/>
      <sheetData sheetId="2" refreshError="1"/>
    </sheetDataSet>
  </externalBook>
</externalLink>
</file>

<file path=xl/externalLinks/externalLink2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마감LIST-1"/>
      <sheetName val="원가계산서(남측)"/>
    </sheetNames>
    <sheetDataSet>
      <sheetData sheetId="0"/>
      <sheetData sheetId="1"/>
      <sheetData sheetId="2"/>
      <sheetData sheetId="3"/>
      <sheetData sheetId="4" refreshError="1"/>
      <sheetData sheetId="5" refreshError="1"/>
    </sheetDataSet>
  </externalBook>
</externalLink>
</file>

<file path=xl/externalLinks/externalLink2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소득금액"/>
      <sheetName val="0.개발산출내역 (2)"/>
      <sheetName val="회계처리"/>
      <sheetName val="산출세액"/>
      <sheetName val="법인세신고서"/>
      <sheetName val="기납부세액"/>
      <sheetName val="1.법인세신세액계산"/>
      <sheetName val="Sheet2"/>
      <sheetName val="2.투자자산"/>
      <sheetName val="3.증빙불비가산세"/>
      <sheetName val="4.기납부세액"/>
      <sheetName val="5.양도세"/>
      <sheetName val="6.소득금액-리저브"/>
      <sheetName val="리저브토지매각"/>
      <sheetName val="7.이월결손금"/>
      <sheetName val="Sheet3"/>
      <sheetName val="Sheet4"/>
      <sheetName val="0.개발산출내역"/>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Set>
  </externalBook>
</externalLink>
</file>

<file path=xl/externalLinks/externalLink2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기납부세액"/>
      <sheetName val="선급법인세"/>
      <sheetName val="산출세액"/>
      <sheetName val="주석1"/>
      <sheetName val="주석2"/>
      <sheetName val="Sheet1"/>
      <sheetName val="이연법인세"/>
    </sheetNames>
    <sheetDataSet>
      <sheetData sheetId="0">
        <row r="660">
          <cell r="E660">
            <v>1094484730</v>
          </cell>
        </row>
      </sheetData>
      <sheetData sheetId="1">
        <row r="1161">
          <cell r="W1161">
            <v>1066638677</v>
          </cell>
        </row>
      </sheetData>
      <sheetData sheetId="2"/>
      <sheetData sheetId="3"/>
      <sheetData sheetId="4"/>
      <sheetData sheetId="5"/>
      <sheetData sheetId="6">
        <row r="36">
          <cell r="D36">
            <v>-57445303862</v>
          </cell>
        </row>
      </sheetData>
    </sheetDataSet>
  </externalBook>
</externalLink>
</file>

<file path=xl/externalLinks/externalLink2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REF"/>
      <sheetName val="유림골조"/>
      <sheetName val="와동25-3(변경)"/>
      <sheetName val="공통부대비"/>
      <sheetName val="새공통(96임금인상기준)"/>
      <sheetName val="유림총괄"/>
      <sheetName val="비교1"/>
      <sheetName val="봉천제출"/>
      <sheetName val="구의33고"/>
      <sheetName val="공통비(전체)"/>
      <sheetName val="태화42 "/>
      <sheetName val="토목공사"/>
      <sheetName val="단가표"/>
      <sheetName val="001 연결끊기용(내용없음)"/>
      <sheetName val="유림콘도"/>
      <sheetName val="삭제금지단가"/>
      <sheetName val="XL4Poppy"/>
      <sheetName val="상반기손익차2총괄"/>
      <sheetName val="영업소실적"/>
      <sheetName val="97 사업추정(WEKI)"/>
      <sheetName val="9-1차이내역"/>
      <sheetName val="주관사업"/>
      <sheetName val="손익차9월2"/>
      <sheetName val="수입"/>
      <sheetName val="작업지시서-1호"/>
      <sheetName val="Sheet4"/>
      <sheetName val="1월"/>
      <sheetName val="신대방33(적용)"/>
      <sheetName val="물량내역서"/>
      <sheetName val="공통가설"/>
      <sheetName val="동별 및 층별 면적표"/>
      <sheetName val="기본데이타"/>
      <sheetName val="일위대가"/>
      <sheetName val="실행갑지"/>
      <sheetName val="2공구산출내역"/>
      <sheetName val="1차설계변경내역"/>
      <sheetName val="01"/>
      <sheetName val="목표세부명세"/>
      <sheetName val="database"/>
      <sheetName val="현장경비"/>
      <sheetName val="방배동내역(리라)"/>
      <sheetName val="현장관리비"/>
      <sheetName val="건축원가"/>
      <sheetName val="건축공사실행"/>
      <sheetName val="건축공사집계표"/>
      <sheetName val="방배동내역 (총괄)"/>
      <sheetName val="부대공사총괄"/>
      <sheetName val="공사개요"/>
      <sheetName val="최적단면"/>
      <sheetName val="99년하반기"/>
      <sheetName val="노임이"/>
      <sheetName val="철근집계표"/>
      <sheetName val="공통비총괄표"/>
      <sheetName val=""/>
      <sheetName val="일반공사"/>
      <sheetName val="돈암사업"/>
      <sheetName val="BSD (2)"/>
      <sheetName val="CONCRETE"/>
      <sheetName val="견적조건"/>
      <sheetName val="Sheet5"/>
      <sheetName val="갑지(추정)"/>
      <sheetName val="esc"/>
      <sheetName val="동해title"/>
      <sheetName val="대비표(토공1안)"/>
      <sheetName val="BSD _2_"/>
      <sheetName val="새공통"/>
      <sheetName val="5.공종별예산내역서"/>
      <sheetName val="맨홀"/>
      <sheetName val="Sheet2"/>
      <sheetName val="급여관련자료"/>
      <sheetName val="대비"/>
      <sheetName val="을지"/>
      <sheetName val="#3E1_GCR"/>
      <sheetName val="unit 4"/>
      <sheetName val="입찰내역 발주처 양식"/>
      <sheetName val="총괄"/>
      <sheetName val="태화42_"/>
      <sheetName val="001_연결끊기용(내용없음)"/>
      <sheetName val="97_사업추정(WEKI)"/>
      <sheetName val="조명시설"/>
      <sheetName val="터파기및재료"/>
      <sheetName val="갑지"/>
      <sheetName val="예적금"/>
      <sheetName val="(0"/>
      <sheetName val="공조기"/>
      <sheetName val="저"/>
      <sheetName val="대비표"/>
      <sheetName val="동별내역-3월5일"/>
      <sheetName val="부대시설"/>
      <sheetName val="Apt내역"/>
      <sheetName val="물량산출근거"/>
      <sheetName val="실행철강하도"/>
      <sheetName val="부대내역"/>
      <sheetName val="인천제철"/>
      <sheetName val="견적내역서"/>
      <sheetName val="공통비"/>
      <sheetName val="의뢰서"/>
      <sheetName val="P.M 별"/>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sheetData sheetId="78"/>
      <sheetData sheetId="79"/>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Set>
  </externalBook>
</externalLink>
</file>

<file path=xl/externalLinks/externalLink2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공사개요"/>
      <sheetName val="공사원가계산서(vat포함)"/>
      <sheetName val="실행예산서"/>
      <sheetName val=" 원가계산도형"/>
      <sheetName val="입찰견적보고서 (2)"/>
      <sheetName val="원가계산서"/>
      <sheetName val="입찰견적보고서"/>
      <sheetName val="내역서"/>
      <sheetName val="견적조건"/>
      <sheetName val="현장관리비 (2)"/>
      <sheetName val="현장관리비"/>
      <sheetName val="조직표"/>
      <sheetName val="인원"/>
      <sheetName val="현장조직도"/>
      <sheetName val="동별비교"/>
      <sheetName val="창호공사"/>
      <sheetName val="견적의뢰 "/>
      <sheetName val="견적업체"/>
      <sheetName val="하도급사항"/>
      <sheetName val="FAX양식 "/>
      <sheetName val="사내공문"/>
      <sheetName val="사내공문 (2)"/>
      <sheetName val="질의공문]"/>
      <sheetName val="제출공문"/>
      <sheetName val="도형"/>
      <sheetName val="견적명단"/>
      <sheetName val="표지(제본)"/>
      <sheetName val="LABEL"/>
      <sheetName val="표지(견적서) "/>
      <sheetName val="공사비집계표"/>
      <sheetName val="간지"/>
      <sheetName val="H중량표"/>
      <sheetName val="시멘트"/>
      <sheetName val="모래"/>
      <sheetName val="시멘모래"/>
      <sheetName val="점수계산1-2"/>
      <sheetName val="상가지급현황"/>
      <sheetName val="하수실행"/>
      <sheetName val="노임이"/>
      <sheetName val="일위대가(계측기설치)"/>
      <sheetName val="노무비"/>
      <sheetName val="982월원안"/>
      <sheetName val="수입"/>
      <sheetName val="_원가계산도형"/>
      <sheetName val="입찰견적보고서_(2)"/>
      <sheetName val="현장관리비_(2)"/>
      <sheetName val="견적의뢰_"/>
      <sheetName val="FAX양식_"/>
      <sheetName val="사내공문_(2)"/>
      <sheetName val="표지(견적서)_"/>
      <sheetName val="실행내역"/>
      <sheetName val="45,46"/>
      <sheetName val="손익"/>
      <sheetName val="위치조서"/>
      <sheetName val="전신환매도율"/>
      <sheetName val="수지"/>
      <sheetName val="별표 "/>
      <sheetName val="공통가설"/>
      <sheetName val="SG"/>
      <sheetName val="차선도색현황"/>
      <sheetName val="전체"/>
      <sheetName val="갑지1"/>
      <sheetName val="갑지"/>
      <sheetName val="입출재고현황 (2)"/>
      <sheetName val="A"/>
      <sheetName val="입찰"/>
      <sheetName val="현경"/>
      <sheetName val="손익분석"/>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refreshError="1"/>
      <sheetData sheetId="33"/>
      <sheetData sheetId="34"/>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Set>
  </externalBook>
</externalLink>
</file>

<file path=xl/externalLinks/externalLink2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4"/>
      <sheetName val="년"/>
      <sheetName val="월별cashflow"/>
      <sheetName val="Sheet1"/>
      <sheetName val="Sheet2"/>
      <sheetName val="Sheet3"/>
      <sheetName val="차액보증"/>
      <sheetName val="동호수표(호수정렬)"/>
      <sheetName val="호수별면적가격납부일정"/>
      <sheetName val="List"/>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재고조사1"/>
      <sheetName val="재고조사자"/>
      <sheetName val="타처보관"/>
      <sheetName val="하기휴가변경"/>
      <sheetName val="Sheet1"/>
      <sheetName val="T_No"/>
      <sheetName val="RPMF"/>
      <sheetName val="FGMD"/>
      <sheetName val="FGMD (2)"/>
      <sheetName val="FGMD (3)"/>
      <sheetName val="INFG1198"/>
      <sheetName val="INFG1198 (2)"/>
      <sheetName val="INMD1198"/>
      <sheetName val="INMD1198 (2)"/>
      <sheetName val="key"/>
      <sheetName val="RMPM"/>
      <sheetName val="RMPM (2)"/>
      <sheetName val="RMPM (3)"/>
      <sheetName val="RMPM (4)"/>
      <sheetName val="INRM1198"/>
      <sheetName val="INRM1198 (2)"/>
      <sheetName val="INPM1198"/>
      <sheetName val="INPM1198 (2)"/>
      <sheetName val="Sheet3 (2)"/>
      <sheetName val="Sheet2"/>
      <sheetName val="Sheet3"/>
      <sheetName val="Result"/>
      <sheetName val="재고조사99"/>
      <sheetName val="I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row r="10">
          <cell r="AX10" t="str">
            <v>/re~~</v>
          </cell>
        </row>
        <row r="30">
          <cell r="B30">
            <v>101503</v>
          </cell>
        </row>
      </sheetData>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Set>
  </externalBook>
</externalLink>
</file>

<file path=xl/externalLinks/externalLink3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5"/>
      <sheetName val="PLAN"/>
      <sheetName val="제1안"/>
      <sheetName val="제2안"/>
      <sheetName val="토공"/>
      <sheetName val="금액대비"/>
      <sheetName val="토공가실행"/>
      <sheetName val="BSD (2)"/>
      <sheetName val="CDDBP"/>
      <sheetName val="PRT_BS"/>
      <sheetName val="PRT_PL"/>
      <sheetName val="점수계산1-2"/>
      <sheetName val="정리채권_확정"/>
      <sheetName val="2.주요계수총괄"/>
      <sheetName val="건축공사실행"/>
      <sheetName val="9904주부식"/>
      <sheetName val="영업.일1"/>
      <sheetName val="6호기"/>
      <sheetName val="공통가설"/>
      <sheetName val="Summary Sheets"/>
      <sheetName val="포장복구집계"/>
      <sheetName val="노임이"/>
      <sheetName val="시멘트"/>
      <sheetName val="현금흐름"/>
      <sheetName val="월별손익"/>
      <sheetName val="매출"/>
      <sheetName val="수입"/>
      <sheetName val="적용환율"/>
      <sheetName val="Ⅱ1-0타"/>
      <sheetName val="AS복구"/>
      <sheetName val="중기터파기"/>
      <sheetName val="기초단가"/>
      <sheetName val="자금수지"/>
      <sheetName val="용역비내역-진짜"/>
      <sheetName val="변수값"/>
      <sheetName val="사업성"/>
      <sheetName val="중기상차"/>
      <sheetName val="BS"/>
      <sheetName val="PL"/>
      <sheetName val="TEMP2"/>
      <sheetName val="부하계산서"/>
      <sheetName val="guard(mac)"/>
      <sheetName val="Borrower"/>
      <sheetName val="BRICK"/>
      <sheetName val="8. Categ"/>
      <sheetName val="2.Param"/>
      <sheetName val="6. Time"/>
      <sheetName val="3. Year 1"/>
      <sheetName val="4. Year 2"/>
      <sheetName val="7. Classif."/>
      <sheetName val="계화배수"/>
    </sheetNames>
    <sheetDataSet>
      <sheetData sheetId="0"/>
      <sheetData sheetId="1"/>
      <sheetData sheetId="2"/>
      <sheetData sheetId="3"/>
      <sheetData sheetId="4"/>
      <sheetData sheetId="5"/>
      <sheetData sheetId="6"/>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Set>
  </externalBook>
</externalLink>
</file>

<file path=xl/externalLinks/externalLink3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경비(마지막)"/>
      <sheetName val="지질조사분석"/>
      <sheetName val="ABUT수량-A1"/>
      <sheetName val="1.설계조건"/>
      <sheetName val="산근"/>
    </sheetNames>
    <sheetDataSet>
      <sheetData sheetId="0"/>
      <sheetData sheetId="1"/>
      <sheetData sheetId="2" refreshError="1"/>
      <sheetData sheetId="3"/>
      <sheetData sheetId="4"/>
      <sheetData sheetId="5" refreshError="1"/>
      <sheetData sheetId="6" refreshError="1"/>
      <sheetData sheetId="7" refreshError="1"/>
      <sheetData sheetId="8" refreshError="1"/>
    </sheetDataSet>
  </externalBook>
</externalLink>
</file>

<file path=xl/externalLinks/externalLink3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QT-ESTN"/>
      <sheetName val="BQ-GSUM"/>
      <sheetName val="CNST-SCH"/>
      <sheetName val="EQT-SCH1"/>
      <sheetName val="DIR-MNG"/>
      <sheetName val="STF-MNG1"/>
      <sheetName val="CRW-MKUP"/>
      <sheetName val="CST-BDN0"/>
      <sheetName val="CST-SUM0"/>
      <sheetName val="CST-SUM2"/>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3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ExecutiveSummary "/>
      <sheetName val="Deliquency List"/>
      <sheetName val="Feb‐04 VR"/>
      <sheetName val="Variance"/>
      <sheetName val="Actual"/>
      <sheetName val="RentRoll"/>
      <sheetName val="RentRoll (2)"/>
      <sheetName val="RentRoll(駐） (2)"/>
      <sheetName val="RentRoll(駐）"/>
      <sheetName val="RentRoll（TR）"/>
      <sheetName val="RentRoll（TR） (2)"/>
      <sheetName val="Stacking Plan"/>
      <sheetName val="Sheet1"/>
      <sheetName val="Budget"/>
      <sheetName val="Sheet2"/>
      <sheetName val="TB"/>
      <sheetName val="INPUT"/>
      <sheetName val="Initial Input Variable"/>
      <sheetName val="Macro Codes"/>
      <sheetName val="노무비"/>
      <sheetName val="6호기"/>
      <sheetName val="데이타"/>
      <sheetName val="판관비"/>
      <sheetName val="유형"/>
      <sheetName val="고정부채"/>
      <sheetName val="현금 및 예치금Lead"/>
      <sheetName val="현금및예치금 명세서"/>
      <sheetName val="미수수익"/>
      <sheetName val="XREF"/>
      <sheetName val="LS"/>
      <sheetName val="Rent R."/>
      <sheetName val="지분법(지분수정전)"/>
      <sheetName val="Collateral"/>
      <sheetName val="Replacement"/>
      <sheetName val="Rent Roll"/>
      <sheetName val="보수규정"/>
      <sheetName val="보수"/>
      <sheetName val="미수이자"/>
      <sheetName val="Occ, Other Rev, Exp, Dispo"/>
      <sheetName val="ARDEBT"/>
      <sheetName val="Tenants"/>
      <sheetName val="Template"/>
      <sheetName val="내역서"/>
      <sheetName val="노임단가"/>
      <sheetName val="ABO"/>
      <sheetName val="PRJ"/>
      <sheetName val="Ⅳ.1.KEY수입"/>
      <sheetName val="Ⅳ-4.수익총괄"/>
      <sheetName val="Macro!"/>
      <sheetName val="Sim"/>
      <sheetName val="ADR"/>
      <sheetName val="Total"/>
      <sheetName val="대차대조표"/>
      <sheetName val="리츠"/>
      <sheetName val="#REF"/>
      <sheetName val="관계회사거래내역및 채권채무잔액 99"/>
      <sheetName val="ASSUM"/>
      <sheetName val="Sheet3 (2)"/>
      <sheetName val="Debt"/>
      <sheetName val="TI CALC"/>
      <sheetName val="Data"/>
      <sheetName val="Inputs"/>
      <sheetName val="TEMP報告書ﾃｰﾌﾞﾙ情報"/>
      <sheetName val="TEMP報告書ﾃｰﾌﾞﾙ情報媒体"/>
      <sheetName val="Martyn Apr"/>
      <sheetName val="ExecutiveSummary_"/>
      <sheetName val="Deliquency_List"/>
      <sheetName val="Feb‐04_VR"/>
      <sheetName val="RentRoll_(2)"/>
      <sheetName val="RentRoll(駐）_(2)"/>
      <sheetName val="RentRoll（TR）_(2)"/>
      <sheetName val="Stacking_Plan"/>
      <sheetName val="Occ,_Other_Rev,_Exp,_Dispo"/>
      <sheetName val="Rent_Roll"/>
      <sheetName val="Initial_Input_Variable"/>
      <sheetName val="Macro_Codes"/>
      <sheetName val="Control"/>
      <sheetName val="Uskei（契約）"/>
      <sheetName val="Actuals &amp; Forecast"/>
      <sheetName val="Property Information Summary"/>
      <sheetName val="급여표"/>
      <sheetName val="98지급계획"/>
      <sheetName val="별제권_정리담보권1"/>
      <sheetName val="Wkg"/>
      <sheetName val="Sector 3 Summary"/>
      <sheetName val="Todoroki Feb-04"/>
      <sheetName val="Main Assumptions"/>
      <sheetName val="2.대외공문"/>
      <sheetName val="リスト"/>
      <sheetName val="選択リスト"/>
      <sheetName val="PL"/>
      <sheetName val="계정"/>
      <sheetName val="table"/>
      <sheetName val="Assumptions"/>
      <sheetName val="Trial Balance"/>
      <sheetName val="Cap Table"/>
      <sheetName val="Share Price"/>
      <sheetName val="가도공"/>
      <sheetName val="Letting Report"/>
      <sheetName val="Civil Boq"/>
      <sheetName val="LevModel"/>
      <sheetName val="受益者"/>
      <sheetName val="현금_및_예치금Lead"/>
      <sheetName val="현금및예치금_명세서"/>
      <sheetName val="Ⅳ_1_KEY수입"/>
      <sheetName val="Ⅳ-4_수익총괄"/>
      <sheetName val="Overall Portfolio"/>
      <sheetName val="Payment Schedule"/>
      <sheetName val="BS_임대료"/>
      <sheetName val="BS_보증금"/>
      <sheetName val="매출세금계산서합계"/>
      <sheetName val="매출계산서합계"/>
      <sheetName val="현금영수증"/>
      <sheetName val="비용"/>
      <sheetName val="IS"/>
      <sheetName val="미수금"/>
      <sheetName val="간주부가세"/>
      <sheetName val="SD"/>
      <sheetName val="부외부채"/>
      <sheetName val="DTA"/>
      <sheetName val="DTA Calcuation"/>
      <sheetName val="Other creditors"/>
      <sheetName val="Amt due to Related companies"/>
      <sheetName val="Indirect tax payable"/>
      <sheetName val="AP"/>
      <sheetName val="Accrued expenses"/>
      <sheetName val="10.10.2003"/>
      <sheetName val="PK checklist"/>
      <sheetName val="6月"/>
      <sheetName val="area detail"/>
      <sheetName val="OG &amp; AC Calculations"/>
      <sheetName val="もとのボトム"/>
      <sheetName val="手元比準表"/>
      <sheetName val="プルダウンシート"/>
      <sheetName val="Dvlp Summary"/>
      <sheetName val="Assump"/>
      <sheetName val="Static Data"/>
      <sheetName val="Rooms"/>
      <sheetName val="BTS vs Multi"/>
      <sheetName val="T2 &amp; TB Acs"/>
      <sheetName val="Setting"/>
      <sheetName val="物件概要"/>
      <sheetName val="(Monthly)"/>
      <sheetName val="Fee Rate Summary"/>
      <sheetName val="Customize Your Invoice"/>
      <sheetName val="Entry list"/>
      <sheetName val="PRC TB"/>
      <sheetName val="1.1 Project Data"/>
      <sheetName val="EQT-ESTN"/>
      <sheetName val="Cash Flow Annual"/>
      <sheetName val="RATE"/>
      <sheetName val="Setup"/>
      <sheetName val="Cash"/>
      <sheetName val="Status"/>
      <sheetName val="Coslada III"/>
      <sheetName val="表紙"/>
      <sheetName val="Ikoma Data"/>
      <sheetName val="Misc Data"/>
      <sheetName val="Major Assumption"/>
      <sheetName val="A-General"/>
      <sheetName val="sum"/>
      <sheetName val="인원계획-미화"/>
      <sheetName val="CF cap"/>
      <sheetName val="ForEx"/>
      <sheetName val="BwaLesehilfe"/>
      <sheetName val="Sector_3_Summary"/>
      <sheetName val="Todoroki_Feb-04"/>
      <sheetName val="Main_Assumptions"/>
      <sheetName val="Rent_R_"/>
      <sheetName val="관계회사거래내역및_채권채무잔액_99"/>
      <sheetName val="Letting_Report"/>
      <sheetName val="請求コードMST"/>
      <sheetName val="37含み経"/>
      <sheetName val="Income Valuation"/>
      <sheetName val="ML_LS Promote"/>
      <sheetName val="Utdata"/>
      <sheetName val="TBL賃貸住宅情報"/>
      <sheetName val="Approved Renov Payment Schedule"/>
      <sheetName val="A"/>
      <sheetName val="Betas"/>
      <sheetName val="持株比率"/>
      <sheetName val="2限定"/>
      <sheetName val="BOND LIABILITY"/>
      <sheetName val="PRESUPUESTO 99-00"/>
      <sheetName val="1"/>
      <sheetName val="RCN EY cash flow summary"/>
      <sheetName val="05年度PM02以前"/>
      <sheetName val="P&amp;L"/>
      <sheetName val="TI_CALC"/>
      <sheetName val="Martyn_Apr"/>
      <sheetName val="Rest Rev"/>
      <sheetName val="目录"/>
      <sheetName val="Cash bal Mar"/>
      <sheetName val="Pg2.Maint Svc Stats"/>
      <sheetName val="2008账"/>
      <sheetName val="LS-BS"/>
      <sheetName val="Interpretations (incl piling)"/>
      <sheetName val="source"/>
      <sheetName val="序时账"/>
      <sheetName val="Cash bal"/>
      <sheetName val=" Assump"/>
      <sheetName val="PF_C&amp;I"/>
      <sheetName val="BREA Model"/>
      <sheetName val="General information"/>
      <sheetName val="往来明细"/>
      <sheetName val="往来明细1"/>
      <sheetName val="往来明细2"/>
      <sheetName val="月度序时账"/>
      <sheetName val="機械設備"/>
      <sheetName val="Cash Flow"/>
      <sheetName val="base case"/>
      <sheetName val="3-1-1现金"/>
      <sheetName val="Non-Statistical Sampling"/>
      <sheetName val="TASSEI"/>
      <sheetName val="BOTM"/>
      <sheetName val="MENU"/>
      <sheetName val="Arch Mgt Fee Alloc"/>
      <sheetName val="NOI Analysis"/>
      <sheetName val="台帳（Rent）"/>
      <sheetName val="tanka"/>
      <sheetName val="S&amp;U"/>
      <sheetName val="Taxes&amp;Insurance"/>
      <sheetName val="Schedule 5A"/>
      <sheetName val="00"/>
      <sheetName val="1999"/>
      <sheetName val="Capital"/>
      <sheetName val="H12入居面積・平均賃料"/>
      <sheetName val="회사제시"/>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sheetData sheetId="66"/>
      <sheetData sheetId="67"/>
      <sheetData sheetId="68"/>
      <sheetData sheetId="69"/>
      <sheetData sheetId="70"/>
      <sheetData sheetId="71"/>
      <sheetData sheetId="72"/>
      <sheetData sheetId="73"/>
      <sheetData sheetId="74"/>
      <sheetData sheetId="75"/>
      <sheetData sheetId="76" refreshError="1"/>
      <sheetData sheetId="77" refreshError="1"/>
      <sheetData sheetId="78"/>
      <sheetData sheetId="79"/>
      <sheetData sheetId="80" refreshError="1"/>
      <sheetData sheetId="81" refreshError="1"/>
      <sheetData sheetId="82"/>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sheetData sheetId="103"/>
      <sheetData sheetId="104"/>
      <sheetData sheetId="105"/>
      <sheetData sheetId="106" refreshError="1"/>
      <sheetData sheetId="107"/>
      <sheetData sheetId="108"/>
      <sheetData sheetId="109"/>
      <sheetData sheetId="110"/>
      <sheetData sheetId="111"/>
      <sheetData sheetId="112"/>
      <sheetData sheetId="113"/>
      <sheetData sheetId="114"/>
      <sheetData sheetId="115"/>
      <sheetData sheetId="116"/>
      <sheetData sheetId="117"/>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sheetData sheetId="166"/>
      <sheetData sheetId="167"/>
      <sheetData sheetId="168"/>
      <sheetData sheetId="169"/>
      <sheetData sheetId="170"/>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sheetData sheetId="189"/>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Set>
  </externalBook>
</externalLink>
</file>

<file path=xl/externalLinks/externalLink3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현금흐름표"/>
      <sheetName val="1998 P &amp; L"/>
    </sheetNames>
    <sheetDataSet>
      <sheetData sheetId="0"/>
      <sheetData sheetId="1" refreshError="1"/>
    </sheetDataSet>
  </externalBook>
</externalLink>
</file>

<file path=xl/externalLinks/externalLink3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S"/>
      <sheetName val="Disc"/>
      <sheetName val=".1 법인세추납액"/>
      <sheetName val=".2 기납부세액검토"/>
      <sheetName val=".3 법인세부담액계산"/>
      <sheetName val=".4 이연법인세계산"/>
      <sheetName val="XREF"/>
      <sheetName val="Tickmarks"/>
    </sheetNames>
    <sheetDataSet>
      <sheetData sheetId="0"/>
      <sheetData sheetId="1"/>
      <sheetData sheetId="2"/>
      <sheetData sheetId="3"/>
      <sheetData sheetId="4"/>
      <sheetData sheetId="5"/>
      <sheetData sheetId="6"/>
      <sheetData sheetId="7"/>
    </sheetDataSet>
  </externalBook>
</externalLink>
</file>

<file path=xl/externalLinks/externalLink3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감가상각비재계산_09"/>
      <sheetName val="감가상각비재계산_08"/>
      <sheetName val="요약검증)"/>
      <sheetName val="폐기자산"/>
      <sheetName val="출입통제시스템 회계처리 검토"/>
      <sheetName val="사무실운영관리비 원장"/>
      <sheetName val="건설중인자산 세부내역_09"/>
      <sheetName val="XREF"/>
      <sheetName val="Tickmarks"/>
    </sheetNames>
    <sheetDataSet>
      <sheetData sheetId="0"/>
      <sheetData sheetId="1"/>
      <sheetData sheetId="2"/>
      <sheetData sheetId="3"/>
      <sheetData sheetId="4"/>
      <sheetData sheetId="5"/>
      <sheetData sheetId="6"/>
      <sheetData sheetId="7"/>
      <sheetData sheetId="8"/>
    </sheetDataSet>
  </externalBook>
</externalLink>
</file>

<file path=xl/externalLinks/externalLink3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가맹점매출"/>
      <sheetName val="Threshold"/>
      <sheetName val="2010기말재고(INFO)"/>
      <sheetName val="GP율(INFO)"/>
      <sheetName val="2009재고(INFO)"/>
      <sheetName val="2008재고(INFO)"/>
      <sheetName val="2007재고금액의증가(info)"/>
      <sheetName val="2006재고금액의증가_info"/>
      <sheetName val="타계정대체(4분기)"/>
      <sheetName val="FF매출_2009(INFO)"/>
      <sheetName val="FF매출_2010(INFO)"/>
      <sheetName val="XREF"/>
      <sheetName val="Tickmarks"/>
      <sheetName val="기말재고(10)"/>
      <sheetName val="타계정대체(1분기)"/>
      <sheetName val="타계정대체(2분기)"/>
      <sheetName val="타계정대체(3분기)"/>
      <sheetName val="GP율"/>
      <sheetName val="3분기말재고"/>
      <sheetName val="가맹"/>
      <sheetName val="2009재고금액의증가"/>
      <sheetName val="2008재고금액의증가"/>
      <sheetName val="반기말재고"/>
      <sheetName val="타계정"/>
      <sheetName val="현금"/>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sheetData sheetId="22"/>
      <sheetData sheetId="23"/>
      <sheetData sheetId="24" refreshError="1"/>
    </sheetDataSet>
  </externalBook>
</externalLink>
</file>

<file path=xl/externalLinks/externalLink3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TT"/>
      <sheetName val="Lead"/>
      <sheetName val="05년법인세비용계산(1)"/>
      <sheetName val="자본금과적립금(을)"/>
      <sheetName val="농특세과표신고"/>
      <sheetName val="3"/>
      <sheetName val="법인세비용계산 (2)"/>
      <sheetName val="법인세비용계산 (3)"/>
      <sheetName val="법인세비용계산 (4)"/>
      <sheetName val="유가증권평가손익"/>
      <sheetName val="주석"/>
      <sheetName val="회사제시주석"/>
      <sheetName val="FN"/>
      <sheetName val="Sheet4"/>
      <sheetName val="Sheet3"/>
    </sheetNames>
    <sheetDataSet>
      <sheetData sheetId="0" refreshError="1"/>
      <sheetData sheetId="1" refreshError="1"/>
      <sheetData sheetId="2" refreshError="1"/>
      <sheetData sheetId="3"/>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Set>
  </externalBook>
</externalLink>
</file>

<file path=xl/externalLinks/externalLink3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S"/>
      <sheetName val="SS10"/>
      <sheetName val="SS20"/>
      <sheetName val="EPS"/>
      <sheetName val="희석화EPS"/>
      <sheetName val="XREF"/>
      <sheetName val="Tickmarks"/>
      <sheetName val="7100"/>
      <sheetName val="7110"/>
      <sheetName val="Lead sheet"/>
      <sheetName val="유통주식수"/>
      <sheetName val="Sheet1"/>
      <sheetName val="CP신한"/>
      <sheetName val="자본리드"/>
      <sheetName val="전기잉여금처분"/>
      <sheetName val="주당순이익"/>
      <sheetName val="은행조회서CS"/>
      <sheetName val="이자수익OVERALL"/>
      <sheetName val="Lead"/>
      <sheetName val="p1. sub-lead"/>
      <sheetName val="p2.DISC"/>
      <sheetName val="p3.CF"/>
      <sheetName val="p2. 주당손익 산출"/>
      <sheetName val="p3.DISC"/>
      <sheetName val="p4.CF"/>
      <sheetName val=".1 현금과 현금등가물"/>
      <sheetName val="재무제표"/>
      <sheetName val="대차"/>
      <sheetName val="조정분개_회사제시"/>
      <sheetName val="조정사항"/>
      <sheetName val="수정분개_우리"/>
      <sheetName val="p1"/>
      <sheetName val="p2"/>
      <sheetName val="주주명부"/>
      <sheetName val="BS_PBC"/>
      <sheetName val="이익잉여금처분계산서_2012"/>
      <sheetName val="Disc"/>
      <sheetName val="명세서"/>
      <sheetName val="201109말_BS"/>
      <sheetName val="2011말_BS"/>
      <sheetName val="기준서"/>
      <sheetName val="BS"/>
      <sheetName val="PL"/>
      <sheetName val="인전분할회계처리질의회신"/>
      <sheetName val="우선주회계처리"/>
      <sheetName val="원장"/>
      <sheetName val="설립일"/>
    </sheetNames>
    <sheetDataSet>
      <sheetData sheetId="0"/>
      <sheetData sheetId="1"/>
      <sheetData sheetId="2"/>
      <sheetData sheetId="3"/>
      <sheetData sheetId="4"/>
      <sheetData sheetId="5"/>
      <sheetData sheetId="6"/>
      <sheetData sheetId="7"/>
      <sheetData sheetId="8"/>
      <sheetData sheetId="9" refreshError="1"/>
      <sheetData sheetId="10" refreshError="1"/>
      <sheetData sheetId="11"/>
      <sheetData sheetId="12" refreshError="1"/>
      <sheetData sheetId="13" refreshError="1"/>
      <sheetData sheetId="14" refreshError="1"/>
      <sheetData sheetId="15" refreshError="1"/>
      <sheetData sheetId="16" refreshError="1"/>
      <sheetData sheetId="17" refreshError="1"/>
      <sheetData sheetId="18"/>
      <sheetData sheetId="19"/>
      <sheetData sheetId="20"/>
      <sheetData sheetId="21" refreshError="1"/>
      <sheetData sheetId="22"/>
      <sheetData sheetId="23"/>
      <sheetData sheetId="24"/>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sheetData sheetId="37"/>
      <sheetData sheetId="38"/>
      <sheetData sheetId="39"/>
      <sheetData sheetId="40"/>
      <sheetData sheetId="41"/>
      <sheetData sheetId="42"/>
      <sheetData sheetId="43"/>
      <sheetData sheetId="44"/>
      <sheetData sheetId="45"/>
      <sheetData sheetId="46"/>
    </sheetDataSet>
  </externalBook>
</externalLink>
</file>

<file path=xl/externalLinks/externalLink4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종결메모"/>
      <sheetName val="BS누적"/>
      <sheetName val="BS1분기"/>
      <sheetName val="TB(PL)"/>
      <sheetName val="F4"/>
      <sheetName val="XREF"/>
      <sheetName val="감가상각"/>
      <sheetName val="F-4,5"/>
      <sheetName val="건물 (2)"/>
      <sheetName val="유선방송설비 (2)"/>
      <sheetName val="차량운반구 (2)"/>
      <sheetName val="전송선로설비 (2)"/>
      <sheetName val="집기비품 (2)"/>
      <sheetName val="공구기구 (2)"/>
      <sheetName val="구축물 (2)"/>
      <sheetName val="컨버터 (2)"/>
      <sheetName val="LS (2)"/>
      <sheetName val="8310"/>
      <sheetName val="이자비용ot"/>
    </sheetNames>
    <sheetDataSet>
      <sheetData sheetId="0" refreshError="1"/>
      <sheetData sheetId="1"/>
      <sheetData sheetId="2" refreshError="1"/>
      <sheetData sheetId="3"/>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Set>
  </externalBook>
</externalLink>
</file>

<file path=xl/externalLinks/externalLink4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1,2"/>
      <sheetName val="F3"/>
      <sheetName val="F45"/>
      <sheetName val="XREF"/>
      <sheetName val="PAJE,PRJE"/>
      <sheetName val="5500"/>
    </sheetNames>
    <sheetDataSet>
      <sheetData sheetId="0"/>
      <sheetData sheetId="1"/>
      <sheetData sheetId="2" refreshError="1"/>
      <sheetData sheetId="3"/>
      <sheetData sheetId="4" refreshError="1"/>
      <sheetData sheetId="5" refreshError="1"/>
    </sheetDataSet>
  </externalBook>
</externalLink>
</file>

<file path=xl/externalLinks/externalLink4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실행내역"/>
      <sheetName val="내역서"/>
      <sheetName val="대치판정"/>
      <sheetName val="데이타"/>
      <sheetName val="식재인부"/>
      <sheetName val="costing_CV"/>
    </sheetNames>
    <sheetDataSet>
      <sheetData sheetId="0" refreshError="1"/>
      <sheetData sheetId="1"/>
      <sheetData sheetId="2" refreshError="1"/>
      <sheetData sheetId="3" refreshError="1"/>
      <sheetData sheetId="4" refreshError="1"/>
      <sheetData sheetId="5" refreshError="1"/>
    </sheetDataSet>
  </externalBook>
</externalLink>
</file>

<file path=xl/externalLinks/externalLink4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경비(마지막)"/>
      <sheetName val="데이타"/>
      <sheetName val="식재인부"/>
      <sheetName val="골조시행"/>
      <sheetName val="1.개요입력"/>
      <sheetName val="31.경비기본입력"/>
    </sheetNames>
    <sheetDataSet>
      <sheetData sheetId="0"/>
      <sheetData sheetId="1"/>
      <sheetData sheetId="2" refreshError="1"/>
      <sheetData sheetId="3"/>
      <sheetData sheetId="4"/>
      <sheetData sheetId="5" refreshError="1"/>
      <sheetData sheetId="6" refreshError="1"/>
      <sheetData sheetId="7" refreshError="1"/>
      <sheetData sheetId="8" refreshError="1"/>
      <sheetData sheetId="9" refreshError="1"/>
    </sheetDataSet>
  </externalBook>
</externalLink>
</file>

<file path=xl/externalLinks/externalLink4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경비(마지막)"/>
    </sheetNames>
    <sheetDataSet>
      <sheetData sheetId="0"/>
      <sheetData sheetId="1"/>
      <sheetData sheetId="2" refreshError="1"/>
      <sheetData sheetId="3"/>
      <sheetData sheetId="4"/>
    </sheetDataSet>
  </externalBook>
</externalLink>
</file>

<file path=xl/externalLinks/externalLink4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산근"/>
    </sheetNames>
    <sheetDataSet>
      <sheetData sheetId="0"/>
    </sheetDataSet>
  </externalBook>
</externalLink>
</file>

<file path=xl/externalLinks/externalLink4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laroux"/>
      <sheetName val="Sheet1"/>
      <sheetName val="Sheet2"/>
      <sheetName val="건축개요"/>
      <sheetName val="설계내역서"/>
      <sheetName val="청천내"/>
      <sheetName val="민감도"/>
      <sheetName val="내역서2안"/>
      <sheetName val="교통대책내역"/>
      <sheetName val="Customer Databas"/>
      <sheetName val="당초"/>
      <sheetName val="울산자동제어"/>
      <sheetName val="입력"/>
      <sheetName val="집계표"/>
      <sheetName val="내역(중앙)"/>
      <sheetName val="산업"/>
      <sheetName val="실행내역"/>
      <sheetName val="Sheet5"/>
      <sheetName val="내역"/>
      <sheetName val="콘크리트타설집계표"/>
      <sheetName val="골조"/>
      <sheetName val="COST"/>
      <sheetName val="#3_일위대가목록"/>
      <sheetName val="실행"/>
      <sheetName val="인건비 "/>
      <sheetName val="#REF"/>
      <sheetName val="원가"/>
      <sheetName val="실행예산-변경분"/>
      <sheetName val="BSD (2)"/>
      <sheetName val="요율"/>
      <sheetName val="자재대"/>
      <sheetName val="노임"/>
      <sheetName val="턴키자료"/>
      <sheetName val="L_RPTB03_01"/>
      <sheetName val="ELECTRIC"/>
      <sheetName val="N賃率-職"/>
      <sheetName val="01"/>
      <sheetName val="코드표"/>
      <sheetName val="자재"/>
      <sheetName val="70%"/>
      <sheetName val="예산M11A"/>
      <sheetName val="도급및 실행내역"/>
      <sheetName val="재료"/>
      <sheetName val="점수계산1-2"/>
      <sheetName val="내역서"/>
      <sheetName val="96정변2"/>
      <sheetName val="지질조사"/>
      <sheetName val="부대공Ⅱ"/>
      <sheetName val="공통가설"/>
      <sheetName val="일위대가표"/>
      <sheetName val="공사개요"/>
      <sheetName val="실행대비"/>
      <sheetName val="1-1"/>
      <sheetName val="001"/>
      <sheetName val="99총공사내역서"/>
      <sheetName val="하수급견적대비"/>
      <sheetName val="데리네이타현황"/>
      <sheetName val="콤보박스와 리스트박스의 연결"/>
      <sheetName val="시장성초안camera"/>
      <sheetName val="시멘트"/>
      <sheetName val="6호기"/>
      <sheetName val="기초코드"/>
      <sheetName val="갑지"/>
      <sheetName val="DATE"/>
      <sheetName val="노임이"/>
      <sheetName val="차수공개요"/>
      <sheetName val="asd"/>
      <sheetName val="율촌법률사무소2내역"/>
      <sheetName val="본체"/>
      <sheetName val="건축"/>
      <sheetName val="시운전연료"/>
      <sheetName val="NYS"/>
      <sheetName val="Customer_Databas"/>
      <sheetName val="BSD_(2)"/>
      <sheetName val="인건비_"/>
      <sheetName val="공동구수량"/>
      <sheetName val="골재산출"/>
      <sheetName val="산출근거"/>
      <sheetName val="설계명세서"/>
      <sheetName val="자료입력"/>
      <sheetName val="예산명세서"/>
      <sheetName val="공정표"/>
      <sheetName val="데이타"/>
      <sheetName val="사업성분석"/>
      <sheetName val="재무가정"/>
      <sheetName val="협조전"/>
      <sheetName val="내역(설계)"/>
      <sheetName val="대치판정"/>
      <sheetName val="건축원가"/>
      <sheetName val="다곡2교"/>
      <sheetName val="실행(1)"/>
      <sheetName val="신우"/>
      <sheetName val="증감대비"/>
      <sheetName val="교대(A1-A2)"/>
      <sheetName val="공주-교대(A1)"/>
      <sheetName val="Macro4"/>
      <sheetName val="Macro2"/>
      <sheetName val="전체"/>
      <sheetName val="노임단가"/>
      <sheetName val="AIR SHOWER(3인용)"/>
      <sheetName val="날개벽수량표"/>
      <sheetName val="토공 토적표"/>
      <sheetName val="II. CF"/>
      <sheetName val="I. Assumptions"/>
      <sheetName val="중강당 내역"/>
      <sheetName val="총괄표"/>
      <sheetName val="조명시설"/>
      <sheetName val="건축내역"/>
      <sheetName val="오동"/>
      <sheetName val="대조"/>
      <sheetName val="나한"/>
      <sheetName val="단가표"/>
      <sheetName val="수입"/>
      <sheetName val="DATA"/>
      <sheetName val="물류최종8월7"/>
      <sheetName val="단가"/>
      <sheetName val="인제내역"/>
      <sheetName val="원가계산서"/>
      <sheetName val="목표세부명세"/>
      <sheetName val="102역사"/>
      <sheetName val="입찰안"/>
      <sheetName val="파일항타"/>
      <sheetName val="공량산출서"/>
      <sheetName val="터파기및재료"/>
      <sheetName val="배수공"/>
      <sheetName val="약품공급2"/>
      <sheetName val="AL공사(원)"/>
      <sheetName val="간접"/>
      <sheetName val="대전-교대(A1-A2)"/>
      <sheetName val="48전력선로일위"/>
      <sheetName val="계정"/>
      <sheetName val="공사비총괄표"/>
      <sheetName val="기본가정"/>
      <sheetName val="산출내역서"/>
      <sheetName val="건축토목내역"/>
      <sheetName val="교수설계"/>
      <sheetName val="일위_파일"/>
      <sheetName val="총수량집계표"/>
      <sheetName val="I一般比"/>
      <sheetName val="견적서"/>
      <sheetName val="입찰견적보고서"/>
      <sheetName val=" 갑  지 "/>
      <sheetName val="기초자료"/>
      <sheetName val="을"/>
      <sheetName val="건축공사실행"/>
      <sheetName val="CON'C"/>
      <sheetName val="주beam"/>
      <sheetName val="전신환매도율"/>
      <sheetName val="일위대가"/>
      <sheetName val="의왕내역"/>
      <sheetName val="세부내역"/>
      <sheetName val="조명율표"/>
      <sheetName val="BID"/>
      <sheetName val="현장경비"/>
      <sheetName val="현장관리비"/>
      <sheetName val="식재가격"/>
      <sheetName val="식재총괄"/>
      <sheetName val="일위목록"/>
      <sheetName val="일위(수원)"/>
      <sheetName val="개산공사비"/>
      <sheetName val="교각계산"/>
      <sheetName val="구분자"/>
      <sheetName val="실행내역서"/>
      <sheetName val="자재단가비교표"/>
      <sheetName val="대차대조-보고"/>
      <sheetName val="2003상반기노임기준"/>
      <sheetName val="계약서출력(5%)"/>
      <sheetName val="주택형별면적표"/>
      <sheetName val="적용토목"/>
      <sheetName val="소방사항"/>
      <sheetName val="카메라"/>
      <sheetName val="1차설계변경내역"/>
      <sheetName val="경로당내역건축"/>
      <sheetName val="적현로"/>
      <sheetName val="대총괄"/>
      <sheetName val="평가데이터"/>
      <sheetName val="참고사항"/>
      <sheetName val="근로자자료입력"/>
      <sheetName val="증감내역서"/>
      <sheetName val="교각1"/>
      <sheetName val="간접비계산"/>
      <sheetName val="목록"/>
      <sheetName val="단위수량"/>
      <sheetName val="원가서"/>
      <sheetName val="현장경상비"/>
      <sheetName val="내역표지"/>
      <sheetName val="지급자재"/>
      <sheetName val="기타 정보통신공사"/>
      <sheetName val="단위단가"/>
      <sheetName val="공구"/>
      <sheetName val="낙찰표"/>
      <sheetName val="측량요율"/>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Set>
  </externalBook>
</externalLink>
</file>

<file path=xl/externalLinks/externalLink4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공통매입원장"/>
      <sheetName val="Sheet1"/>
      <sheetName val="공통매입원장 (2)"/>
      <sheetName val="Initial Input Variable"/>
    </sheetNames>
    <sheetDataSet>
      <sheetData sheetId="0"/>
      <sheetData sheetId="1"/>
      <sheetData sheetId="2"/>
      <sheetData sheetId="3" refreshError="1"/>
    </sheetDataSet>
  </externalBook>
</externalLink>
</file>

<file path=xl/externalLinks/externalLink4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유림골조"/>
      <sheetName val="유림총괄"/>
      <sheetName val="비교1"/>
      <sheetName val="공기"/>
      <sheetName val="새공통(97년3월)"/>
      <sheetName val="협력업체"/>
      <sheetName val="외주업체list (3)"/>
      <sheetName val="FAX양식"/>
      <sheetName val="FAX양식 (2)"/>
      <sheetName val="Sheet1"/>
      <sheetName val="Sheet2"/>
      <sheetName val="Sheet21"/>
      <sheetName val="Sheet20"/>
      <sheetName val="Sheet19"/>
      <sheetName val="Sheet18"/>
      <sheetName val="Sheet17"/>
      <sheetName val="Sheet16"/>
      <sheetName val="Sheet15"/>
      <sheetName val="Sheet14"/>
      <sheetName val="Sheet13"/>
      <sheetName val="Sheet12"/>
      <sheetName val="Sheet11"/>
      <sheetName val="Sheet10"/>
      <sheetName val="Sheet9"/>
      <sheetName val="Sheet8"/>
      <sheetName val="Sheet7"/>
      <sheetName val="Sheet6"/>
      <sheetName val="Sheet5"/>
      <sheetName val="Sheet4"/>
      <sheetName val="Sheet3"/>
      <sheetName val="새공통(96임금인상기준)"/>
      <sheetName val="공사개요"/>
      <sheetName val="분당코아"/>
      <sheetName val="물가"/>
      <sheetName val="물가 (2)"/>
      <sheetName val="옥외공사"/>
      <sheetName val="내역표지"/>
      <sheetName val="견적조건"/>
      <sheetName val="공사총괄-2"/>
      <sheetName val="변경연면적"/>
      <sheetName val="품의서"/>
      <sheetName val="건축대비"/>
      <sheetName val="부대골조"/>
      <sheetName val="아파트파일공사"/>
      <sheetName val="부대파일공사"/>
      <sheetName val="공제분"/>
      <sheetName val="상승요인분석"/>
      <sheetName val="토목공사"/>
      <sheetName val="옥외"/>
      <sheetName val="물가상승변경(960827)"/>
      <sheetName val="건축부대공사대비"/>
      <sheetName val="제출표지"/>
      <sheetName val="특수조건"/>
      <sheetName val="분책"/>
      <sheetName val="실행대비"/>
      <sheetName val="평단가비교"/>
      <sheetName val="OPTION비교"/>
      <sheetName val="실행원안對현장통보실행안"/>
      <sheetName val="의뢰"/>
      <sheetName val="의뢰서"/>
      <sheetName val="품의서(A3-3장)"/>
      <sheetName val="NEW비교"/>
      <sheetName val="계단실,로비"/>
      <sheetName val="주방가구外"/>
      <sheetName val="빌라트대비"/>
      <sheetName val="공통비대비"/>
      <sheetName val="공통비대비분석"/>
      <sheetName val="새공통(97년1월)"/>
      <sheetName val="직원투입계획"/>
      <sheetName val="현채투입계획"/>
      <sheetName val="전체총괄표"/>
      <sheetName val="산출내역서"/>
      <sheetName val="항목별총괄표"/>
      <sheetName val="공사현황"/>
      <sheetName val="건축실행대비"/>
      <sheetName val="가설공사"/>
      <sheetName val="철근콘크리트공사"/>
      <sheetName val="타일공사"/>
      <sheetName val="창호공사"/>
      <sheetName val="AL창호"/>
      <sheetName val="수장공사"/>
      <sheetName val="철골공사"/>
      <sheetName val="증가요인"/>
      <sheetName val="감사실"/>
      <sheetName val="물량증가"/>
      <sheetName val="9604000"/>
      <sheetName val="960503"/>
      <sheetName val="새공통(96년12월) "/>
      <sheetName val="협조문"/>
      <sheetName val="안양코아"/>
      <sheetName val="COLUMN"/>
      <sheetName val="공통비비교"/>
      <sheetName val="부지조성"/>
      <sheetName val="투입인원대비"/>
      <sheetName val="형틀분개"/>
      <sheetName val="시행대비"/>
      <sheetName val="마감범위"/>
      <sheetName val="추가예산"/>
      <sheetName val="TEMP철골"/>
      <sheetName val="기계기초"/>
      <sheetName val="안양코아최종대비"/>
      <sheetName val="최종건축대비"/>
      <sheetName val="A급현장"/>
      <sheetName val="A급현장 (2)"/>
      <sheetName val="B급현장"/>
      <sheetName val="B급현장 (2)"/>
      <sheetName val="C급현장"/>
      <sheetName val="C급현장 (2)"/>
      <sheetName val="D급현장"/>
      <sheetName val="D급현장 (2)"/>
      <sheetName val="공통비산출근거"/>
      <sheetName val="견적의뢰서"/>
      <sheetName val="새공통97.4"/>
      <sheetName val="품의서(97.4)"/>
      <sheetName val="현.종.목"/>
      <sheetName val="창호,가구"/>
      <sheetName val="system"/>
      <sheetName val="목재창호"/>
      <sheetName val="물가상승"/>
      <sheetName val="옥외 (적용)"/>
      <sheetName val="토목"/>
      <sheetName val="재료마감표"/>
      <sheetName val="비교(기존)"/>
      <sheetName val="비교(변경)"/>
      <sheetName val="금액대비표"/>
      <sheetName val="건축-옥외"/>
      <sheetName val="공사집계(기존)"/>
      <sheetName val="공사집계(변경)"/>
      <sheetName val="건축집계"/>
      <sheetName val="분당협조"/>
      <sheetName val="Sheet2 (2)"/>
      <sheetName val="0831"/>
      <sheetName val="0915"/>
      <sheetName val="0915 (2)"/>
      <sheetName val="유림공통"/>
      <sheetName val="집계2"/>
      <sheetName val="2001년"/>
      <sheetName val="2001년변형"/>
      <sheetName val="2002년"/>
      <sheetName val="2003년"/>
      <sheetName val="3안신촉진안실적반영"/>
      <sheetName val="11월"/>
      <sheetName val="12월"/>
      <sheetName val="1월"/>
      <sheetName val="2월"/>
      <sheetName val="3월"/>
      <sheetName val="4월"/>
      <sheetName val="5월"/>
      <sheetName val="6월"/>
      <sheetName val="7월"/>
      <sheetName val="8월"/>
      <sheetName val="실행율"/>
      <sheetName val="분양수입금일정"/>
      <sheetName val="삭제금지단가"/>
      <sheetName val="신대방33(적용)"/>
      <sheetName val="총투입계"/>
      <sheetName val="단위세대 개요"/>
      <sheetName val="목록"/>
      <sheetName val="마산월령동골조물량변경"/>
      <sheetName val="0"/>
      <sheetName val="SG"/>
      <sheetName val="유림콘도"/>
      <sheetName val="목표세부명세"/>
      <sheetName val="일위대가"/>
      <sheetName val="MIJIBI"/>
      <sheetName val="자재단가"/>
      <sheetName val="OE"/>
      <sheetName val="마감LIST-1"/>
      <sheetName val="경비"/>
      <sheetName val="1.약산개요입력"/>
      <sheetName val="차액보증"/>
      <sheetName val="내역서"/>
      <sheetName val="집계표"/>
      <sheetName val="새공통"/>
      <sheetName val="여과지동"/>
      <sheetName val="기초자료"/>
      <sheetName val="실행철강하도"/>
      <sheetName val="일산실행내역"/>
      <sheetName val="구의33고"/>
      <sheetName val="database"/>
      <sheetName val="표지"/>
      <sheetName val="표지(수정)"/>
      <sheetName val="표지(적용)"/>
      <sheetName val="1공사개요"/>
      <sheetName val="2공정계획"/>
      <sheetName val="2공정계획 (2)"/>
      <sheetName val="2공정계획(미표기_미적용)"/>
      <sheetName val="3자금운용(최종)"/>
      <sheetName val="3손익분석"/>
      <sheetName val="3자금운용(수정)"/>
      <sheetName val="3자금운용(당초)"/>
      <sheetName val="4직원투입(적용)"/>
      <sheetName val="4_1직원투입(미적용)"/>
      <sheetName val="5안전환경"/>
      <sheetName val="6인허가"/>
      <sheetName val="7본사관련부서"/>
      <sheetName val="초기예산표지"/>
      <sheetName val="결재인"/>
      <sheetName val="계약고대비"/>
      <sheetName val="예산집계"/>
      <sheetName val="산재매입세"/>
      <sheetName val="변경대비(적용)"/>
      <sheetName val="변경대비(미적용)"/>
      <sheetName val="플랜트 설치"/>
      <sheetName val="D급현장 (2)_x0000__x0000__x0000__x0000__x0000__x0000__x0000__x0000__x0000__x0009__x0000_飰ঊ_x0000__x0004__x0000__x0000__x0000__x0000__x0000__x0000_ϸঈ"/>
      <sheetName val="D급현장 (2)_x0000__x0009_飰ঊ_x0004__x0000_ϸঈ餘ঊn_x0000__x0011_[유림콘도.XLS]"/>
      <sheetName val="도곡동빌라트보관"/>
      <sheetName val="공사비대비"/>
      <sheetName val="골조물량"/>
      <sheetName val="동바리外"/>
      <sheetName val="공사비총괄표"/>
      <sheetName val="내역총괄표 "/>
      <sheetName val="pier(각형)"/>
      <sheetName val="#REF"/>
      <sheetName val="투입"/>
      <sheetName val="수입"/>
      <sheetName val="부산제일극장"/>
      <sheetName val="투입비"/>
      <sheetName val="공통비(전체)"/>
      <sheetName val="01"/>
      <sheetName val="경산"/>
      <sheetName val="내역"/>
      <sheetName val="입찰안"/>
      <sheetName val="산출금액내역"/>
      <sheetName val="설계내역서"/>
      <sheetName val="데이타"/>
      <sheetName val="본사공가현황"/>
      <sheetName val="미드수량"/>
      <sheetName val="선정요령"/>
      <sheetName val="터파기및재료"/>
      <sheetName val="견적정보"/>
      <sheetName val="변경비교-을"/>
      <sheetName val="산출내역서집계표"/>
      <sheetName val="현장관리비"/>
      <sheetName val="전기"/>
      <sheetName val="교통대책내역"/>
      <sheetName val="2002하반기노임기준"/>
      <sheetName val="기초코드"/>
      <sheetName val="일위대가(1)"/>
      <sheetName val="품목납기"/>
      <sheetName val="사업분석"/>
      <sheetName val="매출 (3)"/>
      <sheetName val="와동25-3(변경)"/>
      <sheetName val="파일의이용"/>
      <sheetName val="D급현장 (2)_x0000__x0000__x0000__x0000__x0000__x0000__x0000__x0000__x0000_ _x0000_飰ঊ_x0000__x0004__x0000__x0000__x0000__x0000__x0000__x0000_ϸঈ"/>
      <sheetName val="D급현장 (2)_x0000_ 飰ঊ_x0004__x0000_ϸঈ餘ঊn_x0000__x0011_[유림콘도.XLS]"/>
      <sheetName val="손익차9월2"/>
      <sheetName val="3.공통공사대비"/>
      <sheetName val="단가"/>
      <sheetName val="소방"/>
      <sheetName val="집계"/>
      <sheetName val="개산공사비"/>
      <sheetName val="단가산출"/>
      <sheetName val="선수금"/>
      <sheetName val="원가"/>
      <sheetName val="노임"/>
      <sheetName val="대림경상68억"/>
      <sheetName val="물량표"/>
      <sheetName val="단가결정"/>
      <sheetName val="현관비DATA"/>
      <sheetName val="bid"/>
      <sheetName val="갑지(추정)"/>
      <sheetName val="일위대가표"/>
      <sheetName val="DATE"/>
      <sheetName val="실행간접비"/>
      <sheetName val="변경명신물량 (2)"/>
      <sheetName val="공사"/>
      <sheetName val="공종단가"/>
      <sheetName val="공통비총괄표"/>
      <sheetName val="조건"/>
      <sheetName val="토적표"/>
      <sheetName val="자재단가비교표"/>
      <sheetName val="아파트-가설"/>
      <sheetName val="원가서"/>
      <sheetName val="일위대가(가설)"/>
      <sheetName val="9GNG운반"/>
      <sheetName val="Eq. Mobilization"/>
      <sheetName val="명세표"/>
      <sheetName val="내역_FILE"/>
      <sheetName val="공사단가"/>
      <sheetName val="가정 및 결과"/>
      <sheetName val="8.식재일위"/>
      <sheetName val="B시설가격"/>
      <sheetName val="시장성초안camera"/>
      <sheetName val="청산공사"/>
      <sheetName val="ETC"/>
      <sheetName val="WELDING"/>
      <sheetName val="기본일위"/>
      <sheetName val="자판실행"/>
      <sheetName val="대비표(토공1안)"/>
      <sheetName val="산출서"/>
      <sheetName val="Total"/>
      <sheetName val="기초일위"/>
      <sheetName val="일반수량총괄집계"/>
      <sheetName val="45,46"/>
      <sheetName val="코드표"/>
      <sheetName val="4차원가계산서"/>
      <sheetName val="2000년1차"/>
      <sheetName val="기계경비(시간당)"/>
      <sheetName val="램머"/>
      <sheetName val="수목데이타 "/>
      <sheetName val="일위대가-01"/>
      <sheetName val="빗물받이(910-510-410)"/>
      <sheetName val="첨"/>
      <sheetName val="PAINT"/>
      <sheetName val="조직"/>
      <sheetName val="실행내역서"/>
      <sheetName val="4.본실행통합내역서"/>
      <sheetName val="공문"/>
      <sheetName val="자재"/>
      <sheetName val="공통가설"/>
      <sheetName val="계수시트"/>
      <sheetName val="평가데이터"/>
      <sheetName val="소방일위 "/>
      <sheetName val="C1.공사개요"/>
      <sheetName val="실행(1)"/>
      <sheetName val="6호기"/>
      <sheetName val="A1.스케쥴"/>
      <sheetName val="확약서"/>
      <sheetName val="견적"/>
      <sheetName val="공사기본내용입력"/>
      <sheetName val="DB"/>
      <sheetName val="면적입력"/>
      <sheetName val="갑지"/>
      <sheetName val="0.목록1"/>
      <sheetName val="48신설단가"/>
      <sheetName val="Assumption_Gen"/>
      <sheetName val="콘크리트타설집계표"/>
      <sheetName val="카메라"/>
      <sheetName val="현장경비"/>
      <sheetName val="1.설계조건"/>
      <sheetName val="단면치수"/>
      <sheetName val="내역서01"/>
      <sheetName val="설계명세서"/>
      <sheetName val="자료입력"/>
      <sheetName val="급여관련자료"/>
      <sheetName val="연결임시"/>
      <sheetName val="요율"/>
      <sheetName val="자재대"/>
      <sheetName val="Customer Databas"/>
      <sheetName val="소비자가"/>
      <sheetName val="입력"/>
      <sheetName val="대전(세창동)"/>
      <sheetName val="1차 내역서"/>
      <sheetName val="APT"/>
      <sheetName val="데이타입력"/>
      <sheetName val="연습"/>
      <sheetName val="설계예산서"/>
      <sheetName val="2-1. 경관조명 내역총괄표"/>
      <sheetName val="최초 bpm"/>
      <sheetName val="수량집계"/>
      <sheetName val="설계내역2"/>
      <sheetName val="사유서제출현황-2"/>
      <sheetName val="Sens&amp;Anal"/>
      <sheetName val="IS&lt;양식27&gt;"/>
      <sheetName val="총투자비산정"/>
      <sheetName val="수량산출"/>
      <sheetName val="개요"/>
      <sheetName val="실행기초"/>
      <sheetName val="울산자동제어"/>
      <sheetName val="중기"/>
      <sheetName val="EQT-ESTN"/>
      <sheetName val="ELECTRIC"/>
      <sheetName val="범례표"/>
      <sheetName val="48전력선로일위"/>
      <sheetName val="48평형"/>
      <sheetName val="62평형"/>
      <sheetName val="견적서"/>
      <sheetName val="적현로"/>
      <sheetName val="b_balju"/>
      <sheetName val="대가목록"/>
      <sheetName val="원가계산서"/>
      <sheetName val="토사(PE)"/>
      <sheetName val="XL4Poppy"/>
      <sheetName val="이름표"/>
      <sheetName val="(2)자금(신용)"/>
      <sheetName val="P.M 별"/>
      <sheetName val="편성절차"/>
      <sheetName val="주관사업"/>
      <sheetName val="TYPE-A"/>
      <sheetName val="정부노임단가"/>
      <sheetName val="상세손익"/>
      <sheetName val="wall"/>
      <sheetName val="설계예시"/>
      <sheetName val="0215"/>
      <sheetName val="총괄내역서"/>
      <sheetName val="도급"/>
      <sheetName val="효성CB 1P기초"/>
      <sheetName val="48일위"/>
      <sheetName val="D급현장 (2)????????? ?飰ঊ?_x0004_??????ϸঈ"/>
      <sheetName val="D급현장 (2)?????????_x0009_?飰ঊ?_x0004_??????ϸঈ"/>
      <sheetName val="ITC현황"/>
      <sheetName val="세금자료"/>
      <sheetName val="지급제한자"/>
      <sheetName val="도기류"/>
      <sheetName val="현장경상비"/>
      <sheetName val="예산명세서"/>
      <sheetName val="공량산출서"/>
      <sheetName val="골조시행"/>
      <sheetName val="하수급견적대비"/>
      <sheetName val="공용(현대건설공구)"/>
      <sheetName val="현대건설공구(UNIT)"/>
      <sheetName val="도급내역"/>
      <sheetName val="외주업체list_(3)"/>
      <sheetName val="FAX양식_(2)"/>
      <sheetName val="물가_(2)"/>
      <sheetName val="새공통(96년12월)_"/>
      <sheetName val="A급현장_(2)"/>
      <sheetName val="B급현장_(2)"/>
      <sheetName val="C급현장_(2)"/>
      <sheetName val="D급현장_(2)"/>
      <sheetName val="새공통97_4"/>
      <sheetName val="품의서(97_4)"/>
      <sheetName val="현_종_목"/>
      <sheetName val="옥외_(적용)"/>
      <sheetName val="부재료입고집계"/>
      <sheetName val="노임단가"/>
      <sheetName val="판매시설"/>
      <sheetName val="본실행경비"/>
      <sheetName val="001"/>
      <sheetName val="기안"/>
      <sheetName val="공통가설(기준안)"/>
      <sheetName val="비교표"/>
      <sheetName val="토공"/>
      <sheetName val="시설물일위"/>
      <sheetName val="내역아"/>
      <sheetName val="울타리"/>
      <sheetName val="청천내"/>
      <sheetName val="DATA입력"/>
      <sheetName val="시운전연료"/>
      <sheetName val="부대집계"/>
      <sheetName val="guard(mac)"/>
      <sheetName val="내역(중앙)"/>
      <sheetName val="내역(창신)"/>
      <sheetName val="8_식재일위"/>
      <sheetName val="변경명신물량_(2)"/>
      <sheetName val="Eq__Mobilization"/>
      <sheetName val="설-원가"/>
      <sheetName val="0915_(2)"/>
      <sheetName val="플랜트_설치"/>
      <sheetName val="2공정계획_(2)"/>
      <sheetName val="시화점실행"/>
      <sheetName val="집계표(공종별)"/>
      <sheetName val="계획고"/>
      <sheetName val="민감도"/>
      <sheetName val="c_balju"/>
      <sheetName val="중기일위대가"/>
      <sheetName val="본공사"/>
      <sheetName val="금액중량"/>
      <sheetName val="월,누계 (2)"/>
      <sheetName val="48신설수량"/>
      <sheetName val="48철거수량"/>
      <sheetName val="22신설수량"/>
      <sheetName val="아침햇쌀"/>
      <sheetName val="참고"/>
      <sheetName val="인구(2002년통계자료)"/>
      <sheetName val="시설DB"/>
      <sheetName val="96월별PL"/>
      <sheetName val="SV점수"/>
      <sheetName val="지점장점수"/>
      <sheetName val="***********************00"/>
      <sheetName val="주간계획"/>
      <sheetName val="수량산출내역1115"/>
      <sheetName val="일위"/>
      <sheetName val="공리일"/>
      <sheetName val="사다리"/>
      <sheetName val="건축개요"/>
      <sheetName val="01AC"/>
      <sheetName val="건설fs"/>
      <sheetName val="임대견적서"/>
      <sheetName val="납부내역"/>
      <sheetName val="STAND20"/>
      <sheetName val="조합기초"/>
      <sheetName val="내역서(기존내역-수정금지)"/>
      <sheetName val="KOGAS"/>
      <sheetName val="계정"/>
      <sheetName val="예산M6-B"/>
      <sheetName val="진주방향"/>
      <sheetName val="FB25JN"/>
      <sheetName val="FOB발"/>
      <sheetName val="중기사용료산출근거"/>
      <sheetName val="단가 및 재료비"/>
      <sheetName val="실행"/>
      <sheetName val="실행(ALT1)"/>
      <sheetName val="단가(자재)"/>
      <sheetName val="단가(노임)"/>
      <sheetName val="기초목록"/>
      <sheetName val="견적갑지"/>
      <sheetName val="총 원가계산"/>
      <sheetName val="콘크리트타설입력"/>
      <sheetName val="레미콘입고현황"/>
      <sheetName val="지수"/>
      <sheetName val="재노경"/>
      <sheetName val="5사남"/>
      <sheetName val="고정자산"/>
      <sheetName val="매출원가추정"/>
      <sheetName val="매출추정"/>
      <sheetName val="5-3.기성연체이자"/>
      <sheetName val=""/>
      <sheetName val="대우2월"/>
      <sheetName val="신우"/>
      <sheetName val="월별수입"/>
      <sheetName val="1.총괄현황"/>
      <sheetName val="1"/>
      <sheetName val="2"/>
      <sheetName val="3"/>
      <sheetName val="4"/>
      <sheetName val="5"/>
      <sheetName val="6"/>
      <sheetName val="업무연락"/>
      <sheetName val="시험연구비상각"/>
      <sheetName val="신공항A-9(원가수정)"/>
      <sheetName val="대비표"/>
      <sheetName val="VC2 10.99"/>
      <sheetName val="DESCRIPTION"/>
      <sheetName val="소화실적"/>
      <sheetName val="조명시설"/>
      <sheetName val="기술부대조건"/>
      <sheetName val="9-1차이내역"/>
      <sheetName val="집계표a"/>
      <sheetName val="D급현장 (2)?_x0009_飰ঊ_x0004_?ϸঈ餘ঊn?_x0011_[유림콘도.XLS]"/>
      <sheetName val="코드"/>
      <sheetName val="식재인부"/>
    </sheetNames>
    <sheetDataSet>
      <sheetData sheetId="0">
        <row r="36">
          <cell r="X36" t="str">
            <v>연  면  적</v>
          </cell>
        </row>
      </sheetData>
      <sheetData sheetId="1" refreshError="1"/>
      <sheetData sheetId="2" refreshError="1"/>
      <sheetData sheetId="3">
        <row r="36">
          <cell r="X36" t="str">
            <v>연  면  적</v>
          </cell>
        </row>
      </sheetData>
      <sheetData sheetId="4"/>
      <sheetData sheetId="5">
        <row r="36">
          <cell r="X36" t="str">
            <v>연  면  적</v>
          </cell>
        </row>
      </sheetData>
      <sheetData sheetId="6"/>
      <sheetData sheetId="7"/>
      <sheetData sheetId="8">
        <row r="36">
          <cell r="X36" t="str">
            <v>연  면  적</v>
          </cell>
        </row>
      </sheetData>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sheetData sheetId="32"/>
      <sheetData sheetId="33"/>
      <sheetData sheetId="34"/>
      <sheetData sheetId="35" refreshError="1"/>
      <sheetData sheetId="36">
        <row r="36">
          <cell r="X36" t="str">
            <v>연  면  적</v>
          </cell>
        </row>
      </sheetData>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sheetData sheetId="112"/>
      <sheetData sheetId="113"/>
      <sheetData sheetId="114"/>
      <sheetData sheetId="115"/>
      <sheetData sheetId="116"/>
      <sheetData sheetId="117"/>
      <sheetData sheetId="118"/>
      <sheetData sheetId="119"/>
      <sheetData sheetId="120"/>
      <sheetData sheetId="121"/>
      <sheetData sheetId="122"/>
      <sheetData sheetId="123"/>
      <sheetData sheetId="124"/>
      <sheetData sheetId="125" refreshError="1"/>
      <sheetData sheetId="126"/>
      <sheetData sheetId="127"/>
      <sheetData sheetId="128"/>
      <sheetData sheetId="129" refreshError="1"/>
      <sheetData sheetId="130" refreshError="1"/>
      <sheetData sheetId="131"/>
      <sheetData sheetId="132"/>
      <sheetData sheetId="133"/>
      <sheetData sheetId="134"/>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sheetData sheetId="181"/>
      <sheetData sheetId="182"/>
      <sheetData sheetId="183"/>
      <sheetData sheetId="184"/>
      <sheetData sheetId="185"/>
      <sheetData sheetId="186"/>
      <sheetData sheetId="187"/>
      <sheetData sheetId="188"/>
      <sheetData sheetId="189"/>
      <sheetData sheetId="190"/>
      <sheetData sheetId="191"/>
      <sheetData sheetId="192"/>
      <sheetData sheetId="193"/>
      <sheetData sheetId="194"/>
      <sheetData sheetId="195" refreshError="1"/>
      <sheetData sheetId="196"/>
      <sheetData sheetId="197"/>
      <sheetData sheetId="198"/>
      <sheetData sheetId="199"/>
      <sheetData sheetId="200"/>
      <sheetData sheetId="20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sheetData sheetId="244" refreshError="1"/>
      <sheetData sheetId="245" refreshError="1"/>
      <sheetData sheetId="246"/>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sheetData sheetId="289"/>
      <sheetData sheetId="290"/>
      <sheetData sheetId="29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sheetData sheetId="367"/>
      <sheetData sheetId="368"/>
      <sheetData sheetId="369"/>
      <sheetData sheetId="370"/>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sheetData sheetId="407" refreshError="1"/>
      <sheetData sheetId="408" refreshError="1"/>
      <sheetData sheetId="409"/>
      <sheetData sheetId="410"/>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sheetData sheetId="433" refreshError="1"/>
      <sheetData sheetId="434"/>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Set>
  </externalBook>
</externalLink>
</file>

<file path=xl/externalLinks/externalLink4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경비(마지막)"/>
      <sheetName val="마감LIST-1"/>
    </sheetNames>
    <sheetDataSet>
      <sheetData sheetId="0"/>
      <sheetData sheetId="1"/>
      <sheetData sheetId="2" refreshError="1"/>
      <sheetData sheetId="3"/>
      <sheetData sheetId="4"/>
      <sheetData sheetId="5" refreshError="1"/>
    </sheetDataSet>
  </externalBook>
</externalLink>
</file>

<file path=xl/externalLinks/externalLink5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사내공문"/>
      <sheetName val="FAX양식 "/>
      <sheetName val="공정표"/>
      <sheetName val="Module"/>
      <sheetName val="Manual"/>
      <sheetName val="공사개요"/>
      <sheetName val="견적일지"/>
      <sheetName val="견적의뢰"/>
      <sheetName val="예산산정"/>
      <sheetName val="원가계산서"/>
      <sheetName val="견적보고서"/>
      <sheetName val="현장관리비"/>
      <sheetName val="대비"/>
      <sheetName val="실행간접비용"/>
      <sheetName val="D"/>
      <sheetName val="자금수지"/>
      <sheetName val="사업성"/>
      <sheetName val="분석"/>
      <sheetName val="대학"/>
      <sheetName val="집계표"/>
      <sheetName val="fs"/>
      <sheetName val="면적표"/>
      <sheetName val="Xcf"/>
      <sheetName val="9811"/>
      <sheetName val="원가계산서(남측)"/>
      <sheetName val="관급"/>
      <sheetName val="건축공사실행"/>
      <sheetName val="#REF"/>
      <sheetName val="입력장표"/>
      <sheetName val="2000년1차"/>
      <sheetName val="FAX양식_"/>
      <sheetName val="납부서"/>
      <sheetName val="괴목육교"/>
      <sheetName val="공종단가"/>
      <sheetName val="Sheet1"/>
      <sheetName val="APT"/>
      <sheetName val="총괄내역서"/>
      <sheetName val="기자재대비표"/>
      <sheetName val="일위목록"/>
      <sheetName val="기초일위"/>
      <sheetName val="시설일위"/>
      <sheetName val="식재일위"/>
      <sheetName val="노무비단가"/>
      <sheetName val="갑지"/>
      <sheetName val="포장공"/>
      <sheetName val="토공"/>
      <sheetName val="배수공"/>
      <sheetName val="설계내역서"/>
      <sheetName val="건축개요"/>
      <sheetName val="020114"/>
      <sheetName val="0111월"/>
      <sheetName val="노임이"/>
      <sheetName val="소일위대가코드표"/>
      <sheetName val="49수량"/>
      <sheetName val="49내역"/>
      <sheetName val="22수량"/>
      <sheetName val="22내역"/>
      <sheetName val="규격"/>
      <sheetName val="수종"/>
      <sheetName val="06 일위대가목록"/>
      <sheetName val="2.대외공문"/>
      <sheetName val="월별수입"/>
      <sheetName val="대여현황"/>
      <sheetName val="단가조정"/>
      <sheetName val="9509"/>
      <sheetName val="조명일위"/>
      <sheetName val="단가산출"/>
      <sheetName val="조명시설"/>
      <sheetName val="부표총괄"/>
      <sheetName val="기초단면검토"/>
      <sheetName val="안정검토"/>
      <sheetName val="DI1"/>
      <sheetName val="단가"/>
      <sheetName val="토목주소"/>
      <sheetName val="프랜트면허"/>
      <sheetName val="수완하도"/>
      <sheetName val="김포내역"/>
      <sheetName val="소방사항"/>
      <sheetName val="구조물공"/>
      <sheetName val="부대공"/>
      <sheetName val="금액순"/>
      <sheetName val="본실행경비"/>
      <sheetName val="중기조종사 단위단가"/>
      <sheetName val="Sheet2 (2)"/>
      <sheetName val="도급원가"/>
      <sheetName val="지급자재"/>
      <sheetName val="건축"/>
      <sheetName val="도급,하도급 예정금액"/>
      <sheetName val="DATE"/>
      <sheetName val="기성내역서표지"/>
      <sheetName val="경비"/>
      <sheetName val="전체"/>
      <sheetName val="토지대금정리날짜순"/>
      <sheetName val="통합(식포함)"/>
      <sheetName val="일위_파일"/>
      <sheetName val="기본일위"/>
      <sheetName val="도근좌표"/>
      <sheetName val="제경집계"/>
      <sheetName val="Initial Input Variable"/>
      <sheetName val="실행"/>
      <sheetName val="입찰"/>
      <sheetName val="현경"/>
      <sheetName val="데이타"/>
      <sheetName val="NYS"/>
      <sheetName val="별표 "/>
      <sheetName val="노임단가"/>
      <sheetName val="guard(mac)"/>
      <sheetName val="총괄표"/>
      <sheetName val="향남실행"/>
      <sheetName val="김포실행"/>
      <sheetName val="대로근거"/>
      <sheetName val="중로근거"/>
      <sheetName val="데리네이타현황"/>
      <sheetName val="Sheet2"/>
      <sheetName val="1.관로"/>
      <sheetName val="FRT_O"/>
      <sheetName val="FAB_I"/>
      <sheetName val="내역서"/>
      <sheetName val="건축원가"/>
      <sheetName val="기초목"/>
      <sheetName val="요율"/>
      <sheetName val="내역"/>
      <sheetName val="설계내역2"/>
      <sheetName val="기계경비(시간당)"/>
      <sheetName val="램머"/>
      <sheetName val="변경내역"/>
      <sheetName val="SORCE1"/>
      <sheetName val="DATA"/>
      <sheetName val="일위대가"/>
      <sheetName val="개요"/>
      <sheetName val="기본1"/>
      <sheetName val="수정일위대가"/>
      <sheetName val="공사설계서"/>
      <sheetName val="내역서(교량)전체"/>
      <sheetName val="하수급견적대비"/>
      <sheetName val="G.R300경비"/>
      <sheetName val="기초단가"/>
      <sheetName val="금액결정"/>
      <sheetName val="001"/>
      <sheetName val="을지(성원)"/>
      <sheetName val="식재품셈"/>
      <sheetName val="WORK"/>
      <sheetName val="경산"/>
      <sheetName val="동별 집계"/>
      <sheetName val="문학간접"/>
      <sheetName val="물량내역"/>
      <sheetName val="식재인부"/>
      <sheetName val="접속도로1"/>
      <sheetName val="현금흐름(SPC)"/>
      <sheetName val="비용master"/>
      <sheetName val="Sheet4"/>
      <sheetName val="Ctrl"/>
      <sheetName val="산1~6"/>
      <sheetName val="POL6차-PIPING"/>
      <sheetName val="실별분양가"/>
      <sheetName val="목록"/>
      <sheetName val="기존단가 (2)"/>
      <sheetName val="기본단가"/>
      <sheetName val="Total"/>
      <sheetName val="연결임시"/>
      <sheetName val="NOMUBI"/>
      <sheetName val="C1"/>
      <sheetName val="01"/>
      <sheetName val="변경품셈"/>
      <sheetName val="외주"/>
      <sheetName val="본부장"/>
      <sheetName val="조정(톤일)"/>
      <sheetName val="표지"/>
      <sheetName val="기타(누수 부위 및 원인 참조 )"/>
      <sheetName val="자재단가표"/>
      <sheetName val="기계경비"/>
      <sheetName val="수량(토공)-단면1"/>
      <sheetName val="IN(1-1)"/>
      <sheetName val="P-산#1-1(WOWA1)"/>
      <sheetName val="단위중량"/>
      <sheetName val="터파기및재료"/>
      <sheetName val="기계"/>
      <sheetName val="정화조"/>
      <sheetName val="조경"/>
      <sheetName val="토목"/>
      <sheetName val="아파트"/>
      <sheetName val="설계(안)"/>
      <sheetName val="총투입계"/>
      <sheetName val="포장재료집계표"/>
      <sheetName val="포장면적산출"/>
      <sheetName val="포장수량집계"/>
      <sheetName val="직노"/>
      <sheetName val="c_balju"/>
      <sheetName val="참고내용"/>
      <sheetName val="실행내역서 "/>
      <sheetName val="노임변동률"/>
      <sheetName val="호프"/>
      <sheetName val="공사기성"/>
      <sheetName val="일위대가목록"/>
      <sheetName val="Sheet3"/>
      <sheetName val="TB-내역서"/>
      <sheetName val="파일의이용"/>
      <sheetName val="내역서1999.8최종"/>
      <sheetName val="출력X"/>
      <sheetName val="토공(우물통,기타) "/>
    </sheetNames>
    <sheetDataSet>
      <sheetData sheetId="0" refreshError="1"/>
      <sheetData sheetId="1" refreshError="1"/>
      <sheetData sheetId="2" refreshError="1"/>
      <sheetData sheetId="3" refreshError="1"/>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Set>
  </externalBook>
</externalLink>
</file>

<file path=xl/externalLinks/externalLink5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기초일위"/>
      <sheetName val="시설일위"/>
      <sheetName val="조명일위"/>
    </sheetNames>
    <sheetDataSet>
      <sheetData sheetId="0"/>
      <sheetData sheetId="1"/>
      <sheetData sheetId="2"/>
      <sheetData sheetId="3"/>
      <sheetData sheetId="4" refreshError="1"/>
      <sheetData sheetId="5" refreshError="1"/>
      <sheetData sheetId="6" refreshError="1"/>
    </sheetDataSet>
  </externalBook>
</externalLink>
</file>

<file path=xl/externalLinks/externalLink5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월별경비집행"/>
    </sheetNames>
    <sheetDataSet>
      <sheetData sheetId="0"/>
      <sheetData sheetId="1"/>
      <sheetData sheetId="2"/>
      <sheetData sheetId="3"/>
      <sheetData sheetId="4" refreshError="1"/>
    </sheetDataSet>
  </externalBook>
</externalLink>
</file>

<file path=xl/externalLinks/externalLink5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골조"/>
      <sheetName val="PILE"/>
      <sheetName val="공통비"/>
      <sheetName val="Sheet4"/>
      <sheetName val="Sheet5"/>
      <sheetName val="Sheet6"/>
      <sheetName val="Sheet7"/>
      <sheetName val="Sheet8"/>
      <sheetName val="Sheet9"/>
      <sheetName val="Sheet10"/>
      <sheetName val="Sheet11"/>
      <sheetName val="Sheet12"/>
      <sheetName val="Sheet13"/>
      <sheetName val="Sheet14"/>
      <sheetName val="Sheet15"/>
      <sheetName val="Sheet16"/>
      <sheetName val="교동현장"/>
      <sheetName val="공사개요"/>
      <sheetName val="fax"/>
      <sheetName val="협조문"/>
      <sheetName val="협조전"/>
      <sheetName val="속초교동"/>
      <sheetName val="건축대비"/>
      <sheetName val="토목공사"/>
      <sheetName val="개략건축"/>
      <sheetName val="옵션물량분개"/>
      <sheetName val="목,창호공사"/>
      <sheetName val="목문틀단가"/>
      <sheetName val="미장대비"/>
      <sheetName val="시행대비"/>
      <sheetName val="시행대비 (2)"/>
      <sheetName val="도배공사(현장통보)"/>
      <sheetName val="유리분개"/>
      <sheetName val="#REF"/>
      <sheetName val="Sheet1"/>
      <sheetName val="Sheet2"/>
      <sheetName val="Sheet3"/>
      <sheetName val="정부노임단가"/>
      <sheetName val="유림골조"/>
      <sheetName val="매각(6)"/>
      <sheetName val="마산월령동골조물량변경"/>
      <sheetName val="공통비총괄표"/>
      <sheetName val="수목표준대가"/>
      <sheetName val="공통부대비"/>
      <sheetName val="예산명세서"/>
      <sheetName val="설계명세서"/>
      <sheetName val="자료입력"/>
      <sheetName val="사업부배부A"/>
      <sheetName val="상반기손익차2총괄"/>
      <sheetName val="공사비"/>
      <sheetName val="매입가격"/>
      <sheetName val="경산"/>
      <sheetName val="설비2차"/>
      <sheetName val="간접비총괄"/>
      <sheetName val="Sheet2 (2)"/>
      <sheetName val="일위대가표"/>
      <sheetName val="P.M 별"/>
      <sheetName val="노임이"/>
      <sheetName val="2.대외공문"/>
      <sheetName val="냉천부속동"/>
      <sheetName val="시설물기초"/>
      <sheetName val="JUCKEYK"/>
      <sheetName val="견적서"/>
      <sheetName val="2공구산출내역"/>
      <sheetName val="CTEMCOST"/>
      <sheetName val="공통비(전체)"/>
      <sheetName val="배수내역"/>
      <sheetName val="Total"/>
      <sheetName val="FRP PIPING 일위대가"/>
      <sheetName val="노임단가"/>
      <sheetName val="내역서"/>
      <sheetName val="내역서2안"/>
      <sheetName val="2.1  노무비 평균단가산출"/>
      <sheetName val="내역"/>
      <sheetName val="데이타"/>
      <sheetName val="참조자료"/>
      <sheetName val="패널"/>
      <sheetName val="3단계"/>
      <sheetName val="2단계"/>
      <sheetName val="교통대책내역"/>
      <sheetName val="원가계산서(남측)"/>
      <sheetName val="2000년1차"/>
      <sheetName val="6호기"/>
      <sheetName val="일위대가목차"/>
      <sheetName val="수목단가"/>
      <sheetName val="시설수량표"/>
      <sheetName val="식재수량표"/>
      <sheetName val="일위목록"/>
      <sheetName val="자재단가"/>
      <sheetName val="2.냉난방설비공사"/>
      <sheetName val="COST"/>
      <sheetName val="공사손익"/>
      <sheetName val="고자현황"/>
      <sheetName val="단가조사"/>
      <sheetName val="대비"/>
      <sheetName val="9509"/>
      <sheetName val="입찰안"/>
      <sheetName val="7. 현장관리비 "/>
      <sheetName val="6. 안전관리비"/>
      <sheetName val="집계표"/>
      <sheetName val="내   역"/>
      <sheetName val="주요공사"/>
      <sheetName val="VXXXXXXX"/>
      <sheetName val="단가표"/>
      <sheetName val="Sheet1 (2)"/>
      <sheetName val="기계공사"/>
      <sheetName val="단면 (2)"/>
      <sheetName val="cp1"/>
      <sheetName val="내역서(기존내역-수정금지)"/>
      <sheetName val="전체내역서"/>
      <sheetName val="ITEM"/>
      <sheetName val="노무비"/>
      <sheetName val="N賃率-職"/>
      <sheetName val="일반부표"/>
      <sheetName val="코드"/>
      <sheetName val="기계"/>
      <sheetName val="주관사업"/>
      <sheetName val="변경내역"/>
      <sheetName val="총요약서"/>
      <sheetName val="설직재-1"/>
      <sheetName val="소일위대가코드표"/>
      <sheetName val="대전(세창동)"/>
      <sheetName val="영업소실적"/>
      <sheetName val="마감사양"/>
      <sheetName val="미수금현황"/>
      <sheetName val="유림총괄"/>
      <sheetName val="도급견적가"/>
      <sheetName val="COVER"/>
      <sheetName val="건물"/>
      <sheetName val="0_갑지"/>
      <sheetName val="8_현장관리비"/>
      <sheetName val="7_안전관리비"/>
      <sheetName val="건축내역"/>
      <sheetName val="돈암사업"/>
      <sheetName val="공사비예산서_토목분_"/>
      <sheetName val="01"/>
      <sheetName val="Sens&amp;Anal"/>
      <sheetName val="예산서"/>
      <sheetName val="물량내역서"/>
      <sheetName val="금액결정"/>
      <sheetName val="마찰손실"/>
      <sheetName val="원가계산 (2)"/>
      <sheetName val="수주실적0709"/>
      <sheetName val="부대공Ⅱ"/>
      <sheetName val="단가기준"/>
      <sheetName val="국내총괄"/>
      <sheetName val="15100"/>
      <sheetName val="시중노임단가"/>
      <sheetName val="반포2차"/>
      <sheetName val="부표총괄"/>
      <sheetName val="기초목"/>
      <sheetName val="국산화"/>
      <sheetName val="경비"/>
      <sheetName val="00노임기준"/>
      <sheetName val="일위대가"/>
      <sheetName val="교각별철근수량집계표"/>
      <sheetName val="구조물공"/>
      <sheetName val="부대공"/>
      <sheetName val="배수공"/>
      <sheetName val="토공"/>
      <sheetName val="포장공"/>
      <sheetName val="연결임시"/>
      <sheetName val="토공(우물통,기타) "/>
      <sheetName val="교량하부공"/>
      <sheetName val="내역서01"/>
      <sheetName val="단가 (2)"/>
      <sheetName val="골조시행"/>
      <sheetName val="급여관련자료"/>
      <sheetName val="평가데이터"/>
      <sheetName val="하수급견적대비"/>
      <sheetName val="청천내"/>
      <sheetName val="협력업체"/>
      <sheetName val="설계내역서"/>
      <sheetName val="진주방향"/>
      <sheetName val="98지급계획"/>
      <sheetName val="분당임차변경"/>
      <sheetName val="6PILE  (돌출)"/>
      <sheetName val="변압기 및 발전기 용량"/>
      <sheetName val="작업년월"/>
      <sheetName val="금액내역서"/>
      <sheetName val="세부내역"/>
      <sheetName val="시중노임(공사)"/>
      <sheetName val="납부내역"/>
      <sheetName val="빈"/>
      <sheetName val="을지"/>
      <sheetName val="현장현황"/>
      <sheetName val="실행내역"/>
      <sheetName val="직노"/>
      <sheetName val="예가표"/>
      <sheetName val="적상기초자료"/>
      <sheetName val="DATA"/>
      <sheetName val="횡배수관집현황(2공구)"/>
      <sheetName val="세금자료"/>
      <sheetName val="요율"/>
      <sheetName val="물량내역"/>
      <sheetName val="ABUT수량-A1"/>
      <sheetName val="96까지"/>
      <sheetName val="97년"/>
      <sheetName val="98이후"/>
      <sheetName val="대비표(토공1안)"/>
      <sheetName val="갑지(추정)"/>
      <sheetName val="식재가격"/>
      <sheetName val="식재총괄"/>
      <sheetName val="AJ005"/>
      <sheetName val="손익차9월2"/>
      <sheetName val="DATE"/>
      <sheetName val="시중노임"/>
      <sheetName val="목차"/>
      <sheetName val="터파기및재료"/>
      <sheetName val="개산공사비"/>
      <sheetName val="스케즐"/>
      <sheetName val="소방기계"/>
      <sheetName val="차액보증"/>
      <sheetName val="갑지"/>
      <sheetName val="형틀물량집계"/>
      <sheetName val="포설물량(8회분)"/>
      <sheetName val="집수정(600-700)"/>
      <sheetName val="TRE TABLE"/>
      <sheetName val="10ADIT05"/>
      <sheetName val="결재판(삭제하지말아주세요)"/>
      <sheetName val="O＆P"/>
      <sheetName val="자  재"/>
      <sheetName val="건축외주"/>
      <sheetName val="인상효1"/>
      <sheetName val="설계명세서(전송장비분)"/>
      <sheetName val="EQT-ESTN"/>
      <sheetName val="AL공사(원)"/>
      <sheetName val="실행철강하도"/>
      <sheetName val="단"/>
      <sheetName val="1차 내역서"/>
      <sheetName val="3.건축(현장안)"/>
      <sheetName val="일위_파일"/>
      <sheetName val="현장관리비"/>
      <sheetName val="현장경비"/>
      <sheetName val="공문"/>
      <sheetName val="수입"/>
      <sheetName val="하치장수불부"/>
      <sheetName val="외주"/>
      <sheetName val="STAND98"/>
      <sheetName val="STAND20"/>
      <sheetName val="코드표"/>
      <sheetName val="증감대비"/>
      <sheetName val="을"/>
      <sheetName val="wall"/>
      <sheetName val="토목주소"/>
      <sheetName val="프랜트면허"/>
      <sheetName val="BEND LOSS"/>
      <sheetName val="cal"/>
      <sheetName val="인천제철"/>
      <sheetName val="조명시설"/>
      <sheetName val="자료"/>
      <sheetName val="6공구(당초)"/>
      <sheetName val="10월실적마감"/>
      <sheetName val="7월실적마감"/>
      <sheetName val="8월실적마감"/>
      <sheetName val="9월실적마감"/>
      <sheetName val="ⴭⴭⴭⴭⴭ"/>
      <sheetName val="이토변실(A3-LINE)"/>
      <sheetName val="식재인부"/>
      <sheetName val="집계"/>
      <sheetName val="pier(각형)"/>
      <sheetName val="안전장치"/>
      <sheetName val="BLOCK(1)"/>
      <sheetName val="수량산출서"/>
      <sheetName val="계약동호배치도"/>
      <sheetName val="단가산출"/>
      <sheetName val="산출근거"/>
      <sheetName val="소화실적"/>
      <sheetName val="내역서(당초변경)"/>
      <sheetName val="공량산출서"/>
      <sheetName val="공급&amp;미분양"/>
      <sheetName val="청산공사"/>
      <sheetName val="계수시트"/>
      <sheetName val="부속동"/>
      <sheetName val="개요"/>
      <sheetName val="날개벽수량표"/>
      <sheetName val="TOWER 12TON"/>
      <sheetName val="TOWER 10TON"/>
      <sheetName val="소요자재"/>
      <sheetName val="정보"/>
      <sheetName val="부산제일극장"/>
      <sheetName val="수정시산표"/>
      <sheetName val="산출내역서집계표"/>
      <sheetName val="국내조달(통합-1)"/>
      <sheetName val="15 문제점"/>
      <sheetName val="POL6차-PIPING"/>
      <sheetName val="물량"/>
      <sheetName val="WEIGHT LIST"/>
      <sheetName val="산#2-1 (2)"/>
      <sheetName val="산#3-1"/>
      <sheetName val="견적대비표"/>
      <sheetName val="관리,공감"/>
      <sheetName val="대여현황"/>
      <sheetName val="계수원본(99.2.28)"/>
      <sheetName val="내역서-수정본"/>
      <sheetName val="삼보지질"/>
      <sheetName val="공사비산출내역"/>
      <sheetName val="구의33고"/>
      <sheetName val="수지표"/>
      <sheetName val="020114"/>
      <sheetName val="0111월"/>
      <sheetName val="공동"/>
      <sheetName val="MAIN"/>
      <sheetName val="npv"/>
      <sheetName val="보고"/>
      <sheetName val="7.자동제어공사"/>
      <sheetName val="7수지"/>
      <sheetName val="04.01"/>
      <sheetName val="노임"/>
      <sheetName val="관급자재"/>
      <sheetName val="형틀공사"/>
      <sheetName val="1,2,3,4,5단위수량"/>
      <sheetName val="봉천제출"/>
      <sheetName val="파일의이용"/>
      <sheetName val="B1(반포1차)"/>
      <sheetName val="견적"/>
      <sheetName val="6맨홀H"/>
      <sheetName val="금융비용"/>
      <sheetName val="시행대비_(2)"/>
      <sheetName val="7__현장관리비_"/>
      <sheetName val="6__안전관리비"/>
      <sheetName val="내___역"/>
      <sheetName val="P_M_별"/>
      <sheetName val="Sheet1_(2)"/>
      <sheetName val="단면_(2)"/>
      <sheetName val="WEIGHT_LIST"/>
      <sheetName val="산#2-1_(2)"/>
      <sheetName val="2_대외공문"/>
      <sheetName val="TOWER_12TON"/>
      <sheetName val="TOWER_10TON"/>
      <sheetName val="원가계산_(2)"/>
      <sheetName val="Sheet2_(2)"/>
      <sheetName val="2_냉난방설비공사"/>
      <sheetName val="FRP_PIPING_일위대가"/>
      <sheetName val="2_1__노무비_평균단가산출"/>
      <sheetName val="계수원본(99_2_28)"/>
      <sheetName val="7_자동제어공사"/>
      <sheetName val="04_01"/>
      <sheetName val="15_문제점"/>
      <sheetName val="입찰"/>
      <sheetName val="현경"/>
      <sheetName val="업무분장"/>
      <sheetName val="금액,품셈"/>
      <sheetName val="비교1"/>
      <sheetName val="DATA1"/>
      <sheetName val="사업비총괄표"/>
      <sheetName val="익산"/>
      <sheetName val="투찰"/>
      <sheetName val="결과조달"/>
      <sheetName val="중기 부표"/>
      <sheetName val="대비표"/>
      <sheetName val="인건비"/>
      <sheetName val="물가시세표"/>
      <sheetName val="A조"/>
      <sheetName val="A갑지"/>
      <sheetName val="개인DATA"/>
      <sheetName val="기준단가"/>
      <sheetName val="공사비 내역 (가)"/>
      <sheetName val="항목(1)"/>
      <sheetName val="BOOK4"/>
      <sheetName val="전문품의"/>
      <sheetName val="공정"/>
      <sheetName val="현장"/>
      <sheetName val="단위수량"/>
      <sheetName val="캔개발배경"/>
      <sheetName val="시장"/>
      <sheetName val="일정표"/>
      <sheetName val="시장성초안camera"/>
      <sheetName val="별표 "/>
      <sheetName val="const."/>
      <sheetName val="요약&amp;결과"/>
      <sheetName val="입주현황"/>
      <sheetName val="보유과세"/>
      <sheetName val="단가"/>
      <sheetName val="70%"/>
      <sheetName val="총내역"/>
      <sheetName val="9811"/>
      <sheetName val="기초일위"/>
      <sheetName val="시설일위"/>
      <sheetName val="조명일위"/>
      <sheetName val="전체"/>
      <sheetName val="MEED"/>
      <sheetName val="분류표"/>
      <sheetName val="공사비집계"/>
      <sheetName val="토목"/>
      <sheetName val="지급자재"/>
      <sheetName val="STEEL BOX 단면설계(SEC.8)"/>
      <sheetName val="표지"/>
      <sheetName val="간접"/>
      <sheetName val="가로등내역서"/>
      <sheetName val="토목내역서 (도급단가)"/>
      <sheetName val="(실사조정)총괄"/>
      <sheetName val="도급원가"/>
      <sheetName val="부대tu"/>
      <sheetName val="기호"/>
      <sheetName val="본사공가현황"/>
      <sheetName val="토사(PE)"/>
      <sheetName val="공조기"/>
      <sheetName val="96노임기준"/>
      <sheetName val="Income Statement"/>
      <sheetName val="첨부1-1"/>
      <sheetName val="내역서(기계)"/>
      <sheetName val="준검 내역서"/>
      <sheetName val="금융"/>
      <sheetName val="수리결과"/>
      <sheetName val="본공사"/>
      <sheetName val="단독"/>
      <sheetName val="설계명세"/>
      <sheetName val="설계"/>
      <sheetName val="변경서식"/>
      <sheetName val="은행"/>
      <sheetName val="을-ATYPE"/>
      <sheetName val="평형공사비"/>
      <sheetName val="수수료율표"/>
      <sheetName val="호실data"/>
      <sheetName val="수량집계"/>
      <sheetName val="명세서"/>
      <sheetName val="운영비산정가정"/>
      <sheetName val="목록"/>
      <sheetName val="추가예산"/>
      <sheetName val="7.수지"/>
      <sheetName val="가설개략"/>
      <sheetName val="인사자료총집계"/>
      <sheetName val="misc"/>
      <sheetName val="견적내역"/>
      <sheetName val="건축2"/>
      <sheetName val="국내"/>
      <sheetName val="간접비"/>
      <sheetName val="UG COM-8"/>
      <sheetName val="UG COM-11"/>
      <sheetName val="UG COM-7"/>
      <sheetName val="UG COM-6"/>
      <sheetName val="UG COM-5"/>
      <sheetName val="UG COM-4"/>
      <sheetName val="UG COM-3"/>
      <sheetName val="UG COM-2"/>
      <sheetName val="UG COM-1"/>
      <sheetName val="UG COM-12"/>
      <sheetName val="총물량"/>
      <sheetName val="1월"/>
      <sheetName val="9GNG운반"/>
      <sheetName val="연돌일위집계"/>
      <sheetName val="공통가설공사"/>
      <sheetName val="도기류"/>
      <sheetName val="0000"/>
      <sheetName val="판가반영"/>
      <sheetName val="품셈"/>
      <sheetName val="가시설"/>
      <sheetName val="부대"/>
      <sheetName val="부안일위"/>
      <sheetName val="품셈TABLE"/>
      <sheetName val="신심사"/>
      <sheetName val="본지사합"/>
      <sheetName val="스포회원매출"/>
      <sheetName val="아파트"/>
      <sheetName val="20관리비율"/>
      <sheetName val="97 사업추정(WEKI)"/>
      <sheetName val="동호수배치도"/>
      <sheetName val="단중표"/>
      <sheetName val="정렬"/>
      <sheetName val="전기변내역"/>
      <sheetName val="납부서"/>
      <sheetName val="재집"/>
      <sheetName val="직재"/>
      <sheetName val="별표_"/>
      <sheetName val="1차_내역서"/>
      <sheetName val="토공(우물통,기타)_"/>
      <sheetName val="단가_(2)"/>
      <sheetName val="6PILE__(돌출)"/>
      <sheetName val="변압기_및_발전기_용량"/>
      <sheetName val="TRE_TABLE"/>
      <sheetName val="수목데이타 "/>
      <sheetName val="남양주부대"/>
      <sheetName val="회사정보"/>
      <sheetName val="R&amp;D"/>
      <sheetName val="하부철근수량"/>
      <sheetName val="업무계획1"/>
      <sheetName val="가격조사서"/>
      <sheetName val="상제품매출(원가)1~10월"/>
      <sheetName val="예약현황"/>
      <sheetName val="소개"/>
      <sheetName val="투자비"/>
      <sheetName val="각사별공사비분개 "/>
      <sheetName val="자재(원원+원대)"/>
      <sheetName val="건축공사실행"/>
      <sheetName val="건축원가"/>
      <sheetName val="일위대가(가설)"/>
      <sheetName val="1차설계변경내역"/>
      <sheetName val="장기미처리(업체)"/>
      <sheetName val="장기미처리(센터)"/>
      <sheetName val="금광1터널"/>
      <sheetName val="갑지1"/>
      <sheetName val="실행"/>
      <sheetName val="구조부재산출서"/>
      <sheetName val="작업금지"/>
      <sheetName val="전체항목"/>
      <sheetName val="RCF CLAIMED"/>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sheetData sheetId="465"/>
      <sheetData sheetId="466"/>
      <sheetData sheetId="467"/>
      <sheetData sheetId="468"/>
      <sheetData sheetId="469"/>
      <sheetData sheetId="470"/>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Set>
  </externalBook>
</externalLink>
</file>

<file path=xl/externalLinks/externalLink5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유림골조"/>
      <sheetName val="NEW비교"/>
      <sheetName val="의뢰"/>
      <sheetName val="견적조건"/>
      <sheetName val="품의서"/>
      <sheetName val="새공통(97년3월)"/>
      <sheetName val="건축"/>
      <sheetName val="24평(계단식-TOWER)"/>
      <sheetName val="24평(계단식)"/>
      <sheetName val="32평"/>
      <sheetName val="43평"/>
      <sheetName val="48평"/>
      <sheetName val="동DATA"/>
      <sheetName val="파일본수"/>
      <sheetName val="파일공사"/>
      <sheetName val="SERVICE"/>
      <sheetName val="부대건축"/>
      <sheetName val="전기"/>
      <sheetName val="설비"/>
      <sheetName val="토공사및 흙막이공사"/>
      <sheetName val="옥외"/>
      <sheetName val="물가상승1"/>
      <sheetName val="써100 (A4)"/>
      <sheetName val="제출표지"/>
      <sheetName val="와동25-3(변경)"/>
      <sheetName val="직노"/>
      <sheetName val="EACT10"/>
      <sheetName val="표지"/>
      <sheetName val="목차"/>
      <sheetName val="설계조건"/>
      <sheetName val="열관류율"/>
      <sheetName val="First"/>
      <sheetName val="Front"/>
      <sheetName val="wall"/>
      <sheetName val="집계표"/>
      <sheetName val="부하계산서"/>
      <sheetName val="F.C.U ZONE집계"/>
      <sheetName val="A.H.U ZONE별집계"/>
      <sheetName val="PAC 집계"/>
      <sheetName val="난방부하집계(청소년수련관)"/>
      <sheetName val="냉온수기"/>
      <sheetName val="보일러&amp;응축수탱크"/>
      <sheetName val="열교환기"/>
      <sheetName val="공조기선정"/>
      <sheetName val="공조기리턴휀"/>
      <sheetName val="FAN"/>
      <sheetName val="저수조(교육,사이버)"/>
      <sheetName val="저수조(청소년)"/>
      <sheetName val="급탕탱크"/>
      <sheetName val="급수펌프"/>
      <sheetName val="펌프"/>
      <sheetName val="1.가스소비량"/>
      <sheetName val="환산길이"/>
      <sheetName val="1-3.가스관경계산-1"/>
      <sheetName val="1-4.가스관경계산-2"/>
      <sheetName val="1-5.가스관경계산-3"/>
      <sheetName val="1-6.가스관경계산-4 "/>
      <sheetName val="1-7.가스관경계산-5"/>
      <sheetName val="1-7.가스차압산출"/>
      <sheetName val="form"/>
      <sheetName val="ZONE"/>
      <sheetName val="DATA"/>
      <sheetName val="주차장환기량"/>
      <sheetName val="송풍기272대형(지하2층)"/>
      <sheetName val="송풍기272대형(지하1층)"/>
      <sheetName val="송풍기268대형(지하1층)"/>
      <sheetName val="덕트 및 배기그릴선정"/>
      <sheetName val="1.견적서목록"/>
      <sheetName val="SF적재계산"/>
      <sheetName val="FAX1"/>
      <sheetName val="주소록"/>
      <sheetName val="Module1"/>
      <sheetName val="Module2"/>
      <sheetName val="MM"/>
      <sheetName val="견적표지"/>
      <sheetName val="견적서"/>
      <sheetName val="부하계산서 (영문)"/>
      <sheetName val="PEND-ITEM"/>
      <sheetName val="PEND-ITEM (2)"/>
      <sheetName val="PEND-99"/>
      <sheetName val="0000"/>
      <sheetName val="설계자료"/>
      <sheetName val="Sheet1"/>
      <sheetName val="Sheet3"/>
      <sheetName val="Sheet7"/>
      <sheetName val="Sheet8"/>
      <sheetName val="Sheet9"/>
      <sheetName val="Sheet10"/>
      <sheetName val="Sheet11"/>
      <sheetName val="Sheet12"/>
      <sheetName val="Sheet13"/>
      <sheetName val="Sheet14"/>
      <sheetName val="Sheet15"/>
      <sheetName val="Sheet6"/>
      <sheetName val="Sheet16"/>
      <sheetName val="VXXXXXX"/>
      <sheetName val="목록"/>
      <sheetName val="파일정리"/>
      <sheetName val="견적표지(종)"/>
      <sheetName val="견적표지 (횡)"/>
      <sheetName val="1"/>
      <sheetName val="화물선취"/>
      <sheetName val="부하집계표 (2안)"/>
      <sheetName val="부하계산서 "/>
      <sheetName val="동결부하계산서"/>
      <sheetName val="UNIT COOLER 선정표"/>
      <sheetName val="ACCUMULALOR (2안)"/>
      <sheetName val="동력집계표 (2안)"/>
      <sheetName val="cooling tower (2)"/>
      <sheetName val="cooling water pump"/>
      <sheetName val="DEFROEST PUMP"/>
      <sheetName val="기기선정표 (2안)"/>
      <sheetName val="부하집계표"/>
      <sheetName val="동력집계표"/>
      <sheetName val="ACCUMULALOR"/>
      <sheetName val="cooling tower"/>
      <sheetName val="기기선정표"/>
      <sheetName val="부하집계표 (2)"/>
      <sheetName val="공조기"/>
      <sheetName val="공조기휀"/>
      <sheetName val="AHU집계"/>
      <sheetName val="OCT.FDN"/>
      <sheetName val="WIND"/>
      <sheetName val="SEISMIC"/>
      <sheetName val="SIZE"/>
      <sheetName val="EXT.CHECK"/>
      <sheetName val="DESIGN"/>
      <sheetName val="Demolition(Total)"/>
      <sheetName val="D-147E"/>
      <sheetName val="D-126E"/>
      <sheetName val="V-128E"/>
      <sheetName val="FL-123E1"/>
      <sheetName val="D-120E"/>
      <sheetName val="D-131E"/>
      <sheetName val="T-127E1"/>
      <sheetName val="Trench1"/>
      <sheetName val="Trench2"/>
      <sheetName val="Trench3"/>
      <sheetName val="P-147E1"/>
      <sheetName val="P-124E"/>
      <sheetName val="P-127E1,E2 "/>
      <sheetName val="P-121E"/>
      <sheetName val="P-122E"/>
      <sheetName val="P-120E1,E2"/>
      <sheetName val="P-123E1,E2 "/>
      <sheetName val="P-128E "/>
      <sheetName val="건축(주상복합)"/>
      <sheetName val="옥외및기타"/>
      <sheetName val="파일공사(APT)"/>
      <sheetName val="파일공사(부대동)"/>
      <sheetName val="총괄"/>
      <sheetName val="의뢰서"/>
      <sheetName val="공통비"/>
      <sheetName val="PAC"/>
      <sheetName val="남양시작동자105노65기1.3화1.2"/>
      <sheetName val="일위대가(가설)"/>
      <sheetName val="물가자료"/>
      <sheetName val="Y-WORK"/>
      <sheetName val="97 사업추정(WEKI)"/>
      <sheetName val="단중표"/>
      <sheetName val="터파기및재료"/>
      <sheetName val="1차설계변경내역"/>
      <sheetName val="기계설비"/>
      <sheetName val="xxxxxx"/>
      <sheetName val="（２）"/>
      <sheetName val="（３） "/>
      <sheetName val="97년-98년"/>
      <sheetName val="Sheet5"/>
      <sheetName val="주간업무보고"/>
      <sheetName val="주간업무보고4월첫째"/>
      <sheetName val="부재중업무보고"/>
      <sheetName val="주간업무보고4월네째"/>
      <sheetName val="3"/>
      <sheetName val="Sheet2"/>
      <sheetName val="aola"/>
      <sheetName val="aola_2"/>
      <sheetName val="aola_3"/>
      <sheetName val="aola_4"/>
      <sheetName val="aola_5"/>
      <sheetName val="aola_6"/>
      <sheetName val="aola_7"/>
      <sheetName val="aola_8"/>
      <sheetName val="aola_9"/>
      <sheetName val="aola_10"/>
      <sheetName val="aola_11"/>
      <sheetName val="aola_12"/>
      <sheetName val="aola_13"/>
      <sheetName val="aola_14"/>
      <sheetName val="aola_15"/>
      <sheetName val="aola_16"/>
      <sheetName val="aola_17"/>
      <sheetName val="aola_18"/>
      <sheetName val="aola_19"/>
      <sheetName val="aola_20"/>
      <sheetName val="aola_21"/>
      <sheetName val="aola_22"/>
      <sheetName val="목차 (2)"/>
      <sheetName val="목차(1)"/>
      <sheetName val="1-1"/>
      <sheetName val="1-2"/>
      <sheetName val="1-3"/>
      <sheetName val="1-4"/>
      <sheetName val="1-5"/>
      <sheetName val="1-6"/>
      <sheetName val="1-7"/>
      <sheetName val="1-8"/>
      <sheetName val="1-9"/>
      <sheetName val="1-10"/>
      <sheetName val="1-11"/>
      <sheetName val="지침"/>
      <sheetName val="일정"/>
      <sheetName val="단위"/>
      <sheetName val="갱비산출근거"/>
      <sheetName val="양식목차"/>
      <sheetName val="1-1.손익(부문별)"/>
      <sheetName val="1-2.손익(월별)"/>
      <sheetName val="2-1.판관비(부문)"/>
      <sheetName val="2-2.판관비(월별)"/>
      <sheetName val="3-1.수익비용(부문별)"/>
      <sheetName val="3-2.수익비용(월별)"/>
      <sheetName val="4-1.투자(부문)"/>
      <sheetName val="4-2.투자(월별)"/>
      <sheetName val="5-1.인원(부문)"/>
      <sheetName val="5-2.인원(월별)"/>
      <sheetName val="6.산출근거"/>
      <sheetName val="7.현금흐름"/>
      <sheetName val="마케팅1"/>
      <sheetName val="마케팅1 (2)"/>
      <sheetName val="마케팅1 (3)"/>
      <sheetName val="마케팅1 (4)"/>
      <sheetName val="구판관비"/>
      <sheetName val="01 1담당매출계획27.8$"/>
      <sheetName val="01매출계획식자재"/>
      <sheetName val="01매출계획 선용품"/>
      <sheetName val="증감내역"/>
      <sheetName val="99~01년승선현황"/>
      <sheetName val="1월"/>
      <sheetName val="2월"/>
      <sheetName val="3월"/>
      <sheetName val="4월"/>
      <sheetName val="5월"/>
      <sheetName val="6월"/>
      <sheetName val="상반기"/>
      <sheetName val="7월"/>
      <sheetName val="9월"/>
      <sheetName val="8월"/>
      <sheetName val="10월"/>
      <sheetName val="11월"/>
      <sheetName val="12월"/>
      <sheetName val="하반기"/>
      <sheetName val="총계"/>
      <sheetName val="울산총계"/>
      <sheetName val="울산1월"/>
      <sheetName val="울산2월"/>
      <sheetName val="울산3월"/>
      <sheetName val="울산4월"/>
      <sheetName val="울산5월"/>
      <sheetName val="울산6월"/>
      <sheetName val="울산7월"/>
      <sheetName val="울산8월"/>
      <sheetName val="울산9월"/>
      <sheetName val="울산10월"/>
      <sheetName val="울산11월"/>
      <sheetName val="울산12월"/>
      <sheetName val="성남총계"/>
      <sheetName val="성남1월"/>
      <sheetName val="성남2월"/>
      <sheetName val="성남3월"/>
      <sheetName val="성남4월"/>
      <sheetName val="성남5월"/>
      <sheetName val="성남6월"/>
      <sheetName val="성남7월"/>
      <sheetName val="성남8월"/>
      <sheetName val="성남9월"/>
      <sheetName val="성남10월"/>
      <sheetName val="성남11월"/>
      <sheetName val="성남12월"/>
      <sheetName val="요약장"/>
      <sheetName val="부도어음수표"/>
      <sheetName val="악성채권"/>
      <sheetName val="작업전원본"/>
      <sheetName val="작업악성채권직원판매제외(거래선별종합)"/>
      <sheetName val="작업악성채권직원판매제외(거래선별) "/>
      <sheetName val="작업악성채권직원판매제외 (담당별종합)"/>
      <sheetName val="작업악성채권직원판매제외 (담당별)"/>
      <sheetName val="Sheet3-1"/>
      <sheetName val="Sheet4"/>
      <sheetName val="물가자료비교"/>
      <sheetName val="3사단가비교"/>
      <sheetName val="대동"/>
      <sheetName val="성림"/>
      <sheetName val="금강"/>
      <sheetName val="별첨1"/>
      <sheetName val="별첨2"/>
      <sheetName val="별첨3"/>
      <sheetName val="별첨4"/>
      <sheetName val="백1"/>
      <sheetName val="백2"/>
      <sheetName val="백3"/>
      <sheetName val="월별매출01"/>
      <sheetName val="식품"/>
      <sheetName val="포함"/>
      <sheetName val="울산점"/>
      <sheetName val="일반관리비"/>
      <sheetName val="카메라"/>
      <sheetName val="판촉비예산 "/>
      <sheetName val="전산투자예산"/>
      <sheetName val="인테리어.시설"/>
      <sheetName val="파 3층 특설 장치장식비"/>
      <sheetName val="갑"/>
      <sheetName val="2"/>
      <sheetName val="4"/>
      <sheetName val="5"/>
      <sheetName val="6"/>
      <sheetName val="7"/>
      <sheetName val="채권총괄표(H&amp;S집계)"/>
      <sheetName val="표지(03년11월)"/>
      <sheetName val="총괄 (03년11월)h&amp;s"/>
      <sheetName val="총괄 (03년11월)여행"/>
      <sheetName val="세부내용 (03년11월)여행"/>
      <sheetName val="개인 세부내용 (03년11월)여행"/>
      <sheetName val="서울일반상품"/>
      <sheetName val="서울상품권"/>
      <sheetName val="동구일반상품 "/>
      <sheetName val="동구미수금"/>
      <sheetName val="금강산"/>
      <sheetName val="임대"/>
      <sheetName val="본사"/>
      <sheetName val="ꀀ"/>
      <sheetName val="영업2파트"/>
      <sheetName val="영업활동현황"/>
      <sheetName val="성과보고표지"/>
      <sheetName val="성과보고양식"/>
      <sheetName val="#REF"/>
      <sheetName val="bid"/>
      <sheetName val="단가비교표"/>
      <sheetName val="내역"/>
      <sheetName val="내역서"/>
      <sheetName val="관람석제출"/>
      <sheetName val="TRE TABLE"/>
      <sheetName val="base"/>
      <sheetName val="빙설"/>
      <sheetName val="첨부1-1"/>
      <sheetName val="입력"/>
      <sheetName val="관류율"/>
      <sheetName val="g"/>
      <sheetName val="h"/>
      <sheetName val="c"/>
      <sheetName val="d"/>
      <sheetName val="e"/>
      <sheetName val="f"/>
      <sheetName val="난방집계"/>
      <sheetName val="난방입상"/>
      <sheetName val="난방횡주"/>
      <sheetName val="급수입상"/>
      <sheetName val="급수횡주"/>
      <sheetName val="급탕입상"/>
      <sheetName val="급탕횡주"/>
      <sheetName val="배수입상 "/>
      <sheetName val="배수횡주"/>
      <sheetName val="오수횡주"/>
      <sheetName val="소방"/>
      <sheetName val="동영견적(갑지)"/>
      <sheetName val="자재단가"/>
      <sheetName val="압력시험보고서"/>
      <sheetName val="배관설치최종점검기록서"/>
      <sheetName val="PUNCH LIST"/>
      <sheetName val="WELDING JOINT INSPECTION STATUS"/>
      <sheetName val="명판"/>
      <sheetName val="업무"/>
      <sheetName val="8"/>
      <sheetName val="9"/>
      <sheetName val="10"/>
      <sheetName val="11"/>
      <sheetName val="12"/>
      <sheetName val="13"/>
      <sheetName val="14"/>
      <sheetName val="15"/>
      <sheetName val="16"/>
      <sheetName val="17"/>
      <sheetName val="18"/>
      <sheetName val="19"/>
      <sheetName val="20"/>
      <sheetName val="중방향비율"/>
      <sheetName val="골격"/>
      <sheetName val="가로교통량"/>
      <sheetName val="현황(무신호)"/>
      <sheetName val="미시(휴일-무신호)"/>
      <sheetName val="시행(휴일-무신호)"/>
      <sheetName val="현황-2차로분석)"/>
      <sheetName val="미시(휴일-2차로분석)"/>
      <sheetName val="시행(휴일-2차로분석)"/>
      <sheetName val="충주내역"/>
      <sheetName val="PE거푸집(1.2)"/>
      <sheetName val="일위대가"/>
      <sheetName val="자단"/>
      <sheetName val="인공산출"/>
      <sheetName val="단락전류-A"/>
      <sheetName val="고분전시관"/>
      <sheetName val="금융비용"/>
      <sheetName val="건물개요"/>
      <sheetName val="내역서 (3)"/>
      <sheetName val="내역서2"/>
      <sheetName val="내역서 (4)"/>
      <sheetName val="단가입력"/>
      <sheetName val="잡자재비"/>
      <sheetName val="공구손료"/>
      <sheetName val="인건비산출"/>
      <sheetName val="정릉견산출"/>
      <sheetName val="상도동견산출"/>
      <sheetName val="상도갑지"/>
      <sheetName val="현관"/>
      <sheetName val="을지"/>
      <sheetName val="돈암사업"/>
      <sheetName val="단가표"/>
      <sheetName val="노임단가"/>
      <sheetName val="갑지(추정)"/>
      <sheetName val="세원견적서"/>
      <sheetName val="남대문빌딩"/>
      <sheetName val="냉천부속동"/>
      <sheetName val="수목표준대가"/>
      <sheetName val="hvac(제어동)"/>
      <sheetName val="APT"/>
      <sheetName val="부속동"/>
      <sheetName val="경산"/>
      <sheetName val="차액보증"/>
      <sheetName val="손익차9월2"/>
      <sheetName val="대비"/>
      <sheetName val="2공구산출내역"/>
      <sheetName val="사업성"/>
      <sheetName val="수입"/>
      <sheetName val="5사남"/>
      <sheetName val="대여현황"/>
      <sheetName val="금액순"/>
      <sheetName val="안산기계장치"/>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sheetData sheetId="42" refreshError="1"/>
      <sheetData sheetId="43" refreshError="1"/>
      <sheetData sheetId="44" refreshError="1"/>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sheetData sheetId="74"/>
      <sheetData sheetId="75"/>
      <sheetData sheetId="76"/>
      <sheetData sheetId="77"/>
      <sheetData sheetId="78"/>
      <sheetData sheetId="79"/>
      <sheetData sheetId="80"/>
      <sheetData sheetId="81"/>
      <sheetData sheetId="82"/>
      <sheetData sheetId="83"/>
      <sheetData sheetId="84"/>
      <sheetData sheetId="85"/>
      <sheetData sheetId="86"/>
      <sheetData sheetId="87"/>
      <sheetData sheetId="88"/>
      <sheetData sheetId="89"/>
      <sheetData sheetId="90"/>
      <sheetData sheetId="91"/>
      <sheetData sheetId="92"/>
      <sheetData sheetId="93"/>
      <sheetData sheetId="94"/>
      <sheetData sheetId="95"/>
      <sheetData sheetId="96"/>
      <sheetData sheetId="97" refreshError="1"/>
      <sheetData sheetId="98" refreshError="1"/>
      <sheetData sheetId="99" refreshError="1"/>
      <sheetData sheetId="100" refreshError="1"/>
      <sheetData sheetId="101" refreshError="1"/>
      <sheetData sheetId="102" refreshError="1"/>
      <sheetData sheetId="103" refreshError="1"/>
      <sheetData sheetId="104"/>
      <sheetData sheetId="105"/>
      <sheetData sheetId="106"/>
      <sheetData sheetId="107"/>
      <sheetData sheetId="108"/>
      <sheetData sheetId="109"/>
      <sheetData sheetId="110"/>
      <sheetData sheetId="111"/>
      <sheetData sheetId="112"/>
      <sheetData sheetId="113"/>
      <sheetData sheetId="114" refreshError="1"/>
      <sheetData sheetId="115" refreshError="1"/>
      <sheetData sheetId="116" refreshError="1"/>
      <sheetData sheetId="117" refreshError="1"/>
      <sheetData sheetId="118"/>
      <sheetData sheetId="119"/>
      <sheetData sheetId="120"/>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sheetData sheetId="173"/>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sheetData sheetId="197"/>
      <sheetData sheetId="198"/>
      <sheetData sheetId="199"/>
      <sheetData sheetId="200"/>
      <sheetData sheetId="201"/>
      <sheetData sheetId="202"/>
      <sheetData sheetId="203"/>
      <sheetData sheetId="204"/>
      <sheetData sheetId="205"/>
      <sheetData sheetId="206"/>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sheetData sheetId="224"/>
      <sheetData sheetId="225"/>
      <sheetData sheetId="226"/>
      <sheetData sheetId="227"/>
      <sheetData sheetId="228"/>
      <sheetData sheetId="229"/>
      <sheetData sheetId="230"/>
      <sheetData sheetId="231"/>
      <sheetData sheetId="232"/>
      <sheetData sheetId="233"/>
      <sheetData sheetId="234"/>
      <sheetData sheetId="235"/>
      <sheetData sheetId="236"/>
      <sheetData sheetId="237"/>
      <sheetData sheetId="238"/>
      <sheetData sheetId="239"/>
      <sheetData sheetId="240"/>
      <sheetData sheetId="241"/>
      <sheetData sheetId="242"/>
      <sheetData sheetId="243"/>
      <sheetData sheetId="244"/>
      <sheetData sheetId="245"/>
      <sheetData sheetId="246"/>
      <sheetData sheetId="247"/>
      <sheetData sheetId="248"/>
      <sheetData sheetId="249"/>
      <sheetData sheetId="250"/>
      <sheetData sheetId="251"/>
      <sheetData sheetId="252"/>
      <sheetData sheetId="253"/>
      <sheetData sheetId="254"/>
      <sheetData sheetId="255"/>
      <sheetData sheetId="256"/>
      <sheetData sheetId="257"/>
      <sheetData sheetId="258"/>
      <sheetData sheetId="259"/>
      <sheetData sheetId="260"/>
      <sheetData sheetId="261"/>
      <sheetData sheetId="262"/>
      <sheetData sheetId="263"/>
      <sheetData sheetId="264"/>
      <sheetData sheetId="265"/>
      <sheetData sheetId="266"/>
      <sheetData sheetId="267"/>
      <sheetData sheetId="268"/>
      <sheetData sheetId="269"/>
      <sheetData sheetId="270"/>
      <sheetData sheetId="271"/>
      <sheetData sheetId="272"/>
      <sheetData sheetId="273"/>
      <sheetData sheetId="274"/>
      <sheetData sheetId="275"/>
      <sheetData sheetId="276"/>
      <sheetData sheetId="277"/>
      <sheetData sheetId="278"/>
      <sheetData sheetId="279"/>
      <sheetData sheetId="280"/>
      <sheetData sheetId="281"/>
      <sheetData sheetId="282"/>
      <sheetData sheetId="283"/>
      <sheetData sheetId="284"/>
      <sheetData sheetId="285"/>
      <sheetData sheetId="286"/>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refreshError="1"/>
      <sheetData sheetId="310"/>
      <sheetData sheetId="311"/>
      <sheetData sheetId="312"/>
      <sheetData sheetId="313"/>
      <sheetData sheetId="314"/>
      <sheetData sheetId="315"/>
      <sheetData sheetId="316"/>
      <sheetData sheetId="317"/>
      <sheetData sheetId="318"/>
      <sheetData sheetId="319"/>
      <sheetData sheetId="320"/>
      <sheetData sheetId="321"/>
      <sheetData sheetId="322"/>
      <sheetData sheetId="323"/>
      <sheetData sheetId="324"/>
      <sheetData sheetId="325"/>
      <sheetData sheetId="326"/>
      <sheetData sheetId="327"/>
      <sheetData sheetId="328" refreshError="1"/>
      <sheetData sheetId="329"/>
      <sheetData sheetId="330"/>
      <sheetData sheetId="331"/>
      <sheetData sheetId="332"/>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sheetData sheetId="394"/>
      <sheetData sheetId="395" refreshError="1"/>
      <sheetData sheetId="396"/>
      <sheetData sheetId="397"/>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Set>
  </externalBook>
</externalLink>
</file>

<file path=xl/externalLinks/externalLink5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지질조사분석"/>
      <sheetName val="유림골조"/>
      <sheetName val="토목공사"/>
      <sheetName val="단가표"/>
      <sheetName val="마감LIST-1"/>
    </sheetNames>
    <sheetDataSet>
      <sheetData sheetId="0"/>
      <sheetData sheetId="1"/>
      <sheetData sheetId="2"/>
      <sheetData sheetId="3"/>
      <sheetData sheetId="4" refreshError="1"/>
      <sheetData sheetId="5" refreshError="1"/>
      <sheetData sheetId="6" refreshError="1"/>
      <sheetData sheetId="7" refreshError="1"/>
      <sheetData sheetId="8" refreshError="1"/>
    </sheetDataSet>
  </externalBook>
</externalLink>
</file>

<file path=xl/externalLinks/externalLink5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경비(마지막)"/>
    </sheetNames>
    <sheetDataSet>
      <sheetData sheetId="0"/>
      <sheetData sheetId="1"/>
      <sheetData sheetId="2" refreshError="1"/>
      <sheetData sheetId="3"/>
      <sheetData sheetId="4"/>
    </sheetDataSet>
  </externalBook>
</externalLink>
</file>

<file path=xl/externalLinks/externalLink5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퇴직보험"/>
      <sheetName val="퇴충총괄"/>
      <sheetName val="관리별정촉탁"/>
      <sheetName val="관리별정촉탁-기초data"/>
      <sheetName val="생산직"/>
      <sheetName val="오순선,김민규"/>
      <sheetName val="생산직-기초data"/>
      <sheetName val="RV미수수익보정"/>
      <sheetName val="불균등-거치외(미수)"/>
      <sheetName val="불균등-TOP(선수)"/>
      <sheetName val="금융"/>
      <sheetName val="퇴충금(12월)"/>
      <sheetName val="#REF"/>
      <sheetName val="9-1차이내역"/>
      <sheetName val="연체 ()"/>
      <sheetName val="2005년6월김문환"/>
      <sheetName val="정기적금"/>
      <sheetName val="Menu_Link"/>
      <sheetName val="주주명부&lt;끝&gt;"/>
      <sheetName val="05월별투자계획"/>
      <sheetName val="보증금_전신전화가입권_"/>
      <sheetName val="판매수량"/>
      <sheetName val="SAC매출액"/>
      <sheetName val="연결매출"/>
      <sheetName val="공통"/>
      <sheetName val="3-31"/>
      <sheetName val="3.판관비명세서"/>
      <sheetName val="송전기본"/>
      <sheetName val="BM_NEW2"/>
      <sheetName val="SETUP"/>
      <sheetName val="3_판관비명세서"/>
      <sheetName val="XREF"/>
      <sheetName val="Ctrl"/>
    </sheetNames>
    <sheetDataSet>
      <sheetData sheetId="0" refreshError="1"/>
      <sheetData sheetId="1" refreshError="1"/>
      <sheetData sheetId="2" refreshError="1"/>
      <sheetData sheetId="3" refreshError="1"/>
      <sheetData sheetId="4" refreshError="1">
        <row r="3">
          <cell r="U3" t="str">
            <v>당월퇴충누계액</v>
          </cell>
        </row>
        <row r="5">
          <cell r="A5" t="str">
            <v>소결</v>
          </cell>
          <cell r="B5" t="str">
            <v>후처리반</v>
          </cell>
          <cell r="C5" t="str">
            <v>SACM0077</v>
          </cell>
          <cell r="D5" t="str">
            <v>조원</v>
          </cell>
          <cell r="E5" t="str">
            <v>정학식</v>
          </cell>
          <cell r="F5">
            <v>33910</v>
          </cell>
          <cell r="G5">
            <v>1633060</v>
          </cell>
          <cell r="H5">
            <v>1300260</v>
          </cell>
          <cell r="I5">
            <v>1507910</v>
          </cell>
          <cell r="J5">
            <v>1694940</v>
          </cell>
          <cell r="K5">
            <v>1436150</v>
          </cell>
          <cell r="L5">
            <v>1401080</v>
          </cell>
          <cell r="M5">
            <v>1477882</v>
          </cell>
          <cell r="N5">
            <v>403810</v>
          </cell>
          <cell r="O5">
            <v>807630</v>
          </cell>
          <cell r="P5">
            <v>100000</v>
          </cell>
          <cell r="Q5">
            <v>407530</v>
          </cell>
          <cell r="R5">
            <v>1222590</v>
          </cell>
          <cell r="S5">
            <v>2941560</v>
          </cell>
          <cell r="T5">
            <v>487784.16666666669</v>
          </cell>
          <cell r="U5">
            <v>969370</v>
          </cell>
        </row>
        <row r="6">
          <cell r="B6" t="str">
            <v>후처리반</v>
          </cell>
          <cell r="C6" t="str">
            <v>SACM0113</v>
          </cell>
          <cell r="D6" t="str">
            <v>반장</v>
          </cell>
          <cell r="E6" t="str">
            <v>김한기</v>
          </cell>
          <cell r="F6">
            <v>29199</v>
          </cell>
          <cell r="G6">
            <v>2095850</v>
          </cell>
          <cell r="H6">
            <v>2061240</v>
          </cell>
          <cell r="I6">
            <v>2012210</v>
          </cell>
          <cell r="J6">
            <v>2134930</v>
          </cell>
          <cell r="K6">
            <v>2135650</v>
          </cell>
          <cell r="L6">
            <v>2173730</v>
          </cell>
          <cell r="M6">
            <v>2101405</v>
          </cell>
          <cell r="N6">
            <v>580450</v>
          </cell>
          <cell r="O6">
            <v>1160910</v>
          </cell>
          <cell r="P6">
            <v>100000</v>
          </cell>
          <cell r="Q6">
            <v>585770</v>
          </cell>
          <cell r="R6">
            <v>1757300</v>
          </cell>
          <cell r="S6">
            <v>4184430</v>
          </cell>
          <cell r="T6">
            <v>693864.16666666663</v>
          </cell>
          <cell r="U6">
            <v>1378489</v>
          </cell>
        </row>
        <row r="7">
          <cell r="B7" t="str">
            <v>후처리반</v>
          </cell>
          <cell r="C7" t="str">
            <v>SACM0123</v>
          </cell>
          <cell r="D7" t="str">
            <v>조장</v>
          </cell>
          <cell r="E7" t="str">
            <v>남덕희</v>
          </cell>
          <cell r="F7">
            <v>30060</v>
          </cell>
          <cell r="G7">
            <v>1734850</v>
          </cell>
          <cell r="H7">
            <v>1627330</v>
          </cell>
          <cell r="I7">
            <v>1767780</v>
          </cell>
          <cell r="J7">
            <v>1786650</v>
          </cell>
          <cell r="K7">
            <v>1608850</v>
          </cell>
          <cell r="L7">
            <v>1667750</v>
          </cell>
          <cell r="M7">
            <v>1651060</v>
          </cell>
          <cell r="N7">
            <v>547250</v>
          </cell>
          <cell r="O7">
            <v>1094500</v>
          </cell>
          <cell r="P7">
            <v>100000</v>
          </cell>
          <cell r="Q7">
            <v>547250</v>
          </cell>
          <cell r="R7">
            <v>1641750</v>
          </cell>
          <cell r="S7">
            <v>3930750</v>
          </cell>
          <cell r="T7">
            <v>655125</v>
          </cell>
          <cell r="U7">
            <v>1137297</v>
          </cell>
        </row>
        <row r="8">
          <cell r="B8" t="str">
            <v>후처리반</v>
          </cell>
          <cell r="C8" t="str">
            <v>SACM0126</v>
          </cell>
          <cell r="D8" t="str">
            <v>조장</v>
          </cell>
          <cell r="E8" t="str">
            <v>이규일</v>
          </cell>
          <cell r="F8">
            <v>30961</v>
          </cell>
          <cell r="G8">
            <v>2249520</v>
          </cell>
          <cell r="H8">
            <v>2067190</v>
          </cell>
          <cell r="I8">
            <v>2013370</v>
          </cell>
          <cell r="J8">
            <v>2087120</v>
          </cell>
          <cell r="K8">
            <v>2100850</v>
          </cell>
          <cell r="L8">
            <v>2019740</v>
          </cell>
          <cell r="M8">
            <v>2024253</v>
          </cell>
          <cell r="N8">
            <v>554690</v>
          </cell>
          <cell r="O8">
            <v>1109380</v>
          </cell>
          <cell r="P8">
            <v>100000</v>
          </cell>
          <cell r="Q8">
            <v>558410</v>
          </cell>
          <cell r="R8">
            <v>1675220</v>
          </cell>
          <cell r="S8">
            <v>3997700</v>
          </cell>
          <cell r="T8">
            <v>663805</v>
          </cell>
          <cell r="U8">
            <v>1325618</v>
          </cell>
        </row>
        <row r="9">
          <cell r="B9" t="str">
            <v>후처리반</v>
          </cell>
          <cell r="C9" t="str">
            <v>SACM0162</v>
          </cell>
          <cell r="D9" t="str">
            <v>조원</v>
          </cell>
          <cell r="E9" t="str">
            <v>김기대</v>
          </cell>
          <cell r="F9">
            <v>34227</v>
          </cell>
          <cell r="G9">
            <v>1216110</v>
          </cell>
          <cell r="H9">
            <v>1474270</v>
          </cell>
          <cell r="I9">
            <v>1301830</v>
          </cell>
          <cell r="J9">
            <v>1569900</v>
          </cell>
          <cell r="K9">
            <v>1451030</v>
          </cell>
          <cell r="L9">
            <v>1346210</v>
          </cell>
          <cell r="M9">
            <v>1424067</v>
          </cell>
          <cell r="N9">
            <v>399030</v>
          </cell>
          <cell r="O9">
            <v>798060</v>
          </cell>
          <cell r="P9">
            <v>100000</v>
          </cell>
          <cell r="Q9">
            <v>399030</v>
          </cell>
          <cell r="R9">
            <v>1197090</v>
          </cell>
          <cell r="S9">
            <v>2893210</v>
          </cell>
          <cell r="T9">
            <v>482201.66666666669</v>
          </cell>
          <cell r="U9">
            <v>940078</v>
          </cell>
        </row>
        <row r="10">
          <cell r="B10" t="str">
            <v>후처리반</v>
          </cell>
          <cell r="C10" t="str">
            <v>SACM0314</v>
          </cell>
          <cell r="D10" t="str">
            <v>조원</v>
          </cell>
          <cell r="E10" t="str">
            <v>김영길</v>
          </cell>
          <cell r="F10">
            <v>36465</v>
          </cell>
          <cell r="K10">
            <v>1333920</v>
          </cell>
          <cell r="L10">
            <v>1214220</v>
          </cell>
          <cell r="M10">
            <v>830915</v>
          </cell>
          <cell r="Q10">
            <v>0</v>
          </cell>
          <cell r="R10">
            <v>320670</v>
          </cell>
          <cell r="S10">
            <v>320670</v>
          </cell>
          <cell r="T10">
            <v>0</v>
          </cell>
          <cell r="U10">
            <v>0</v>
          </cell>
        </row>
        <row r="11">
          <cell r="B11" t="str">
            <v>후처리반</v>
          </cell>
          <cell r="C11" t="str">
            <v>SACW0004</v>
          </cell>
          <cell r="D11" t="str">
            <v>조원</v>
          </cell>
          <cell r="E11" t="str">
            <v>유제선</v>
          </cell>
          <cell r="F11">
            <v>33522</v>
          </cell>
          <cell r="G11">
            <v>1220060</v>
          </cell>
          <cell r="H11">
            <v>1095230</v>
          </cell>
          <cell r="I11">
            <v>1177170</v>
          </cell>
          <cell r="J11">
            <v>1136680</v>
          </cell>
          <cell r="K11">
            <v>1136230</v>
          </cell>
          <cell r="L11">
            <v>1054970</v>
          </cell>
          <cell r="M11">
            <v>1085178</v>
          </cell>
          <cell r="N11">
            <v>367690</v>
          </cell>
          <cell r="O11">
            <v>735380</v>
          </cell>
          <cell r="P11">
            <v>100000</v>
          </cell>
          <cell r="Q11">
            <v>367690</v>
          </cell>
          <cell r="R11">
            <v>1103070</v>
          </cell>
          <cell r="S11">
            <v>2673830</v>
          </cell>
          <cell r="T11">
            <v>445638.33333333331</v>
          </cell>
          <cell r="U11">
            <v>754923</v>
          </cell>
        </row>
        <row r="12">
          <cell r="B12" t="str">
            <v>후처리반</v>
          </cell>
          <cell r="C12" t="str">
            <v>SACW0005</v>
          </cell>
          <cell r="D12" t="str">
            <v>조장</v>
          </cell>
          <cell r="E12" t="str">
            <v>이영애</v>
          </cell>
          <cell r="F12">
            <v>33532</v>
          </cell>
          <cell r="G12">
            <v>1200430</v>
          </cell>
          <cell r="H12">
            <v>1378880</v>
          </cell>
          <cell r="I12">
            <v>1394840</v>
          </cell>
          <cell r="J12">
            <v>1308400</v>
          </cell>
          <cell r="K12">
            <v>1191030</v>
          </cell>
          <cell r="L12">
            <v>1197440</v>
          </cell>
          <cell r="M12">
            <v>1205501</v>
          </cell>
          <cell r="N12">
            <v>389470</v>
          </cell>
          <cell r="O12">
            <v>778940</v>
          </cell>
          <cell r="P12">
            <v>100000</v>
          </cell>
          <cell r="Q12">
            <v>389470</v>
          </cell>
          <cell r="R12">
            <v>1168410</v>
          </cell>
          <cell r="S12">
            <v>2826290</v>
          </cell>
          <cell r="T12">
            <v>471048.33333333331</v>
          </cell>
          <cell r="U12">
            <v>826791</v>
          </cell>
        </row>
        <row r="13">
          <cell r="B13" t="str">
            <v>후처리반</v>
          </cell>
          <cell r="C13" t="str">
            <v>SACW0007</v>
          </cell>
          <cell r="D13" t="str">
            <v>조원</v>
          </cell>
          <cell r="E13" t="str">
            <v>윤영순</v>
          </cell>
          <cell r="F13">
            <v>33550</v>
          </cell>
          <cell r="G13">
            <v>1194120</v>
          </cell>
          <cell r="H13">
            <v>1232070</v>
          </cell>
          <cell r="I13">
            <v>1310220</v>
          </cell>
          <cell r="J13">
            <v>1165070</v>
          </cell>
          <cell r="K13">
            <v>1113180</v>
          </cell>
          <cell r="L13">
            <v>1065050</v>
          </cell>
          <cell r="M13">
            <v>1090207</v>
          </cell>
          <cell r="N13">
            <v>367690</v>
          </cell>
          <cell r="O13">
            <v>735380</v>
          </cell>
          <cell r="P13">
            <v>100000</v>
          </cell>
          <cell r="Q13">
            <v>367690</v>
          </cell>
          <cell r="R13">
            <v>1103070</v>
          </cell>
          <cell r="S13">
            <v>2673830</v>
          </cell>
          <cell r="T13">
            <v>445638.33333333331</v>
          </cell>
          <cell r="U13">
            <v>757403</v>
          </cell>
        </row>
        <row r="14">
          <cell r="B14" t="str">
            <v>후처리반</v>
          </cell>
          <cell r="C14" t="str">
            <v>SACW0009</v>
          </cell>
          <cell r="D14" t="str">
            <v>조원</v>
          </cell>
          <cell r="E14" t="str">
            <v>박향숙</v>
          </cell>
          <cell r="F14">
            <v>33833</v>
          </cell>
          <cell r="G14">
            <v>1101010</v>
          </cell>
          <cell r="H14">
            <v>1149860</v>
          </cell>
          <cell r="I14">
            <v>1219010</v>
          </cell>
          <cell r="J14">
            <v>1147190</v>
          </cell>
          <cell r="K14">
            <v>1015070</v>
          </cell>
          <cell r="L14">
            <v>1056680</v>
          </cell>
          <cell r="M14">
            <v>1049654</v>
          </cell>
          <cell r="N14">
            <v>358920</v>
          </cell>
          <cell r="O14">
            <v>717840</v>
          </cell>
          <cell r="P14">
            <v>100000</v>
          </cell>
          <cell r="Q14">
            <v>358920</v>
          </cell>
          <cell r="R14">
            <v>1076760</v>
          </cell>
          <cell r="S14">
            <v>2612440</v>
          </cell>
          <cell r="T14">
            <v>435406.66666666663</v>
          </cell>
          <cell r="U14">
            <v>732359</v>
          </cell>
        </row>
        <row r="15">
          <cell r="B15" t="str">
            <v>후처리반</v>
          </cell>
          <cell r="C15" t="str">
            <v>SACW0011</v>
          </cell>
          <cell r="D15" t="str">
            <v>조원</v>
          </cell>
          <cell r="E15" t="str">
            <v>송경득</v>
          </cell>
          <cell r="F15">
            <v>33929</v>
          </cell>
          <cell r="G15">
            <v>1118660</v>
          </cell>
          <cell r="H15">
            <v>1095210</v>
          </cell>
          <cell r="I15">
            <v>1146520</v>
          </cell>
          <cell r="J15">
            <v>1149950</v>
          </cell>
          <cell r="K15">
            <v>1054270</v>
          </cell>
          <cell r="L15">
            <v>1023180</v>
          </cell>
          <cell r="M15">
            <v>1052413</v>
          </cell>
          <cell r="N15">
            <v>355200</v>
          </cell>
          <cell r="O15">
            <v>710410</v>
          </cell>
          <cell r="P15">
            <v>100000</v>
          </cell>
          <cell r="Q15">
            <v>358920</v>
          </cell>
          <cell r="R15">
            <v>1076760</v>
          </cell>
          <cell r="S15">
            <v>2601290</v>
          </cell>
          <cell r="T15">
            <v>431072.5</v>
          </cell>
          <cell r="U15">
            <v>731582</v>
          </cell>
        </row>
        <row r="16">
          <cell r="B16" t="str">
            <v>후처리반</v>
          </cell>
          <cell r="C16" t="str">
            <v>SACW0012</v>
          </cell>
          <cell r="D16" t="str">
            <v>조원</v>
          </cell>
          <cell r="E16" t="str">
            <v>곽  언</v>
          </cell>
          <cell r="F16">
            <v>33929</v>
          </cell>
          <cell r="G16">
            <v>1219850</v>
          </cell>
          <cell r="H16">
            <v>1188440</v>
          </cell>
          <cell r="I16">
            <v>1282700</v>
          </cell>
          <cell r="J16">
            <v>1282130</v>
          </cell>
          <cell r="K16">
            <v>1119830</v>
          </cell>
          <cell r="L16">
            <v>1084570</v>
          </cell>
          <cell r="M16">
            <v>1136912</v>
          </cell>
          <cell r="N16">
            <v>355200</v>
          </cell>
          <cell r="O16">
            <v>710410</v>
          </cell>
          <cell r="P16">
            <v>100000</v>
          </cell>
          <cell r="Q16">
            <v>358920</v>
          </cell>
          <cell r="R16">
            <v>1076760</v>
          </cell>
          <cell r="S16">
            <v>2601290</v>
          </cell>
          <cell r="T16">
            <v>431072.5</v>
          </cell>
          <cell r="U16">
            <v>773253</v>
          </cell>
        </row>
        <row r="17">
          <cell r="B17" t="str">
            <v>후처리반</v>
          </cell>
          <cell r="C17" t="str">
            <v>SACW0013</v>
          </cell>
          <cell r="D17" t="str">
            <v>조원</v>
          </cell>
          <cell r="E17" t="str">
            <v>김옥희</v>
          </cell>
          <cell r="F17">
            <v>33941</v>
          </cell>
          <cell r="G17">
            <v>1246100</v>
          </cell>
          <cell r="H17">
            <v>1153750</v>
          </cell>
          <cell r="I17">
            <v>1274360</v>
          </cell>
          <cell r="J17">
            <v>1156740</v>
          </cell>
          <cell r="K17">
            <v>1054680</v>
          </cell>
          <cell r="L17">
            <v>1016500</v>
          </cell>
          <cell r="M17">
            <v>1052583</v>
          </cell>
          <cell r="N17">
            <v>355200</v>
          </cell>
          <cell r="O17">
            <v>710410</v>
          </cell>
          <cell r="P17">
            <v>100000</v>
          </cell>
          <cell r="Q17">
            <v>358920</v>
          </cell>
          <cell r="R17">
            <v>1076760</v>
          </cell>
          <cell r="S17">
            <v>2601290</v>
          </cell>
          <cell r="T17">
            <v>431072.5</v>
          </cell>
          <cell r="U17">
            <v>731666</v>
          </cell>
        </row>
        <row r="18">
          <cell r="B18" t="str">
            <v>후처리반</v>
          </cell>
          <cell r="C18" t="str">
            <v>SACW0019</v>
          </cell>
          <cell r="D18" t="str">
            <v>조원</v>
          </cell>
          <cell r="E18" t="str">
            <v>이은정</v>
          </cell>
          <cell r="F18">
            <v>34835</v>
          </cell>
          <cell r="G18">
            <v>1071090</v>
          </cell>
          <cell r="H18">
            <v>1144360</v>
          </cell>
          <cell r="I18">
            <v>1146460</v>
          </cell>
          <cell r="J18">
            <v>1152070</v>
          </cell>
          <cell r="K18">
            <v>1057230</v>
          </cell>
          <cell r="L18">
            <v>1024000</v>
          </cell>
          <cell r="M18">
            <v>1054337</v>
          </cell>
          <cell r="N18">
            <v>326780</v>
          </cell>
          <cell r="O18">
            <v>653560</v>
          </cell>
          <cell r="P18">
            <v>100000</v>
          </cell>
          <cell r="Q18">
            <v>326780</v>
          </cell>
          <cell r="R18">
            <v>980340</v>
          </cell>
          <cell r="S18">
            <v>2387460</v>
          </cell>
          <cell r="T18">
            <v>397910</v>
          </cell>
          <cell r="U18">
            <v>716177</v>
          </cell>
        </row>
        <row r="19">
          <cell r="B19" t="str">
            <v>소결반</v>
          </cell>
          <cell r="C19" t="str">
            <v>SACM0069</v>
          </cell>
          <cell r="D19" t="str">
            <v>조장</v>
          </cell>
          <cell r="E19" t="str">
            <v>김진식</v>
          </cell>
          <cell r="F19">
            <v>33900</v>
          </cell>
          <cell r="G19">
            <v>1675040</v>
          </cell>
          <cell r="H19">
            <v>1673000</v>
          </cell>
          <cell r="I19">
            <v>1601450</v>
          </cell>
          <cell r="J19">
            <v>2009960</v>
          </cell>
          <cell r="K19">
            <v>1694290</v>
          </cell>
          <cell r="L19">
            <v>1590570</v>
          </cell>
          <cell r="M19">
            <v>1726572</v>
          </cell>
          <cell r="N19">
            <v>428780</v>
          </cell>
          <cell r="O19">
            <v>857560</v>
          </cell>
          <cell r="P19">
            <v>100000</v>
          </cell>
          <cell r="Q19">
            <v>432500</v>
          </cell>
          <cell r="R19">
            <v>1297500</v>
          </cell>
          <cell r="S19">
            <v>3116340</v>
          </cell>
          <cell r="T19">
            <v>516909.99999999994</v>
          </cell>
          <cell r="U19">
            <v>1106375</v>
          </cell>
        </row>
        <row r="20">
          <cell r="B20" t="str">
            <v>소결반</v>
          </cell>
          <cell r="C20" t="str">
            <v>SACM0125</v>
          </cell>
          <cell r="D20" t="str">
            <v>조장</v>
          </cell>
          <cell r="E20" t="str">
            <v>배성환</v>
          </cell>
          <cell r="F20">
            <v>31926</v>
          </cell>
          <cell r="G20">
            <v>2342960</v>
          </cell>
          <cell r="H20">
            <v>2321490</v>
          </cell>
          <cell r="I20">
            <v>2600510</v>
          </cell>
          <cell r="J20">
            <v>2589330</v>
          </cell>
          <cell r="K20">
            <v>2219850</v>
          </cell>
          <cell r="L20">
            <v>2192400</v>
          </cell>
          <cell r="M20">
            <v>2283124</v>
          </cell>
          <cell r="N20">
            <v>529190</v>
          </cell>
          <cell r="O20">
            <v>1058380</v>
          </cell>
          <cell r="P20">
            <v>100000</v>
          </cell>
          <cell r="Q20">
            <v>529190</v>
          </cell>
          <cell r="R20">
            <v>1587570</v>
          </cell>
          <cell r="S20">
            <v>3804330</v>
          </cell>
          <cell r="T20">
            <v>634055</v>
          </cell>
          <cell r="U20">
            <v>1438609</v>
          </cell>
        </row>
        <row r="21">
          <cell r="B21" t="str">
            <v>소결반</v>
          </cell>
          <cell r="C21" t="str">
            <v>SACM0177</v>
          </cell>
          <cell r="D21" t="str">
            <v>조원</v>
          </cell>
          <cell r="E21" t="str">
            <v>김진욱</v>
          </cell>
          <cell r="F21">
            <v>34395</v>
          </cell>
          <cell r="G21">
            <v>1973260</v>
          </cell>
          <cell r="H21">
            <v>1575290</v>
          </cell>
          <cell r="I21">
            <v>1885800</v>
          </cell>
          <cell r="J21">
            <v>1955080</v>
          </cell>
          <cell r="K21">
            <v>1703440</v>
          </cell>
          <cell r="L21">
            <v>1562070</v>
          </cell>
          <cell r="M21">
            <v>1702366</v>
          </cell>
          <cell r="N21">
            <v>379910</v>
          </cell>
          <cell r="O21">
            <v>759810</v>
          </cell>
          <cell r="P21">
            <v>100000</v>
          </cell>
          <cell r="Q21">
            <v>379910</v>
          </cell>
          <cell r="R21">
            <v>1139720</v>
          </cell>
          <cell r="S21">
            <v>2759350</v>
          </cell>
          <cell r="T21">
            <v>459889.16666666669</v>
          </cell>
          <cell r="U21">
            <v>1066318</v>
          </cell>
        </row>
        <row r="22">
          <cell r="B22" t="str">
            <v>소결반</v>
          </cell>
          <cell r="C22" t="str">
            <v>SACM0261</v>
          </cell>
          <cell r="D22" t="str">
            <v>조원</v>
          </cell>
          <cell r="E22" t="str">
            <v>이희승</v>
          </cell>
          <cell r="F22">
            <v>35145</v>
          </cell>
          <cell r="G22">
            <v>1529680</v>
          </cell>
          <cell r="H22">
            <v>1351270</v>
          </cell>
          <cell r="I22">
            <v>1428120</v>
          </cell>
          <cell r="J22">
            <v>1556260</v>
          </cell>
          <cell r="K22">
            <v>1405130</v>
          </cell>
          <cell r="L22">
            <v>1353990</v>
          </cell>
          <cell r="M22">
            <v>1407189</v>
          </cell>
          <cell r="N22">
            <v>355470</v>
          </cell>
          <cell r="O22">
            <v>710940</v>
          </cell>
          <cell r="P22">
            <v>100000</v>
          </cell>
          <cell r="Q22">
            <v>355470</v>
          </cell>
          <cell r="R22">
            <v>1066410</v>
          </cell>
          <cell r="S22">
            <v>2588290</v>
          </cell>
          <cell r="T22">
            <v>431381.66666666669</v>
          </cell>
          <cell r="U22">
            <v>906692</v>
          </cell>
        </row>
        <row r="23">
          <cell r="B23" t="str">
            <v>소결반</v>
          </cell>
          <cell r="C23" t="str">
            <v>SACM0283</v>
          </cell>
          <cell r="D23" t="str">
            <v>조원</v>
          </cell>
          <cell r="E23" t="str">
            <v>김재종</v>
          </cell>
          <cell r="F23">
            <v>35649</v>
          </cell>
          <cell r="G23">
            <v>1070600</v>
          </cell>
          <cell r="H23">
            <v>966420</v>
          </cell>
          <cell r="I23">
            <v>1111210</v>
          </cell>
          <cell r="J23">
            <v>1064500</v>
          </cell>
          <cell r="K23">
            <v>1284370</v>
          </cell>
          <cell r="L23">
            <v>941730</v>
          </cell>
          <cell r="M23">
            <v>1073022</v>
          </cell>
          <cell r="N23">
            <v>346970</v>
          </cell>
          <cell r="O23">
            <v>693940</v>
          </cell>
          <cell r="P23">
            <v>100000</v>
          </cell>
          <cell r="Q23">
            <v>346970</v>
          </cell>
          <cell r="R23">
            <v>1040910</v>
          </cell>
          <cell r="S23">
            <v>2528790</v>
          </cell>
          <cell r="T23">
            <v>421465</v>
          </cell>
          <cell r="U23">
            <v>737007</v>
          </cell>
        </row>
        <row r="24">
          <cell r="B24" t="str">
            <v>성형반</v>
          </cell>
          <cell r="C24" t="str">
            <v>SACM0068</v>
          </cell>
          <cell r="D24" t="str">
            <v>조장</v>
          </cell>
          <cell r="E24" t="str">
            <v>정동식</v>
          </cell>
          <cell r="F24">
            <v>33900</v>
          </cell>
          <cell r="G24">
            <v>1524240</v>
          </cell>
          <cell r="H24">
            <v>1570820</v>
          </cell>
          <cell r="I24">
            <v>1886900</v>
          </cell>
          <cell r="J24">
            <v>1855460</v>
          </cell>
          <cell r="K24">
            <v>1805350</v>
          </cell>
          <cell r="L24">
            <v>1517690</v>
          </cell>
          <cell r="M24">
            <v>1688641</v>
          </cell>
          <cell r="N24">
            <v>429580</v>
          </cell>
          <cell r="O24">
            <v>859160</v>
          </cell>
          <cell r="P24">
            <v>100000</v>
          </cell>
          <cell r="Q24">
            <v>433300</v>
          </cell>
          <cell r="R24">
            <v>1299890</v>
          </cell>
          <cell r="S24">
            <v>3121930</v>
          </cell>
          <cell r="T24">
            <v>517843.33333333337</v>
          </cell>
          <cell r="U24">
            <v>1088129</v>
          </cell>
        </row>
        <row r="25">
          <cell r="B25" t="str">
            <v>성형반</v>
          </cell>
          <cell r="C25" t="str">
            <v>SACM0074</v>
          </cell>
          <cell r="D25" t="str">
            <v>조장</v>
          </cell>
          <cell r="E25" t="str">
            <v>김대용</v>
          </cell>
          <cell r="F25">
            <v>33906</v>
          </cell>
          <cell r="G25">
            <v>1603500</v>
          </cell>
          <cell r="H25">
            <v>1394570</v>
          </cell>
          <cell r="I25">
            <v>1524830</v>
          </cell>
          <cell r="J25">
            <v>1583430</v>
          </cell>
          <cell r="K25">
            <v>1327810</v>
          </cell>
          <cell r="L25">
            <v>1412080</v>
          </cell>
          <cell r="M25">
            <v>1409778</v>
          </cell>
          <cell r="N25">
            <v>430380</v>
          </cell>
          <cell r="O25">
            <v>860750</v>
          </cell>
          <cell r="P25">
            <v>100000</v>
          </cell>
          <cell r="Q25">
            <v>434090</v>
          </cell>
          <cell r="R25">
            <v>1302280</v>
          </cell>
          <cell r="S25">
            <v>3127500</v>
          </cell>
          <cell r="T25">
            <v>518770.83333333326</v>
          </cell>
          <cell r="U25">
            <v>951065</v>
          </cell>
        </row>
        <row r="26">
          <cell r="B26" t="str">
            <v>성형반</v>
          </cell>
          <cell r="C26" t="str">
            <v>SACM0081</v>
          </cell>
          <cell r="D26" t="str">
            <v>조원</v>
          </cell>
          <cell r="E26" t="str">
            <v>이성수</v>
          </cell>
          <cell r="F26">
            <v>33918</v>
          </cell>
          <cell r="G26">
            <v>1386870</v>
          </cell>
          <cell r="H26">
            <v>1395730</v>
          </cell>
          <cell r="I26">
            <v>1728580</v>
          </cell>
          <cell r="J26">
            <v>1976490</v>
          </cell>
          <cell r="K26">
            <v>1862700</v>
          </cell>
          <cell r="L26">
            <v>1576110</v>
          </cell>
          <cell r="M26">
            <v>1765859</v>
          </cell>
          <cell r="N26">
            <v>420550</v>
          </cell>
          <cell r="O26">
            <v>841090</v>
          </cell>
          <cell r="P26">
            <v>100000</v>
          </cell>
          <cell r="Q26">
            <v>424270</v>
          </cell>
          <cell r="R26">
            <v>1272800</v>
          </cell>
          <cell r="S26">
            <v>3058710</v>
          </cell>
          <cell r="T26">
            <v>507302.49999999994</v>
          </cell>
          <cell r="U26">
            <v>1121011</v>
          </cell>
        </row>
        <row r="27">
          <cell r="B27" t="str">
            <v>성형반</v>
          </cell>
          <cell r="C27" t="str">
            <v>SACM0108</v>
          </cell>
          <cell r="D27" t="str">
            <v>조장</v>
          </cell>
          <cell r="E27" t="str">
            <v>김두성</v>
          </cell>
          <cell r="F27">
            <v>30821</v>
          </cell>
          <cell r="G27">
            <v>2211190</v>
          </cell>
          <cell r="H27">
            <v>2145390</v>
          </cell>
          <cell r="I27">
            <v>2059610</v>
          </cell>
          <cell r="J27">
            <v>2451850</v>
          </cell>
          <cell r="K27">
            <v>2538440</v>
          </cell>
          <cell r="L27">
            <v>2207240</v>
          </cell>
          <cell r="M27">
            <v>2347021</v>
          </cell>
          <cell r="N27">
            <v>558410</v>
          </cell>
          <cell r="O27">
            <v>1116810</v>
          </cell>
          <cell r="P27">
            <v>100000</v>
          </cell>
          <cell r="Q27">
            <v>558410</v>
          </cell>
          <cell r="R27">
            <v>1675220</v>
          </cell>
          <cell r="S27">
            <v>4008850</v>
          </cell>
          <cell r="T27">
            <v>668139.16666666663</v>
          </cell>
          <cell r="U27">
            <v>1486928</v>
          </cell>
        </row>
        <row r="28">
          <cell r="B28" t="str">
            <v>성형반</v>
          </cell>
          <cell r="C28" t="str">
            <v>SACM0117</v>
          </cell>
          <cell r="D28" t="str">
            <v>조장</v>
          </cell>
          <cell r="E28" t="str">
            <v>송채섭</v>
          </cell>
          <cell r="F28">
            <v>31809</v>
          </cell>
          <cell r="G28">
            <v>2066590</v>
          </cell>
          <cell r="H28">
            <v>1889140</v>
          </cell>
          <cell r="I28">
            <v>1989300</v>
          </cell>
          <cell r="J28">
            <v>2248240</v>
          </cell>
          <cell r="K28">
            <v>2119600</v>
          </cell>
          <cell r="L28">
            <v>1708670</v>
          </cell>
          <cell r="M28">
            <v>1981471</v>
          </cell>
          <cell r="N28">
            <v>535560</v>
          </cell>
          <cell r="O28">
            <v>1071130</v>
          </cell>
          <cell r="P28">
            <v>100000</v>
          </cell>
          <cell r="Q28">
            <v>535560</v>
          </cell>
          <cell r="R28">
            <v>1606690</v>
          </cell>
          <cell r="S28">
            <v>3848940</v>
          </cell>
          <cell r="T28">
            <v>641492.5</v>
          </cell>
          <cell r="U28">
            <v>1293516</v>
          </cell>
        </row>
        <row r="29">
          <cell r="B29" t="str">
            <v>성형반</v>
          </cell>
          <cell r="C29" t="str">
            <v>SACM0118</v>
          </cell>
          <cell r="D29" t="str">
            <v>조장</v>
          </cell>
          <cell r="E29" t="str">
            <v>박성환</v>
          </cell>
          <cell r="F29">
            <v>31926</v>
          </cell>
          <cell r="G29">
            <v>1974120</v>
          </cell>
          <cell r="H29">
            <v>1864180</v>
          </cell>
          <cell r="I29">
            <v>1975580</v>
          </cell>
          <cell r="J29">
            <v>1938620</v>
          </cell>
          <cell r="K29">
            <v>2163740</v>
          </cell>
          <cell r="L29">
            <v>1994340</v>
          </cell>
          <cell r="M29">
            <v>1988054</v>
          </cell>
          <cell r="N29">
            <v>537950</v>
          </cell>
          <cell r="O29">
            <v>1075910</v>
          </cell>
          <cell r="P29">
            <v>100000</v>
          </cell>
          <cell r="Q29">
            <v>537950</v>
          </cell>
          <cell r="R29">
            <v>1613860</v>
          </cell>
          <cell r="S29">
            <v>3865670</v>
          </cell>
          <cell r="T29">
            <v>644280.83333333337</v>
          </cell>
          <cell r="U29">
            <v>1298138</v>
          </cell>
        </row>
        <row r="30">
          <cell r="B30" t="str">
            <v>성형반</v>
          </cell>
          <cell r="C30" t="str">
            <v>SACM0119</v>
          </cell>
          <cell r="D30" t="str">
            <v>조장</v>
          </cell>
          <cell r="E30" t="str">
            <v>권경원</v>
          </cell>
          <cell r="F30">
            <v>31820</v>
          </cell>
          <cell r="G30">
            <v>2083440</v>
          </cell>
          <cell r="H30">
            <v>1830230</v>
          </cell>
          <cell r="I30">
            <v>1764320</v>
          </cell>
          <cell r="J30">
            <v>2097470</v>
          </cell>
          <cell r="K30">
            <v>1953600</v>
          </cell>
          <cell r="L30">
            <v>1935240</v>
          </cell>
          <cell r="M30">
            <v>1952058</v>
          </cell>
          <cell r="N30">
            <v>524410</v>
          </cell>
          <cell r="O30">
            <v>1048810</v>
          </cell>
          <cell r="P30">
            <v>100000</v>
          </cell>
          <cell r="Q30">
            <v>524410</v>
          </cell>
          <cell r="R30">
            <v>1573220</v>
          </cell>
          <cell r="S30">
            <v>3770850</v>
          </cell>
          <cell r="T30">
            <v>628472.5</v>
          </cell>
          <cell r="U30">
            <v>1272590</v>
          </cell>
        </row>
        <row r="31">
          <cell r="B31" t="str">
            <v>성형반</v>
          </cell>
          <cell r="C31" t="str">
            <v>SACM0135</v>
          </cell>
          <cell r="D31" t="str">
            <v>조원</v>
          </cell>
          <cell r="E31" t="str">
            <v>채수용</v>
          </cell>
          <cell r="F31">
            <v>34032</v>
          </cell>
          <cell r="G31">
            <v>1546180</v>
          </cell>
          <cell r="H31">
            <v>1357130</v>
          </cell>
          <cell r="I31">
            <v>1517020</v>
          </cell>
          <cell r="J31">
            <v>1479820</v>
          </cell>
          <cell r="K31">
            <v>1541040</v>
          </cell>
          <cell r="L31">
            <v>1378940</v>
          </cell>
          <cell r="M31">
            <v>1434717</v>
          </cell>
          <cell r="N31">
            <v>404610</v>
          </cell>
          <cell r="O31">
            <v>809220</v>
          </cell>
          <cell r="P31">
            <v>100000</v>
          </cell>
          <cell r="Q31">
            <v>404610</v>
          </cell>
          <cell r="R31">
            <v>1213830</v>
          </cell>
          <cell r="S31">
            <v>2932270</v>
          </cell>
          <cell r="T31">
            <v>488711.66666666669</v>
          </cell>
          <cell r="U31">
            <v>948540</v>
          </cell>
        </row>
        <row r="32">
          <cell r="B32" t="str">
            <v>성형반</v>
          </cell>
          <cell r="C32" t="str">
            <v>SACM0137</v>
          </cell>
          <cell r="D32" t="str">
            <v>조원</v>
          </cell>
          <cell r="E32" t="str">
            <v>임철수</v>
          </cell>
          <cell r="F32">
            <v>34034</v>
          </cell>
          <cell r="G32">
            <v>1061540</v>
          </cell>
          <cell r="H32">
            <v>1055510</v>
          </cell>
          <cell r="I32">
            <v>1321620</v>
          </cell>
          <cell r="J32">
            <v>1227310</v>
          </cell>
          <cell r="K32">
            <v>1163780</v>
          </cell>
          <cell r="L32">
            <v>1093910</v>
          </cell>
          <cell r="M32">
            <v>1136413</v>
          </cell>
          <cell r="N32">
            <v>374330</v>
          </cell>
          <cell r="O32">
            <v>748660</v>
          </cell>
          <cell r="P32">
            <v>100000</v>
          </cell>
          <cell r="Q32">
            <v>374330</v>
          </cell>
          <cell r="R32">
            <v>1122990</v>
          </cell>
          <cell r="S32">
            <v>2720310</v>
          </cell>
          <cell r="T32">
            <v>453385</v>
          </cell>
          <cell r="U32">
            <v>784010</v>
          </cell>
        </row>
        <row r="33">
          <cell r="B33" t="str">
            <v>성형반</v>
          </cell>
          <cell r="C33" t="str">
            <v>SACM0147</v>
          </cell>
          <cell r="D33" t="str">
            <v>조원</v>
          </cell>
          <cell r="E33" t="str">
            <v>문충헌</v>
          </cell>
          <cell r="F33">
            <v>34121</v>
          </cell>
          <cell r="G33">
            <v>1378740</v>
          </cell>
          <cell r="H33">
            <v>1443010</v>
          </cell>
          <cell r="I33">
            <v>1427350</v>
          </cell>
          <cell r="J33">
            <v>1463440</v>
          </cell>
          <cell r="K33">
            <v>1458430</v>
          </cell>
          <cell r="L33">
            <v>1284940</v>
          </cell>
          <cell r="M33">
            <v>1371786</v>
          </cell>
          <cell r="N33">
            <v>397440</v>
          </cell>
          <cell r="O33">
            <v>794880</v>
          </cell>
          <cell r="P33">
            <v>100000</v>
          </cell>
          <cell r="Q33">
            <v>397440</v>
          </cell>
          <cell r="R33">
            <v>1192320</v>
          </cell>
          <cell r="S33">
            <v>2882080</v>
          </cell>
          <cell r="T33">
            <v>480346.66666666663</v>
          </cell>
          <cell r="U33">
            <v>913380</v>
          </cell>
        </row>
        <row r="34">
          <cell r="B34" t="str">
            <v>성형반</v>
          </cell>
          <cell r="C34" t="str">
            <v>SACM0174</v>
          </cell>
          <cell r="D34" t="str">
            <v>조원</v>
          </cell>
          <cell r="E34" t="str">
            <v>정헌영</v>
          </cell>
          <cell r="F34">
            <v>34379</v>
          </cell>
          <cell r="G34">
            <v>1433740</v>
          </cell>
          <cell r="H34">
            <v>1294990</v>
          </cell>
          <cell r="I34">
            <v>1209720</v>
          </cell>
          <cell r="J34">
            <v>1416810</v>
          </cell>
          <cell r="K34">
            <v>1386890</v>
          </cell>
          <cell r="L34">
            <v>1462370</v>
          </cell>
          <cell r="M34">
            <v>1391110</v>
          </cell>
          <cell r="N34">
            <v>375920</v>
          </cell>
          <cell r="O34">
            <v>751840</v>
          </cell>
          <cell r="P34">
            <v>100000</v>
          </cell>
          <cell r="Q34">
            <v>375920</v>
          </cell>
          <cell r="R34">
            <v>1127760</v>
          </cell>
          <cell r="S34">
            <v>2731440</v>
          </cell>
          <cell r="T34">
            <v>455240</v>
          </cell>
          <cell r="U34">
            <v>910529</v>
          </cell>
        </row>
        <row r="35">
          <cell r="B35" t="str">
            <v>성형반</v>
          </cell>
          <cell r="C35" t="str">
            <v>SACM0228</v>
          </cell>
          <cell r="D35" t="str">
            <v>조원</v>
          </cell>
          <cell r="E35" t="str">
            <v>전병문</v>
          </cell>
          <cell r="F35">
            <v>34845</v>
          </cell>
          <cell r="G35">
            <v>1369150</v>
          </cell>
          <cell r="H35">
            <v>1239030</v>
          </cell>
          <cell r="I35">
            <v>1489190</v>
          </cell>
          <cell r="J35">
            <v>1300620</v>
          </cell>
          <cell r="K35">
            <v>1194400</v>
          </cell>
          <cell r="L35">
            <v>1251030</v>
          </cell>
          <cell r="M35">
            <v>1221538</v>
          </cell>
          <cell r="N35">
            <v>366630</v>
          </cell>
          <cell r="O35">
            <v>733250</v>
          </cell>
          <cell r="P35">
            <v>100000</v>
          </cell>
          <cell r="Q35">
            <v>370610</v>
          </cell>
          <cell r="R35">
            <v>1111830</v>
          </cell>
          <cell r="S35">
            <v>2682320</v>
          </cell>
          <cell r="T35">
            <v>444395.83333333337</v>
          </cell>
          <cell r="U35">
            <v>821556</v>
          </cell>
        </row>
        <row r="36">
          <cell r="B36" t="str">
            <v>성형반</v>
          </cell>
          <cell r="C36" t="str">
            <v>SACM0248</v>
          </cell>
          <cell r="D36" t="str">
            <v>조원</v>
          </cell>
          <cell r="E36" t="str">
            <v>심하섭</v>
          </cell>
          <cell r="F36">
            <v>35047</v>
          </cell>
          <cell r="G36">
            <v>1262900</v>
          </cell>
          <cell r="H36">
            <v>1307780</v>
          </cell>
          <cell r="I36">
            <v>1478350</v>
          </cell>
          <cell r="J36">
            <v>1532790</v>
          </cell>
          <cell r="K36">
            <v>1414110</v>
          </cell>
          <cell r="L36">
            <v>1308900</v>
          </cell>
          <cell r="M36">
            <v>1387761</v>
          </cell>
          <cell r="N36">
            <v>363440</v>
          </cell>
          <cell r="O36">
            <v>726880</v>
          </cell>
          <cell r="P36">
            <v>100000</v>
          </cell>
          <cell r="Q36">
            <v>363440</v>
          </cell>
          <cell r="R36">
            <v>1090320</v>
          </cell>
          <cell r="S36">
            <v>2644080</v>
          </cell>
          <cell r="T36">
            <v>440680</v>
          </cell>
          <cell r="U36">
            <v>901697</v>
          </cell>
        </row>
        <row r="37">
          <cell r="B37" t="str">
            <v>성형반</v>
          </cell>
          <cell r="C37" t="str">
            <v>SACM0252</v>
          </cell>
          <cell r="D37" t="str">
            <v>조원</v>
          </cell>
          <cell r="E37" t="str">
            <v>김범제</v>
          </cell>
          <cell r="F37">
            <v>35135</v>
          </cell>
          <cell r="G37">
            <v>1220390</v>
          </cell>
          <cell r="H37">
            <v>1192890</v>
          </cell>
          <cell r="I37">
            <v>1328140</v>
          </cell>
          <cell r="J37">
            <v>1232730</v>
          </cell>
          <cell r="K37">
            <v>1228430</v>
          </cell>
          <cell r="L37">
            <v>1178890</v>
          </cell>
          <cell r="M37">
            <v>1186973</v>
          </cell>
          <cell r="N37">
            <v>353080</v>
          </cell>
          <cell r="O37">
            <v>706160</v>
          </cell>
          <cell r="P37">
            <v>100000</v>
          </cell>
          <cell r="Q37">
            <v>353080</v>
          </cell>
          <cell r="R37">
            <v>1059240</v>
          </cell>
          <cell r="S37">
            <v>2571560</v>
          </cell>
          <cell r="T37">
            <v>428593.33333333337</v>
          </cell>
          <cell r="U37">
            <v>796718</v>
          </cell>
        </row>
        <row r="38">
          <cell r="B38" t="str">
            <v>성형반</v>
          </cell>
          <cell r="C38" t="str">
            <v>SACM0256</v>
          </cell>
          <cell r="D38" t="str">
            <v>조원</v>
          </cell>
          <cell r="E38" t="str">
            <v>이봉구#</v>
          </cell>
          <cell r="F38">
            <v>35142</v>
          </cell>
          <cell r="G38">
            <v>1366040</v>
          </cell>
          <cell r="H38">
            <v>1251260</v>
          </cell>
          <cell r="I38">
            <v>1331810</v>
          </cell>
          <cell r="J38">
            <v>1455730</v>
          </cell>
          <cell r="K38">
            <v>1273630</v>
          </cell>
          <cell r="L38">
            <v>1229140</v>
          </cell>
          <cell r="M38">
            <v>1290815</v>
          </cell>
          <cell r="N38">
            <v>355470</v>
          </cell>
          <cell r="O38">
            <v>710940</v>
          </cell>
          <cell r="P38">
            <v>100000</v>
          </cell>
          <cell r="Q38">
            <v>355470</v>
          </cell>
          <cell r="R38">
            <v>1066410</v>
          </cell>
          <cell r="S38">
            <v>2588290</v>
          </cell>
          <cell r="T38">
            <v>431381.66666666669</v>
          </cell>
          <cell r="U38">
            <v>849302</v>
          </cell>
        </row>
        <row r="39">
          <cell r="B39" t="str">
            <v>성형반</v>
          </cell>
          <cell r="C39" t="str">
            <v>SACM0265</v>
          </cell>
          <cell r="D39" t="str">
            <v>조원</v>
          </cell>
          <cell r="E39" t="str">
            <v>김선봉</v>
          </cell>
          <cell r="F39">
            <v>35158</v>
          </cell>
          <cell r="G39">
            <v>1149190</v>
          </cell>
          <cell r="H39">
            <v>1052810</v>
          </cell>
          <cell r="I39">
            <v>1498220</v>
          </cell>
          <cell r="J39">
            <v>1422980</v>
          </cell>
          <cell r="K39">
            <v>1249880</v>
          </cell>
          <cell r="L39">
            <v>1117660</v>
          </cell>
          <cell r="M39">
            <v>1236039</v>
          </cell>
          <cell r="N39">
            <v>352280</v>
          </cell>
          <cell r="O39">
            <v>704560</v>
          </cell>
          <cell r="P39">
            <v>100000</v>
          </cell>
          <cell r="Q39">
            <v>352280</v>
          </cell>
          <cell r="R39">
            <v>1056840</v>
          </cell>
          <cell r="S39">
            <v>2565960</v>
          </cell>
          <cell r="T39">
            <v>427660</v>
          </cell>
          <cell r="U39">
            <v>820454</v>
          </cell>
        </row>
        <row r="40">
          <cell r="B40" t="str">
            <v>성형반</v>
          </cell>
          <cell r="C40" t="str">
            <v>SACM0303</v>
          </cell>
          <cell r="D40" t="str">
            <v>조원</v>
          </cell>
          <cell r="E40" t="str">
            <v>김재동</v>
          </cell>
          <cell r="F40">
            <v>36362</v>
          </cell>
          <cell r="G40">
            <v>284690</v>
          </cell>
          <cell r="H40">
            <v>1073980</v>
          </cell>
          <cell r="I40">
            <v>1138810</v>
          </cell>
          <cell r="J40">
            <v>692990</v>
          </cell>
          <cell r="K40">
            <v>0</v>
          </cell>
          <cell r="L40">
            <v>0</v>
          </cell>
          <cell r="M40">
            <v>225975</v>
          </cell>
          <cell r="P40">
            <v>50000</v>
          </cell>
          <cell r="Q40">
            <v>0</v>
          </cell>
          <cell r="R40">
            <v>0</v>
          </cell>
          <cell r="S40">
            <v>50000</v>
          </cell>
          <cell r="T40">
            <v>8333.3333333333339</v>
          </cell>
          <cell r="U40">
            <v>0</v>
          </cell>
        </row>
        <row r="41">
          <cell r="B41" t="str">
            <v>성형반</v>
          </cell>
          <cell r="C41" t="str">
            <v>SACM0309</v>
          </cell>
          <cell r="D41" t="str">
            <v>조원</v>
          </cell>
          <cell r="E41" t="str">
            <v>곽노정</v>
          </cell>
          <cell r="F41">
            <v>36412</v>
          </cell>
          <cell r="I41">
            <v>778730</v>
          </cell>
          <cell r="J41">
            <v>1105210</v>
          </cell>
          <cell r="K41">
            <v>1058080</v>
          </cell>
          <cell r="L41">
            <v>938990</v>
          </cell>
          <cell r="M41">
            <v>1011613</v>
          </cell>
          <cell r="P41">
            <v>50000</v>
          </cell>
          <cell r="Q41">
            <v>119980</v>
          </cell>
          <cell r="R41">
            <v>539910</v>
          </cell>
          <cell r="S41">
            <v>709890</v>
          </cell>
          <cell r="T41">
            <v>8333.3333333333339</v>
          </cell>
          <cell r="U41">
            <v>0</v>
          </cell>
        </row>
        <row r="42">
          <cell r="B42" t="str">
            <v>성형반</v>
          </cell>
          <cell r="C42" t="str">
            <v>SACM0313</v>
          </cell>
          <cell r="D42" t="str">
            <v>조원</v>
          </cell>
          <cell r="E42" t="str">
            <v>김호남</v>
          </cell>
          <cell r="F42">
            <v>36423</v>
          </cell>
          <cell r="I42">
            <v>363570</v>
          </cell>
          <cell r="J42">
            <v>1154130</v>
          </cell>
          <cell r="K42">
            <v>1065480</v>
          </cell>
          <cell r="L42">
            <v>967530</v>
          </cell>
          <cell r="M42">
            <v>1039285</v>
          </cell>
          <cell r="Q42">
            <v>119980</v>
          </cell>
          <cell r="R42">
            <v>539910</v>
          </cell>
          <cell r="S42">
            <v>659890</v>
          </cell>
          <cell r="T42">
            <v>0</v>
          </cell>
          <cell r="U42">
            <v>0</v>
          </cell>
        </row>
        <row r="43">
          <cell r="B43" t="str">
            <v>가공반</v>
          </cell>
          <cell r="C43" t="str">
            <v>SACM0122</v>
          </cell>
          <cell r="D43" t="str">
            <v>조장</v>
          </cell>
          <cell r="E43" t="str">
            <v>이정오</v>
          </cell>
          <cell r="F43">
            <v>31840</v>
          </cell>
          <cell r="G43">
            <v>2052850</v>
          </cell>
          <cell r="H43">
            <v>1656510</v>
          </cell>
          <cell r="I43">
            <v>1811860</v>
          </cell>
          <cell r="J43">
            <v>1757610</v>
          </cell>
          <cell r="K43">
            <v>1766610</v>
          </cell>
          <cell r="L43">
            <v>1675240</v>
          </cell>
          <cell r="M43">
            <v>1695476</v>
          </cell>
          <cell r="N43">
            <v>539550</v>
          </cell>
          <cell r="O43">
            <v>1079090</v>
          </cell>
          <cell r="P43">
            <v>100000</v>
          </cell>
          <cell r="Q43">
            <v>539550</v>
          </cell>
          <cell r="R43">
            <v>1618640</v>
          </cell>
          <cell r="S43">
            <v>3876830</v>
          </cell>
          <cell r="T43">
            <v>646135.83333333326</v>
          </cell>
          <cell r="U43">
            <v>1154767</v>
          </cell>
        </row>
        <row r="44">
          <cell r="B44" t="str">
            <v>가공반</v>
          </cell>
          <cell r="C44" t="str">
            <v>SACM0127</v>
          </cell>
          <cell r="D44" t="str">
            <v>조원</v>
          </cell>
          <cell r="E44" t="str">
            <v>강현민</v>
          </cell>
          <cell r="F44">
            <v>33534</v>
          </cell>
          <cell r="G44">
            <v>1645730</v>
          </cell>
          <cell r="H44">
            <v>1709680</v>
          </cell>
          <cell r="I44">
            <v>1611950</v>
          </cell>
          <cell r="J44">
            <v>1455060</v>
          </cell>
          <cell r="K44">
            <v>1518490</v>
          </cell>
          <cell r="L44">
            <v>1368070</v>
          </cell>
          <cell r="M44">
            <v>1415746</v>
          </cell>
          <cell r="N44">
            <v>467300</v>
          </cell>
          <cell r="O44">
            <v>934590</v>
          </cell>
          <cell r="P44">
            <v>100000</v>
          </cell>
          <cell r="Q44">
            <v>467300</v>
          </cell>
          <cell r="R44">
            <v>1401890</v>
          </cell>
          <cell r="S44">
            <v>3371080</v>
          </cell>
          <cell r="T44">
            <v>561844.16666666674</v>
          </cell>
          <cell r="U44">
            <v>975250</v>
          </cell>
        </row>
        <row r="45">
          <cell r="B45" t="str">
            <v>가공반</v>
          </cell>
          <cell r="C45" t="str">
            <v>SACM0281</v>
          </cell>
          <cell r="D45" t="str">
            <v>조원</v>
          </cell>
          <cell r="E45" t="str">
            <v>이희준</v>
          </cell>
          <cell r="F45">
            <v>35648</v>
          </cell>
          <cell r="G45">
            <v>1091820</v>
          </cell>
          <cell r="H45">
            <v>964680</v>
          </cell>
          <cell r="I45">
            <v>1301940</v>
          </cell>
          <cell r="J45">
            <v>1252050</v>
          </cell>
          <cell r="K45">
            <v>1203900</v>
          </cell>
          <cell r="L45">
            <v>1176440</v>
          </cell>
          <cell r="M45">
            <v>1184475</v>
          </cell>
          <cell r="N45">
            <v>339800</v>
          </cell>
          <cell r="O45">
            <v>679590</v>
          </cell>
          <cell r="P45">
            <v>100000</v>
          </cell>
          <cell r="Q45">
            <v>339800</v>
          </cell>
          <cell r="R45">
            <v>1019390</v>
          </cell>
          <cell r="S45">
            <v>2478580</v>
          </cell>
          <cell r="T45">
            <v>413094.16666666663</v>
          </cell>
          <cell r="U45">
            <v>787842</v>
          </cell>
        </row>
        <row r="46">
          <cell r="B46" t="str">
            <v>소결소계</v>
          </cell>
          <cell r="G46">
            <v>56605160</v>
          </cell>
          <cell r="H46">
            <v>54544880</v>
          </cell>
          <cell r="I46">
            <v>59718870</v>
          </cell>
          <cell r="J46">
            <v>62047740</v>
          </cell>
          <cell r="K46">
            <v>59409440</v>
          </cell>
          <cell r="L46">
            <v>55769300</v>
          </cell>
          <cell r="M46">
            <v>57791244</v>
          </cell>
          <cell r="N46">
            <v>15528390</v>
          </cell>
          <cell r="O46">
            <v>31056760</v>
          </cell>
          <cell r="P46">
            <v>3800000</v>
          </cell>
          <cell r="Q46">
            <v>15811120</v>
          </cell>
          <cell r="R46">
            <v>48113900</v>
          </cell>
          <cell r="S46">
            <v>114310170</v>
          </cell>
          <cell r="T46">
            <v>18749776.666666668</v>
          </cell>
          <cell r="U46">
            <v>36205429</v>
          </cell>
        </row>
        <row r="47">
          <cell r="A47" t="str">
            <v>마찰</v>
          </cell>
          <cell r="B47" t="str">
            <v>후공정</v>
          </cell>
          <cell r="C47" t="str">
            <v>SACM0223</v>
          </cell>
          <cell r="D47" t="str">
            <v>조원</v>
          </cell>
          <cell r="E47" t="str">
            <v>정재진</v>
          </cell>
          <cell r="F47">
            <v>34821</v>
          </cell>
          <cell r="G47">
            <v>1238700</v>
          </cell>
          <cell r="H47">
            <v>1290800</v>
          </cell>
          <cell r="I47">
            <v>1245920</v>
          </cell>
          <cell r="J47">
            <v>1116090</v>
          </cell>
          <cell r="K47">
            <v>1101550</v>
          </cell>
          <cell r="L47">
            <v>904420</v>
          </cell>
          <cell r="M47">
            <v>1018063</v>
          </cell>
          <cell r="N47">
            <v>360250</v>
          </cell>
          <cell r="O47">
            <v>720500</v>
          </cell>
          <cell r="P47">
            <v>100000</v>
          </cell>
          <cell r="Q47">
            <v>360250</v>
          </cell>
          <cell r="R47">
            <v>1080750</v>
          </cell>
          <cell r="S47">
            <v>2621750</v>
          </cell>
          <cell r="T47">
            <v>436958.33333333331</v>
          </cell>
          <cell r="U47">
            <v>717545</v>
          </cell>
        </row>
        <row r="48">
          <cell r="B48" t="str">
            <v>후공정</v>
          </cell>
          <cell r="C48" t="str">
            <v>SACM0317</v>
          </cell>
          <cell r="D48" t="str">
            <v>조원</v>
          </cell>
          <cell r="E48" t="str">
            <v>송범호</v>
          </cell>
          <cell r="F48">
            <v>36465</v>
          </cell>
          <cell r="K48">
            <v>910490</v>
          </cell>
          <cell r="L48">
            <v>935430</v>
          </cell>
          <cell r="M48">
            <v>601930</v>
          </cell>
          <cell r="Q48">
            <v>0</v>
          </cell>
          <cell r="R48">
            <v>304740</v>
          </cell>
          <cell r="S48">
            <v>304740</v>
          </cell>
          <cell r="T48">
            <v>0</v>
          </cell>
          <cell r="U48">
            <v>0</v>
          </cell>
        </row>
        <row r="49">
          <cell r="B49" t="str">
            <v>후공정</v>
          </cell>
          <cell r="C49" t="str">
            <v>SACW0008</v>
          </cell>
          <cell r="D49" t="str">
            <v>반장보</v>
          </cell>
          <cell r="E49" t="str">
            <v>한경영</v>
          </cell>
          <cell r="F49">
            <v>33826</v>
          </cell>
          <cell r="G49">
            <v>1602730</v>
          </cell>
          <cell r="H49">
            <v>1349440</v>
          </cell>
          <cell r="I49">
            <v>1471500</v>
          </cell>
          <cell r="J49">
            <v>1406600</v>
          </cell>
          <cell r="K49">
            <v>1304860</v>
          </cell>
          <cell r="L49">
            <v>1221590</v>
          </cell>
          <cell r="M49">
            <v>1282516</v>
          </cell>
          <cell r="N49">
            <v>394520</v>
          </cell>
          <cell r="O49">
            <v>789030</v>
          </cell>
          <cell r="P49">
            <v>100000</v>
          </cell>
          <cell r="Q49">
            <v>394520</v>
          </cell>
          <cell r="R49">
            <v>1183550</v>
          </cell>
          <cell r="S49">
            <v>2861620</v>
          </cell>
          <cell r="T49">
            <v>476934.16666666663</v>
          </cell>
          <cell r="U49">
            <v>867674</v>
          </cell>
        </row>
        <row r="50">
          <cell r="B50" t="str">
            <v>후공정</v>
          </cell>
          <cell r="C50" t="str">
            <v>SACW0014</v>
          </cell>
          <cell r="D50" t="str">
            <v>조원</v>
          </cell>
          <cell r="E50" t="str">
            <v>최명숙</v>
          </cell>
          <cell r="F50">
            <v>34214</v>
          </cell>
          <cell r="G50">
            <v>1359620</v>
          </cell>
          <cell r="H50">
            <v>1259090</v>
          </cell>
          <cell r="I50">
            <v>1324600</v>
          </cell>
          <cell r="J50">
            <v>1309110</v>
          </cell>
          <cell r="K50">
            <v>1167130</v>
          </cell>
          <cell r="L50">
            <v>1115320</v>
          </cell>
          <cell r="M50">
            <v>1171161</v>
          </cell>
          <cell r="N50">
            <v>348030</v>
          </cell>
          <cell r="O50">
            <v>696060</v>
          </cell>
          <cell r="P50">
            <v>100000</v>
          </cell>
          <cell r="Q50">
            <v>348030</v>
          </cell>
          <cell r="R50">
            <v>1044090</v>
          </cell>
          <cell r="S50">
            <v>2536210</v>
          </cell>
          <cell r="T50">
            <v>422701.66666666663</v>
          </cell>
          <cell r="U50">
            <v>786014</v>
          </cell>
        </row>
        <row r="51">
          <cell r="B51" t="str">
            <v>후공정</v>
          </cell>
          <cell r="C51" t="str">
            <v>SACW0015</v>
          </cell>
          <cell r="D51" t="str">
            <v>조원</v>
          </cell>
          <cell r="E51" t="str">
            <v>장영란</v>
          </cell>
          <cell r="F51">
            <v>34394</v>
          </cell>
          <cell r="G51">
            <v>1122510</v>
          </cell>
          <cell r="H51">
            <v>1099320</v>
          </cell>
          <cell r="I51">
            <v>1111360</v>
          </cell>
          <cell r="J51">
            <v>1189290</v>
          </cell>
          <cell r="K51">
            <v>1068580</v>
          </cell>
          <cell r="L51">
            <v>1017870</v>
          </cell>
          <cell r="M51">
            <v>1068176</v>
          </cell>
          <cell r="N51">
            <v>340060</v>
          </cell>
          <cell r="O51">
            <v>680130</v>
          </cell>
          <cell r="P51">
            <v>100000</v>
          </cell>
          <cell r="Q51">
            <v>340060</v>
          </cell>
          <cell r="R51">
            <v>1020190</v>
          </cell>
          <cell r="S51">
            <v>2480440</v>
          </cell>
          <cell r="T51">
            <v>413409.16666666663</v>
          </cell>
          <cell r="U51">
            <v>730645</v>
          </cell>
        </row>
        <row r="52">
          <cell r="B52" t="str">
            <v>후공정</v>
          </cell>
          <cell r="C52" t="str">
            <v>SACW0016</v>
          </cell>
          <cell r="D52" t="str">
            <v>조원</v>
          </cell>
          <cell r="E52" t="str">
            <v>김동순</v>
          </cell>
          <cell r="F52">
            <v>34486</v>
          </cell>
          <cell r="G52">
            <v>1198460</v>
          </cell>
          <cell r="H52">
            <v>1132110</v>
          </cell>
          <cell r="I52">
            <v>1198490</v>
          </cell>
          <cell r="J52">
            <v>1218970</v>
          </cell>
          <cell r="K52">
            <v>1086710</v>
          </cell>
          <cell r="L52">
            <v>1077740</v>
          </cell>
          <cell r="M52">
            <v>1103289</v>
          </cell>
          <cell r="N52">
            <v>339270</v>
          </cell>
          <cell r="O52">
            <v>678530</v>
          </cell>
          <cell r="P52">
            <v>100000</v>
          </cell>
          <cell r="Q52">
            <v>339270</v>
          </cell>
          <cell r="R52">
            <v>1017800</v>
          </cell>
          <cell r="S52">
            <v>2474870</v>
          </cell>
          <cell r="T52">
            <v>412475.83333333337</v>
          </cell>
          <cell r="U52">
            <v>747500</v>
          </cell>
        </row>
        <row r="53">
          <cell r="B53" t="str">
            <v>후공정</v>
          </cell>
          <cell r="C53" t="str">
            <v>SACW0017</v>
          </cell>
          <cell r="D53" t="str">
            <v>조원</v>
          </cell>
          <cell r="E53" t="str">
            <v>김경숙</v>
          </cell>
          <cell r="F53">
            <v>34799</v>
          </cell>
          <cell r="G53">
            <v>1237360</v>
          </cell>
          <cell r="H53">
            <v>1184240</v>
          </cell>
          <cell r="I53">
            <v>1170100</v>
          </cell>
          <cell r="J53">
            <v>1192230</v>
          </cell>
          <cell r="K53">
            <v>1121040</v>
          </cell>
          <cell r="L53">
            <v>1009680</v>
          </cell>
          <cell r="M53">
            <v>1083571</v>
          </cell>
          <cell r="N53">
            <v>326780</v>
          </cell>
          <cell r="O53">
            <v>653560</v>
          </cell>
          <cell r="P53">
            <v>100000</v>
          </cell>
          <cell r="Q53">
            <v>326780</v>
          </cell>
          <cell r="R53">
            <v>980340</v>
          </cell>
          <cell r="S53">
            <v>2387460</v>
          </cell>
          <cell r="T53">
            <v>397910</v>
          </cell>
          <cell r="U53">
            <v>730593</v>
          </cell>
        </row>
        <row r="54">
          <cell r="B54" t="str">
            <v>후공정</v>
          </cell>
          <cell r="C54" t="str">
            <v>SACW0018</v>
          </cell>
          <cell r="D54" t="str">
            <v>조원</v>
          </cell>
          <cell r="E54" t="str">
            <v>강순이</v>
          </cell>
          <cell r="F54">
            <v>34835</v>
          </cell>
          <cell r="G54">
            <v>1022860</v>
          </cell>
          <cell r="H54">
            <v>1068980</v>
          </cell>
          <cell r="I54">
            <v>1060950</v>
          </cell>
          <cell r="J54">
            <v>1074400</v>
          </cell>
          <cell r="K54">
            <v>931270</v>
          </cell>
          <cell r="L54">
            <v>945190</v>
          </cell>
          <cell r="M54">
            <v>962237</v>
          </cell>
          <cell r="N54">
            <v>326780</v>
          </cell>
          <cell r="O54">
            <v>653560</v>
          </cell>
          <cell r="P54">
            <v>100000</v>
          </cell>
          <cell r="Q54">
            <v>326780</v>
          </cell>
          <cell r="R54">
            <v>980340</v>
          </cell>
          <cell r="S54">
            <v>2387460</v>
          </cell>
          <cell r="T54">
            <v>397910</v>
          </cell>
          <cell r="U54">
            <v>670757</v>
          </cell>
        </row>
        <row r="55">
          <cell r="B55" t="str">
            <v>후공정</v>
          </cell>
          <cell r="C55" t="str">
            <v>SACW0022</v>
          </cell>
          <cell r="D55" t="str">
            <v>조원</v>
          </cell>
          <cell r="E55" t="str">
            <v>이덕희</v>
          </cell>
          <cell r="F55">
            <v>34836</v>
          </cell>
          <cell r="G55">
            <v>1031950</v>
          </cell>
          <cell r="H55">
            <v>966930</v>
          </cell>
          <cell r="I55">
            <v>1074580</v>
          </cell>
          <cell r="J55">
            <v>1010120</v>
          </cell>
          <cell r="K55">
            <v>950000</v>
          </cell>
          <cell r="L55">
            <v>881140</v>
          </cell>
          <cell r="M55">
            <v>926498</v>
          </cell>
          <cell r="N55">
            <v>326780</v>
          </cell>
          <cell r="O55">
            <v>653560</v>
          </cell>
          <cell r="P55">
            <v>100000</v>
          </cell>
          <cell r="Q55">
            <v>326780</v>
          </cell>
          <cell r="R55">
            <v>980340</v>
          </cell>
          <cell r="S55">
            <v>2387460</v>
          </cell>
          <cell r="T55">
            <v>397910</v>
          </cell>
          <cell r="U55">
            <v>653133</v>
          </cell>
        </row>
        <row r="56">
          <cell r="B56" t="str">
            <v>후공정</v>
          </cell>
          <cell r="C56" t="str">
            <v>SACW0024</v>
          </cell>
          <cell r="D56" t="str">
            <v>조원</v>
          </cell>
          <cell r="E56" t="str">
            <v>이춘자</v>
          </cell>
          <cell r="F56">
            <v>34927</v>
          </cell>
          <cell r="G56">
            <v>1147110</v>
          </cell>
          <cell r="H56">
            <v>1096880</v>
          </cell>
          <cell r="I56">
            <v>1132100</v>
          </cell>
          <cell r="J56">
            <v>1113900</v>
          </cell>
          <cell r="K56">
            <v>1064940</v>
          </cell>
          <cell r="L56">
            <v>999670</v>
          </cell>
          <cell r="M56">
            <v>1036471</v>
          </cell>
          <cell r="N56">
            <v>326780</v>
          </cell>
          <cell r="O56">
            <v>653560</v>
          </cell>
          <cell r="P56">
            <v>100000</v>
          </cell>
          <cell r="Q56">
            <v>326780</v>
          </cell>
          <cell r="R56">
            <v>980340</v>
          </cell>
          <cell r="S56">
            <v>2387460</v>
          </cell>
          <cell r="T56">
            <v>397910</v>
          </cell>
          <cell r="U56">
            <v>707366</v>
          </cell>
        </row>
        <row r="57">
          <cell r="B57" t="str">
            <v>후공정</v>
          </cell>
          <cell r="C57" t="str">
            <v>SACW0025</v>
          </cell>
          <cell r="D57" t="str">
            <v>조원</v>
          </cell>
          <cell r="E57" t="str">
            <v>이봉구</v>
          </cell>
          <cell r="F57">
            <v>34998</v>
          </cell>
          <cell r="G57">
            <v>1054570</v>
          </cell>
          <cell r="H57">
            <v>1076050</v>
          </cell>
          <cell r="I57">
            <v>1157700</v>
          </cell>
          <cell r="J57">
            <v>1125490</v>
          </cell>
          <cell r="K57">
            <v>1038870</v>
          </cell>
          <cell r="L57">
            <v>1021060</v>
          </cell>
          <cell r="M57">
            <v>1038724</v>
          </cell>
          <cell r="N57">
            <v>326780</v>
          </cell>
          <cell r="O57">
            <v>653560</v>
          </cell>
          <cell r="P57">
            <v>100000</v>
          </cell>
          <cell r="Q57">
            <v>326780</v>
          </cell>
          <cell r="R57">
            <v>980340</v>
          </cell>
          <cell r="S57">
            <v>2387460</v>
          </cell>
          <cell r="T57">
            <v>397910</v>
          </cell>
          <cell r="U57">
            <v>708477</v>
          </cell>
        </row>
        <row r="58">
          <cell r="B58" t="str">
            <v>후공정</v>
          </cell>
          <cell r="C58" t="str">
            <v>SACW0026</v>
          </cell>
          <cell r="D58" t="str">
            <v>조원</v>
          </cell>
          <cell r="E58" t="str">
            <v>남금순</v>
          </cell>
          <cell r="F58">
            <v>36390</v>
          </cell>
          <cell r="H58">
            <v>451800</v>
          </cell>
          <cell r="I58">
            <v>962880</v>
          </cell>
          <cell r="J58">
            <v>970720</v>
          </cell>
          <cell r="K58">
            <v>912380</v>
          </cell>
          <cell r="L58">
            <v>929570</v>
          </cell>
          <cell r="M58">
            <v>917175</v>
          </cell>
          <cell r="P58">
            <v>100000</v>
          </cell>
          <cell r="Q58">
            <v>118600</v>
          </cell>
          <cell r="R58">
            <v>533700</v>
          </cell>
          <cell r="S58">
            <v>752300</v>
          </cell>
          <cell r="T58">
            <v>16666.666666666668</v>
          </cell>
          <cell r="U58">
            <v>0</v>
          </cell>
        </row>
        <row r="59">
          <cell r="B59" t="str">
            <v>후공정</v>
          </cell>
          <cell r="C59" t="str">
            <v>SACW0027</v>
          </cell>
          <cell r="D59" t="str">
            <v>조원</v>
          </cell>
          <cell r="E59" t="str">
            <v>김선좌</v>
          </cell>
          <cell r="F59">
            <v>36423</v>
          </cell>
          <cell r="I59">
            <v>384130</v>
          </cell>
          <cell r="J59">
            <v>920720</v>
          </cell>
          <cell r="K59">
            <v>858130</v>
          </cell>
          <cell r="L59">
            <v>762880</v>
          </cell>
          <cell r="M59">
            <v>828825</v>
          </cell>
          <cell r="Q59">
            <v>110100</v>
          </cell>
          <cell r="R59">
            <v>495450</v>
          </cell>
          <cell r="S59">
            <v>605550</v>
          </cell>
          <cell r="T59">
            <v>0</v>
          </cell>
          <cell r="U59">
            <v>0</v>
          </cell>
        </row>
        <row r="60">
          <cell r="B60" t="str">
            <v>전처리</v>
          </cell>
          <cell r="C60" t="str">
            <v>SACM0067</v>
          </cell>
          <cell r="D60" t="str">
            <v>조원</v>
          </cell>
          <cell r="E60" t="str">
            <v>김명호</v>
          </cell>
          <cell r="F60">
            <v>33898</v>
          </cell>
          <cell r="G60">
            <v>1111350</v>
          </cell>
          <cell r="H60">
            <v>1165470</v>
          </cell>
          <cell r="I60">
            <v>1190940</v>
          </cell>
          <cell r="J60">
            <v>1286600</v>
          </cell>
          <cell r="K60">
            <v>1106860</v>
          </cell>
          <cell r="L60">
            <v>1180400</v>
          </cell>
          <cell r="M60">
            <v>1165389</v>
          </cell>
          <cell r="N60">
            <v>377520</v>
          </cell>
          <cell r="O60">
            <v>755030</v>
          </cell>
          <cell r="P60">
            <v>100000</v>
          </cell>
          <cell r="Q60">
            <v>381240</v>
          </cell>
          <cell r="R60">
            <v>1143710</v>
          </cell>
          <cell r="S60">
            <v>2757500</v>
          </cell>
          <cell r="T60">
            <v>457100.83333333337</v>
          </cell>
          <cell r="U60">
            <v>800132</v>
          </cell>
        </row>
        <row r="61">
          <cell r="B61" t="str">
            <v>전처리</v>
          </cell>
          <cell r="C61" t="str">
            <v>SACM0194</v>
          </cell>
          <cell r="D61" t="str">
            <v>조원</v>
          </cell>
          <cell r="E61" t="str">
            <v>허종욱</v>
          </cell>
          <cell r="F61">
            <v>34562</v>
          </cell>
          <cell r="G61">
            <v>1193280</v>
          </cell>
          <cell r="H61">
            <v>1131900</v>
          </cell>
          <cell r="I61">
            <v>1138450</v>
          </cell>
          <cell r="J61">
            <v>1298940</v>
          </cell>
          <cell r="K61">
            <v>1159740</v>
          </cell>
          <cell r="L61">
            <v>1113440</v>
          </cell>
          <cell r="M61">
            <v>1164822</v>
          </cell>
          <cell r="N61">
            <v>379110</v>
          </cell>
          <cell r="O61">
            <v>758220</v>
          </cell>
          <cell r="P61">
            <v>100000</v>
          </cell>
          <cell r="Q61">
            <v>379110</v>
          </cell>
          <cell r="R61">
            <v>1137330</v>
          </cell>
          <cell r="S61">
            <v>2753770</v>
          </cell>
          <cell r="T61">
            <v>458961.66666666669</v>
          </cell>
          <cell r="U61">
            <v>800770</v>
          </cell>
        </row>
        <row r="62">
          <cell r="B62" t="str">
            <v>전처리</v>
          </cell>
          <cell r="C62" t="str">
            <v>SACM0247</v>
          </cell>
          <cell r="D62" t="str">
            <v>조원</v>
          </cell>
          <cell r="E62" t="str">
            <v>정만종</v>
          </cell>
          <cell r="F62">
            <v>35042</v>
          </cell>
          <cell r="G62">
            <v>1253480</v>
          </cell>
          <cell r="H62">
            <v>1237880</v>
          </cell>
          <cell r="I62">
            <v>1270610</v>
          </cell>
          <cell r="J62">
            <v>1292040</v>
          </cell>
          <cell r="K62">
            <v>1288850</v>
          </cell>
          <cell r="L62">
            <v>1210650</v>
          </cell>
          <cell r="M62">
            <v>1236372</v>
          </cell>
          <cell r="N62">
            <v>365030</v>
          </cell>
          <cell r="O62">
            <v>730060</v>
          </cell>
          <cell r="P62">
            <v>100000</v>
          </cell>
          <cell r="Q62">
            <v>365030</v>
          </cell>
          <cell r="R62">
            <v>1095090</v>
          </cell>
          <cell r="S62">
            <v>2655210</v>
          </cell>
          <cell r="T62">
            <v>442535</v>
          </cell>
          <cell r="U62">
            <v>827954</v>
          </cell>
        </row>
        <row r="63">
          <cell r="B63" t="str">
            <v>도장</v>
          </cell>
          <cell r="C63" t="str">
            <v>SACM0307</v>
          </cell>
          <cell r="D63" t="str">
            <v>조원</v>
          </cell>
          <cell r="E63" t="str">
            <v>이병학</v>
          </cell>
          <cell r="F63">
            <v>36388</v>
          </cell>
          <cell r="H63">
            <v>482180</v>
          </cell>
          <cell r="I63">
            <v>1082610</v>
          </cell>
          <cell r="J63">
            <v>1198110</v>
          </cell>
          <cell r="K63">
            <v>1045160</v>
          </cell>
          <cell r="L63">
            <v>1184020</v>
          </cell>
          <cell r="M63">
            <v>1117595</v>
          </cell>
          <cell r="P63">
            <v>50000</v>
          </cell>
          <cell r="Q63">
            <v>138360</v>
          </cell>
          <cell r="R63">
            <v>622640</v>
          </cell>
          <cell r="S63">
            <v>811000</v>
          </cell>
          <cell r="T63">
            <v>8333.3333333333339</v>
          </cell>
          <cell r="U63">
            <v>0</v>
          </cell>
        </row>
        <row r="64">
          <cell r="B64" t="str">
            <v>SHOT</v>
          </cell>
          <cell r="C64" t="str">
            <v>SACM0316</v>
          </cell>
          <cell r="D64" t="str">
            <v>조원</v>
          </cell>
          <cell r="E64" t="str">
            <v>박병호</v>
          </cell>
          <cell r="F64">
            <v>36465</v>
          </cell>
          <cell r="K64">
            <v>967920</v>
          </cell>
          <cell r="L64">
            <v>1017820</v>
          </cell>
          <cell r="M64">
            <v>647524</v>
          </cell>
          <cell r="Q64">
            <v>0</v>
          </cell>
          <cell r="R64">
            <v>310310</v>
          </cell>
          <cell r="S64">
            <v>310310</v>
          </cell>
          <cell r="T64">
            <v>0</v>
          </cell>
          <cell r="U64">
            <v>0</v>
          </cell>
        </row>
        <row r="65">
          <cell r="B65" t="str">
            <v>MIXER</v>
          </cell>
          <cell r="C65" t="str">
            <v>SACM0259</v>
          </cell>
          <cell r="D65" t="str">
            <v>조원</v>
          </cell>
          <cell r="E65" t="str">
            <v>조기봉</v>
          </cell>
          <cell r="F65">
            <v>35144</v>
          </cell>
          <cell r="G65">
            <v>1356290</v>
          </cell>
          <cell r="H65">
            <v>1324600</v>
          </cell>
          <cell r="I65">
            <v>1642800</v>
          </cell>
          <cell r="J65">
            <v>1381840</v>
          </cell>
          <cell r="K65">
            <v>1364910</v>
          </cell>
          <cell r="L65">
            <v>1209930</v>
          </cell>
          <cell r="M65">
            <v>1290222</v>
          </cell>
          <cell r="N65">
            <v>355470</v>
          </cell>
          <cell r="O65">
            <v>710940</v>
          </cell>
          <cell r="P65">
            <v>100000</v>
          </cell>
          <cell r="Q65">
            <v>355470</v>
          </cell>
          <cell r="R65">
            <v>1066410</v>
          </cell>
          <cell r="S65">
            <v>2588290</v>
          </cell>
          <cell r="T65">
            <v>431381.66666666669</v>
          </cell>
          <cell r="U65">
            <v>849010</v>
          </cell>
        </row>
        <row r="66">
          <cell r="B66" t="str">
            <v>MIXER</v>
          </cell>
          <cell r="C66" t="str">
            <v>SACM0291</v>
          </cell>
          <cell r="D66" t="str">
            <v>조원</v>
          </cell>
          <cell r="E66" t="str">
            <v>이성규#</v>
          </cell>
          <cell r="F66">
            <v>36104</v>
          </cell>
          <cell r="G66">
            <v>1343150</v>
          </cell>
          <cell r="H66">
            <v>1404850</v>
          </cell>
          <cell r="I66">
            <v>1401310</v>
          </cell>
          <cell r="J66">
            <v>1385570</v>
          </cell>
          <cell r="K66">
            <v>1362100</v>
          </cell>
          <cell r="L66">
            <v>1243140</v>
          </cell>
          <cell r="M66">
            <v>1301351</v>
          </cell>
          <cell r="N66">
            <v>321200</v>
          </cell>
          <cell r="O66">
            <v>642410</v>
          </cell>
          <cell r="P66">
            <v>100000</v>
          </cell>
          <cell r="Q66">
            <v>333420</v>
          </cell>
          <cell r="R66">
            <v>1000260</v>
          </cell>
          <cell r="S66">
            <v>2397290</v>
          </cell>
          <cell r="T66">
            <v>391405.83333333331</v>
          </cell>
          <cell r="U66">
            <v>834784</v>
          </cell>
        </row>
        <row r="67">
          <cell r="B67" t="str">
            <v>MIXER</v>
          </cell>
          <cell r="C67" t="str">
            <v>SACM0296</v>
          </cell>
          <cell r="D67" t="str">
            <v>조원</v>
          </cell>
          <cell r="E67" t="str">
            <v>윤장헌</v>
          </cell>
          <cell r="F67">
            <v>36269</v>
          </cell>
          <cell r="G67">
            <v>1251640</v>
          </cell>
          <cell r="H67">
            <v>1230360</v>
          </cell>
          <cell r="I67">
            <v>1328790</v>
          </cell>
          <cell r="J67">
            <v>1504850</v>
          </cell>
          <cell r="K67">
            <v>1301380</v>
          </cell>
          <cell r="L67">
            <v>1073450</v>
          </cell>
          <cell r="M67">
            <v>1265113</v>
          </cell>
          <cell r="N67">
            <v>135180</v>
          </cell>
          <cell r="O67">
            <v>270350</v>
          </cell>
          <cell r="P67">
            <v>100000</v>
          </cell>
          <cell r="Q67">
            <v>202760</v>
          </cell>
          <cell r="R67">
            <v>743470</v>
          </cell>
          <cell r="S67">
            <v>1451760</v>
          </cell>
          <cell r="T67">
            <v>174370.83333333334</v>
          </cell>
          <cell r="U67">
            <v>0</v>
          </cell>
        </row>
        <row r="68">
          <cell r="B68" t="str">
            <v>MIXER</v>
          </cell>
          <cell r="C68" t="str">
            <v>SACM0302</v>
          </cell>
          <cell r="D68" t="str">
            <v>조원</v>
          </cell>
          <cell r="E68" t="str">
            <v>한광민</v>
          </cell>
          <cell r="F68">
            <v>36325</v>
          </cell>
          <cell r="G68">
            <v>1048880</v>
          </cell>
          <cell r="H68">
            <v>1004730</v>
          </cell>
          <cell r="I68">
            <v>1164530</v>
          </cell>
          <cell r="J68">
            <v>1270930</v>
          </cell>
          <cell r="K68">
            <v>1084650</v>
          </cell>
          <cell r="L68">
            <v>1151920</v>
          </cell>
          <cell r="M68">
            <v>1143750</v>
          </cell>
          <cell r="O68">
            <v>237410</v>
          </cell>
          <cell r="P68">
            <v>100000</v>
          </cell>
          <cell r="Q68">
            <v>190810</v>
          </cell>
          <cell r="R68">
            <v>699640</v>
          </cell>
          <cell r="S68">
            <v>1227860</v>
          </cell>
          <cell r="T68">
            <v>155155.83333333334</v>
          </cell>
          <cell r="U68">
            <v>0</v>
          </cell>
        </row>
        <row r="69">
          <cell r="B69" t="str">
            <v>MIXER</v>
          </cell>
          <cell r="C69" t="str">
            <v>SACM0306</v>
          </cell>
          <cell r="D69" t="str">
            <v>조원</v>
          </cell>
          <cell r="E69" t="str">
            <v>이연덕</v>
          </cell>
          <cell r="F69">
            <v>36385</v>
          </cell>
          <cell r="H69">
            <v>701890</v>
          </cell>
          <cell r="I69">
            <v>1027010</v>
          </cell>
          <cell r="J69">
            <v>959310</v>
          </cell>
          <cell r="K69">
            <v>1058000</v>
          </cell>
          <cell r="L69">
            <v>1099230</v>
          </cell>
          <cell r="M69">
            <v>1016263</v>
          </cell>
          <cell r="P69">
            <v>50000</v>
          </cell>
          <cell r="Q69">
            <v>128480</v>
          </cell>
          <cell r="R69">
            <v>578160</v>
          </cell>
          <cell r="S69">
            <v>756640</v>
          </cell>
          <cell r="T69">
            <v>8333.3333333333339</v>
          </cell>
          <cell r="U69">
            <v>0</v>
          </cell>
        </row>
        <row r="70">
          <cell r="B70" t="str">
            <v>DP  PRESS</v>
          </cell>
          <cell r="C70" t="str">
            <v>SACM0004</v>
          </cell>
          <cell r="D70" t="str">
            <v>반장보</v>
          </cell>
          <cell r="E70" t="str">
            <v>홍용권</v>
          </cell>
          <cell r="F70">
            <v>33350</v>
          </cell>
          <cell r="G70">
            <v>1673680</v>
          </cell>
          <cell r="H70">
            <v>1649360</v>
          </cell>
          <cell r="I70">
            <v>1491180</v>
          </cell>
          <cell r="J70">
            <v>1613040</v>
          </cell>
          <cell r="K70">
            <v>1632080</v>
          </cell>
          <cell r="L70">
            <v>1278830</v>
          </cell>
          <cell r="M70">
            <v>1475201</v>
          </cell>
          <cell r="N70">
            <v>445520</v>
          </cell>
          <cell r="O70">
            <v>891030</v>
          </cell>
          <cell r="P70">
            <v>100000</v>
          </cell>
          <cell r="Q70">
            <v>445520</v>
          </cell>
          <cell r="R70">
            <v>1336550</v>
          </cell>
          <cell r="S70">
            <v>3218620</v>
          </cell>
          <cell r="T70">
            <v>536434.16666666674</v>
          </cell>
          <cell r="U70">
            <v>992039</v>
          </cell>
        </row>
        <row r="71">
          <cell r="B71" t="str">
            <v>DP  PRESS</v>
          </cell>
          <cell r="C71" t="str">
            <v>SACM0184</v>
          </cell>
          <cell r="D71" t="str">
            <v>조장</v>
          </cell>
          <cell r="E71" t="str">
            <v>송상용</v>
          </cell>
          <cell r="F71">
            <v>34422</v>
          </cell>
          <cell r="G71">
            <v>1431250</v>
          </cell>
          <cell r="H71">
            <v>1285830</v>
          </cell>
          <cell r="I71">
            <v>1542550</v>
          </cell>
          <cell r="J71">
            <v>1623620</v>
          </cell>
          <cell r="K71">
            <v>1404090</v>
          </cell>
          <cell r="L71">
            <v>1304030</v>
          </cell>
          <cell r="M71">
            <v>1412524</v>
          </cell>
          <cell r="N71">
            <v>404880</v>
          </cell>
          <cell r="O71">
            <v>809750</v>
          </cell>
          <cell r="P71">
            <v>100000</v>
          </cell>
          <cell r="Q71">
            <v>404880</v>
          </cell>
          <cell r="R71">
            <v>1214630</v>
          </cell>
          <cell r="S71">
            <v>2934140</v>
          </cell>
          <cell r="T71">
            <v>489020.83333333337</v>
          </cell>
          <cell r="U71">
            <v>937748</v>
          </cell>
        </row>
        <row r="72">
          <cell r="B72" t="str">
            <v>DP  PRESS</v>
          </cell>
          <cell r="C72" t="str">
            <v>SACM0205</v>
          </cell>
          <cell r="D72" t="str">
            <v>조원</v>
          </cell>
          <cell r="E72" t="str">
            <v>김태일#</v>
          </cell>
          <cell r="F72">
            <v>34783</v>
          </cell>
          <cell r="G72">
            <v>1423760</v>
          </cell>
          <cell r="H72">
            <v>1286970</v>
          </cell>
          <cell r="I72">
            <v>1104820</v>
          </cell>
          <cell r="J72">
            <v>1410020</v>
          </cell>
          <cell r="K72">
            <v>1212380</v>
          </cell>
          <cell r="L72">
            <v>1144400</v>
          </cell>
          <cell r="M72">
            <v>1228304</v>
          </cell>
          <cell r="N72">
            <v>363440</v>
          </cell>
          <cell r="O72">
            <v>726880</v>
          </cell>
          <cell r="P72">
            <v>100000</v>
          </cell>
          <cell r="Q72">
            <v>363440</v>
          </cell>
          <cell r="R72">
            <v>1090320</v>
          </cell>
          <cell r="S72">
            <v>2644080</v>
          </cell>
          <cell r="T72">
            <v>440680</v>
          </cell>
          <cell r="U72">
            <v>823061</v>
          </cell>
        </row>
        <row r="73">
          <cell r="B73" t="str">
            <v>DP  PRESS</v>
          </cell>
          <cell r="C73" t="str">
            <v>SACM0226</v>
          </cell>
          <cell r="D73" t="str">
            <v>조원</v>
          </cell>
          <cell r="E73" t="str">
            <v>김용덕</v>
          </cell>
          <cell r="F73">
            <v>34828</v>
          </cell>
          <cell r="G73">
            <v>1287610</v>
          </cell>
          <cell r="H73">
            <v>1272400</v>
          </cell>
          <cell r="I73">
            <v>1250880</v>
          </cell>
          <cell r="J73">
            <v>1254090</v>
          </cell>
          <cell r="K73">
            <v>1106230</v>
          </cell>
          <cell r="L73">
            <v>1065190</v>
          </cell>
          <cell r="M73">
            <v>1117014</v>
          </cell>
          <cell r="N73">
            <v>370610</v>
          </cell>
          <cell r="O73">
            <v>741220</v>
          </cell>
          <cell r="P73">
            <v>100000</v>
          </cell>
          <cell r="Q73">
            <v>370610</v>
          </cell>
          <cell r="R73">
            <v>1111830</v>
          </cell>
          <cell r="S73">
            <v>2694270</v>
          </cell>
          <cell r="T73">
            <v>449045</v>
          </cell>
          <cell r="U73">
            <v>772303</v>
          </cell>
        </row>
        <row r="74">
          <cell r="B74" t="str">
            <v>DP  PRESS</v>
          </cell>
          <cell r="C74" t="str">
            <v>SACM0237</v>
          </cell>
          <cell r="D74" t="str">
            <v>조원</v>
          </cell>
          <cell r="E74" t="str">
            <v>김갑용</v>
          </cell>
          <cell r="F74">
            <v>34918</v>
          </cell>
          <cell r="G74">
            <v>1327500</v>
          </cell>
          <cell r="H74">
            <v>1214290</v>
          </cell>
          <cell r="I74">
            <v>1336770</v>
          </cell>
          <cell r="J74">
            <v>1466740</v>
          </cell>
          <cell r="K74">
            <v>1379700</v>
          </cell>
          <cell r="L74">
            <v>1196400</v>
          </cell>
          <cell r="M74">
            <v>1318317</v>
          </cell>
          <cell r="N74">
            <v>363440</v>
          </cell>
          <cell r="O74">
            <v>726880</v>
          </cell>
          <cell r="P74">
            <v>100000</v>
          </cell>
          <cell r="Q74">
            <v>363440</v>
          </cell>
          <cell r="R74">
            <v>1090320</v>
          </cell>
          <cell r="S74">
            <v>2644080</v>
          </cell>
          <cell r="T74">
            <v>440680</v>
          </cell>
          <cell r="U74">
            <v>867451</v>
          </cell>
        </row>
        <row r="75">
          <cell r="B75" t="str">
            <v>DP  PRESS</v>
          </cell>
          <cell r="C75" t="str">
            <v>SACM0279</v>
          </cell>
          <cell r="D75" t="str">
            <v>조원</v>
          </cell>
          <cell r="E75" t="str">
            <v>유선규</v>
          </cell>
          <cell r="F75">
            <v>35648</v>
          </cell>
          <cell r="G75">
            <v>1185640</v>
          </cell>
          <cell r="H75">
            <v>1097620</v>
          </cell>
          <cell r="I75">
            <v>1335720</v>
          </cell>
          <cell r="J75">
            <v>1223770</v>
          </cell>
          <cell r="K75">
            <v>1219940</v>
          </cell>
          <cell r="L75">
            <v>1119060</v>
          </cell>
          <cell r="M75">
            <v>1161773</v>
          </cell>
          <cell r="N75">
            <v>339800</v>
          </cell>
          <cell r="O75">
            <v>679590</v>
          </cell>
          <cell r="P75">
            <v>100000</v>
          </cell>
          <cell r="Q75">
            <v>339800</v>
          </cell>
          <cell r="R75">
            <v>1019390</v>
          </cell>
          <cell r="S75">
            <v>2478580</v>
          </cell>
          <cell r="T75">
            <v>413094.16666666663</v>
          </cell>
          <cell r="U75">
            <v>776647</v>
          </cell>
        </row>
        <row r="76">
          <cell r="B76" t="str">
            <v>DP  PRESS</v>
          </cell>
          <cell r="C76" t="str">
            <v>SACM0318</v>
          </cell>
          <cell r="D76" t="str">
            <v>조원</v>
          </cell>
          <cell r="E76" t="str">
            <v>이재일</v>
          </cell>
          <cell r="F76">
            <v>36465</v>
          </cell>
          <cell r="K76">
            <v>1027210</v>
          </cell>
          <cell r="L76">
            <v>869300</v>
          </cell>
          <cell r="M76">
            <v>618427</v>
          </cell>
          <cell r="Q76">
            <v>0</v>
          </cell>
          <cell r="R76">
            <v>297560</v>
          </cell>
          <cell r="S76">
            <v>297560</v>
          </cell>
          <cell r="T76">
            <v>0</v>
          </cell>
          <cell r="U76">
            <v>0</v>
          </cell>
        </row>
        <row r="77">
          <cell r="B77" t="str">
            <v>D/P 연마</v>
          </cell>
          <cell r="C77" t="str">
            <v>SACM0055</v>
          </cell>
          <cell r="D77" t="str">
            <v>조장</v>
          </cell>
          <cell r="E77" t="str">
            <v>오순선</v>
          </cell>
          <cell r="F77">
            <v>33878</v>
          </cell>
          <cell r="G77">
            <v>899790</v>
          </cell>
          <cell r="H77">
            <v>899790</v>
          </cell>
          <cell r="I77">
            <v>899790</v>
          </cell>
          <cell r="J77">
            <v>899790</v>
          </cell>
          <cell r="K77">
            <v>899790</v>
          </cell>
          <cell r="L77">
            <v>899790</v>
          </cell>
          <cell r="M77">
            <v>899790</v>
          </cell>
          <cell r="O77" t="str">
            <v>휴      직      자       1년  평균상여(98.5-99.4)</v>
          </cell>
          <cell r="S77">
            <v>0</v>
          </cell>
          <cell r="T77">
            <v>508025</v>
          </cell>
          <cell r="U77">
            <v>694265</v>
          </cell>
        </row>
        <row r="78">
          <cell r="B78" t="str">
            <v>D/P 연마</v>
          </cell>
          <cell r="C78" t="str">
            <v>SACM0140</v>
          </cell>
          <cell r="D78" t="str">
            <v>조원</v>
          </cell>
          <cell r="E78" t="str">
            <v>김종열</v>
          </cell>
          <cell r="F78">
            <v>34081</v>
          </cell>
          <cell r="G78">
            <v>1210770</v>
          </cell>
          <cell r="H78">
            <v>1364070</v>
          </cell>
          <cell r="I78">
            <v>1035560</v>
          </cell>
          <cell r="J78">
            <v>1371050</v>
          </cell>
          <cell r="K78">
            <v>1138150</v>
          </cell>
          <cell r="L78">
            <v>1138070</v>
          </cell>
          <cell r="M78">
            <v>1189327</v>
          </cell>
          <cell r="N78">
            <v>401420</v>
          </cell>
          <cell r="O78">
            <v>802840</v>
          </cell>
          <cell r="P78">
            <v>100000</v>
          </cell>
          <cell r="Q78">
            <v>401420</v>
          </cell>
          <cell r="R78">
            <v>1204260</v>
          </cell>
          <cell r="S78">
            <v>2909940</v>
          </cell>
          <cell r="T78">
            <v>484990</v>
          </cell>
          <cell r="U78">
            <v>825691</v>
          </cell>
        </row>
        <row r="79">
          <cell r="B79" t="str">
            <v>D/P 연마</v>
          </cell>
          <cell r="C79" t="str">
            <v>SACM0217</v>
          </cell>
          <cell r="D79" t="str">
            <v>조원</v>
          </cell>
          <cell r="E79" t="str">
            <v>채진군</v>
          </cell>
          <cell r="F79">
            <v>34803</v>
          </cell>
          <cell r="G79">
            <v>1174210</v>
          </cell>
          <cell r="H79">
            <v>1017130</v>
          </cell>
          <cell r="I79">
            <v>986250</v>
          </cell>
          <cell r="J79">
            <v>1143020</v>
          </cell>
          <cell r="K79">
            <v>1188880</v>
          </cell>
          <cell r="L79">
            <v>1039300</v>
          </cell>
          <cell r="M79">
            <v>1099304</v>
          </cell>
          <cell r="N79">
            <v>358660</v>
          </cell>
          <cell r="O79">
            <v>717310</v>
          </cell>
          <cell r="P79">
            <v>100000</v>
          </cell>
          <cell r="Q79">
            <v>358660</v>
          </cell>
          <cell r="R79">
            <v>1075970</v>
          </cell>
          <cell r="S79">
            <v>2610600</v>
          </cell>
          <cell r="T79">
            <v>435097.5</v>
          </cell>
          <cell r="U79">
            <v>756691</v>
          </cell>
        </row>
        <row r="80">
          <cell r="B80" t="str">
            <v>D/P 연마</v>
          </cell>
          <cell r="C80" t="str">
            <v>SACM0234</v>
          </cell>
          <cell r="D80" t="str">
            <v>조원</v>
          </cell>
          <cell r="E80" t="str">
            <v>김풍수</v>
          </cell>
          <cell r="F80">
            <v>34886</v>
          </cell>
          <cell r="G80">
            <v>1330330</v>
          </cell>
          <cell r="H80">
            <v>1203820</v>
          </cell>
          <cell r="I80">
            <v>1297050</v>
          </cell>
          <cell r="J80">
            <v>1372010</v>
          </cell>
          <cell r="K80">
            <v>1254970</v>
          </cell>
          <cell r="L80">
            <v>1224580</v>
          </cell>
          <cell r="M80">
            <v>1255943</v>
          </cell>
          <cell r="N80">
            <v>363440</v>
          </cell>
          <cell r="O80">
            <v>726880</v>
          </cell>
          <cell r="P80">
            <v>100000</v>
          </cell>
          <cell r="Q80">
            <v>363440</v>
          </cell>
          <cell r="R80">
            <v>1090320</v>
          </cell>
          <cell r="S80">
            <v>2644080</v>
          </cell>
          <cell r="T80">
            <v>440680</v>
          </cell>
          <cell r="U80">
            <v>836691</v>
          </cell>
        </row>
        <row r="81">
          <cell r="B81" t="str">
            <v>D/P 연마</v>
          </cell>
          <cell r="C81" t="str">
            <v>SACM0305</v>
          </cell>
          <cell r="D81" t="str">
            <v>조원</v>
          </cell>
          <cell r="E81" t="str">
            <v>김윤연</v>
          </cell>
          <cell r="F81">
            <v>36385</v>
          </cell>
          <cell r="H81">
            <v>517820</v>
          </cell>
          <cell r="I81">
            <v>794170</v>
          </cell>
          <cell r="J81">
            <v>1055890</v>
          </cell>
          <cell r="K81">
            <v>914290</v>
          </cell>
          <cell r="L81">
            <v>926140</v>
          </cell>
          <cell r="M81">
            <v>944452</v>
          </cell>
          <cell r="P81">
            <v>50000</v>
          </cell>
          <cell r="Q81">
            <v>127210</v>
          </cell>
          <cell r="R81">
            <v>572430</v>
          </cell>
          <cell r="S81">
            <v>749640</v>
          </cell>
          <cell r="T81">
            <v>8333.3333333333339</v>
          </cell>
          <cell r="U81">
            <v>0</v>
          </cell>
        </row>
        <row r="82">
          <cell r="B82" t="str">
            <v>BL PRESS</v>
          </cell>
          <cell r="C82" t="str">
            <v>SACM0092</v>
          </cell>
          <cell r="D82" t="str">
            <v>조장</v>
          </cell>
          <cell r="E82" t="str">
            <v>김영환</v>
          </cell>
          <cell r="F82">
            <v>33929</v>
          </cell>
          <cell r="G82">
            <v>1725090</v>
          </cell>
          <cell r="H82">
            <v>1353760</v>
          </cell>
          <cell r="I82">
            <v>1483590</v>
          </cell>
          <cell r="J82">
            <v>1726180</v>
          </cell>
          <cell r="K82">
            <v>1648100</v>
          </cell>
          <cell r="L82">
            <v>1499780</v>
          </cell>
          <cell r="M82">
            <v>1589367</v>
          </cell>
          <cell r="N82">
            <v>430380</v>
          </cell>
          <cell r="O82">
            <v>860750</v>
          </cell>
          <cell r="P82">
            <v>100000</v>
          </cell>
          <cell r="Q82">
            <v>434090</v>
          </cell>
          <cell r="R82">
            <v>1302280</v>
          </cell>
          <cell r="S82">
            <v>3127500</v>
          </cell>
          <cell r="T82">
            <v>518770.83333333326</v>
          </cell>
          <cell r="U82">
            <v>1039630</v>
          </cell>
        </row>
        <row r="83">
          <cell r="B83" t="str">
            <v>BL PRESS</v>
          </cell>
          <cell r="C83" t="str">
            <v>SACM0110</v>
          </cell>
          <cell r="D83" t="str">
            <v>반장보</v>
          </cell>
          <cell r="E83" t="str">
            <v>채수정</v>
          </cell>
          <cell r="F83">
            <v>28571</v>
          </cell>
          <cell r="G83">
            <v>2207940</v>
          </cell>
          <cell r="H83">
            <v>2354550</v>
          </cell>
          <cell r="I83">
            <v>2329230</v>
          </cell>
          <cell r="J83">
            <v>2264550</v>
          </cell>
          <cell r="K83">
            <v>2167980</v>
          </cell>
          <cell r="L83">
            <v>2000620</v>
          </cell>
          <cell r="M83">
            <v>2097766</v>
          </cell>
          <cell r="N83">
            <v>609410</v>
          </cell>
          <cell r="O83">
            <v>1218810</v>
          </cell>
          <cell r="P83">
            <v>100000</v>
          </cell>
          <cell r="Q83">
            <v>609410</v>
          </cell>
          <cell r="R83">
            <v>1828220</v>
          </cell>
          <cell r="S83">
            <v>4365850</v>
          </cell>
          <cell r="T83">
            <v>727639.16666666674</v>
          </cell>
          <cell r="U83">
            <v>1393350</v>
          </cell>
        </row>
        <row r="84">
          <cell r="B84" t="str">
            <v>BL PRESS</v>
          </cell>
          <cell r="C84" t="str">
            <v>SACM0186</v>
          </cell>
          <cell r="D84" t="str">
            <v>조원</v>
          </cell>
          <cell r="E84" t="str">
            <v>김동식</v>
          </cell>
          <cell r="F84">
            <v>34445</v>
          </cell>
          <cell r="G84">
            <v>1161700</v>
          </cell>
          <cell r="H84">
            <v>1059420</v>
          </cell>
          <cell r="I84">
            <v>1113140</v>
          </cell>
          <cell r="J84">
            <v>1192710</v>
          </cell>
          <cell r="K84">
            <v>1078660</v>
          </cell>
          <cell r="L84">
            <v>980970</v>
          </cell>
          <cell r="M84">
            <v>1060546</v>
          </cell>
          <cell r="N84">
            <v>377520</v>
          </cell>
          <cell r="O84">
            <v>755030</v>
          </cell>
          <cell r="P84">
            <v>100000</v>
          </cell>
          <cell r="Q84">
            <v>377520</v>
          </cell>
          <cell r="R84">
            <v>1132550</v>
          </cell>
          <cell r="S84">
            <v>2742620</v>
          </cell>
          <cell r="T84">
            <v>457100.83333333337</v>
          </cell>
          <cell r="U84">
            <v>748429</v>
          </cell>
        </row>
        <row r="85">
          <cell r="B85" t="str">
            <v>BL PRESS</v>
          </cell>
          <cell r="C85" t="str">
            <v>SACM0246</v>
          </cell>
          <cell r="D85" t="str">
            <v>조원</v>
          </cell>
          <cell r="E85" t="str">
            <v>황동찬</v>
          </cell>
          <cell r="F85">
            <v>35016</v>
          </cell>
          <cell r="G85">
            <v>1461540</v>
          </cell>
          <cell r="H85">
            <v>1376490</v>
          </cell>
          <cell r="I85">
            <v>1370300</v>
          </cell>
          <cell r="J85">
            <v>1567300</v>
          </cell>
          <cell r="K85">
            <v>1497070</v>
          </cell>
          <cell r="L85">
            <v>1393010</v>
          </cell>
          <cell r="M85">
            <v>1453493</v>
          </cell>
          <cell r="N85">
            <v>385750</v>
          </cell>
          <cell r="O85">
            <v>771500</v>
          </cell>
          <cell r="P85">
            <v>100000</v>
          </cell>
          <cell r="Q85">
            <v>385750</v>
          </cell>
          <cell r="R85">
            <v>1157250</v>
          </cell>
          <cell r="S85">
            <v>2800250</v>
          </cell>
          <cell r="T85">
            <v>466708.33333333337</v>
          </cell>
          <cell r="U85">
            <v>946949</v>
          </cell>
        </row>
        <row r="86">
          <cell r="B86" t="str">
            <v>BL PRESS</v>
          </cell>
          <cell r="C86" t="str">
            <v>SACM0311</v>
          </cell>
          <cell r="D86" t="str">
            <v>조원</v>
          </cell>
          <cell r="E86" t="str">
            <v>여운상</v>
          </cell>
          <cell r="F86">
            <v>36412</v>
          </cell>
          <cell r="I86">
            <v>721860</v>
          </cell>
          <cell r="J86">
            <v>1225620</v>
          </cell>
          <cell r="K86">
            <v>1056300</v>
          </cell>
          <cell r="L86">
            <v>1135490</v>
          </cell>
          <cell r="M86">
            <v>1114373</v>
          </cell>
          <cell r="P86">
            <v>50000</v>
          </cell>
          <cell r="Q86">
            <v>124760</v>
          </cell>
          <cell r="R86">
            <v>561440</v>
          </cell>
          <cell r="S86">
            <v>736200</v>
          </cell>
          <cell r="T86">
            <v>8333.3333333333339</v>
          </cell>
          <cell r="U86">
            <v>0</v>
          </cell>
        </row>
        <row r="87">
          <cell r="B87" t="str">
            <v>BL PRESS</v>
          </cell>
          <cell r="C87" t="str">
            <v>SACM0315</v>
          </cell>
          <cell r="D87" t="str">
            <v>조원</v>
          </cell>
          <cell r="E87" t="str">
            <v>김주영</v>
          </cell>
          <cell r="F87">
            <v>36465</v>
          </cell>
          <cell r="K87">
            <v>1167010</v>
          </cell>
          <cell r="L87">
            <v>1166660</v>
          </cell>
          <cell r="M87">
            <v>760979</v>
          </cell>
          <cell r="Q87">
            <v>0</v>
          </cell>
          <cell r="R87">
            <v>312700</v>
          </cell>
          <cell r="S87">
            <v>312700</v>
          </cell>
          <cell r="T87">
            <v>0</v>
          </cell>
          <cell r="U87">
            <v>0</v>
          </cell>
        </row>
        <row r="88">
          <cell r="B88" t="str">
            <v>B/L 연마</v>
          </cell>
          <cell r="C88" t="str">
            <v>SACM0253</v>
          </cell>
          <cell r="D88" t="str">
            <v>조원</v>
          </cell>
          <cell r="E88" t="str">
            <v>김정명</v>
          </cell>
          <cell r="F88">
            <v>35135</v>
          </cell>
          <cell r="G88">
            <v>1184880</v>
          </cell>
          <cell r="H88">
            <v>1108030</v>
          </cell>
          <cell r="I88">
            <v>1167460</v>
          </cell>
          <cell r="J88">
            <v>1267320</v>
          </cell>
          <cell r="K88">
            <v>1152010</v>
          </cell>
          <cell r="L88">
            <v>1010290</v>
          </cell>
          <cell r="M88">
            <v>1118354</v>
          </cell>
          <cell r="N88">
            <v>356270</v>
          </cell>
          <cell r="O88">
            <v>712530</v>
          </cell>
          <cell r="P88">
            <v>100000</v>
          </cell>
          <cell r="Q88">
            <v>356270</v>
          </cell>
          <cell r="R88">
            <v>1068800</v>
          </cell>
          <cell r="S88">
            <v>2593870</v>
          </cell>
          <cell r="T88">
            <v>432309.16666666663</v>
          </cell>
          <cell r="U88">
            <v>764711</v>
          </cell>
        </row>
        <row r="89">
          <cell r="B89" t="str">
            <v>B/L 연마</v>
          </cell>
          <cell r="C89" t="str">
            <v>SACM0274</v>
          </cell>
          <cell r="D89" t="str">
            <v>조원</v>
          </cell>
          <cell r="E89" t="str">
            <v>정상교</v>
          </cell>
          <cell r="F89">
            <v>35320</v>
          </cell>
          <cell r="G89">
            <v>1145110</v>
          </cell>
          <cell r="H89">
            <v>1265480</v>
          </cell>
          <cell r="I89">
            <v>1386900</v>
          </cell>
          <cell r="J89">
            <v>1465690</v>
          </cell>
          <cell r="K89">
            <v>1445520</v>
          </cell>
          <cell r="L89">
            <v>1161060</v>
          </cell>
          <cell r="M89">
            <v>1327914</v>
          </cell>
          <cell r="N89">
            <v>350160</v>
          </cell>
          <cell r="O89">
            <v>704560</v>
          </cell>
          <cell r="P89">
            <v>100000</v>
          </cell>
          <cell r="Q89">
            <v>352280</v>
          </cell>
          <cell r="R89">
            <v>1056840</v>
          </cell>
          <cell r="S89">
            <v>2563840</v>
          </cell>
          <cell r="T89">
            <v>427660</v>
          </cell>
          <cell r="U89">
            <v>865763</v>
          </cell>
        </row>
        <row r="90">
          <cell r="B90" t="str">
            <v>마찰소계</v>
          </cell>
          <cell r="G90">
            <v>42404740</v>
          </cell>
          <cell r="H90">
            <v>42986330</v>
          </cell>
          <cell r="I90">
            <v>47188580</v>
          </cell>
          <cell r="J90">
            <v>50368240</v>
          </cell>
          <cell r="K90">
            <v>50845880</v>
          </cell>
          <cell r="L90">
            <v>47858530</v>
          </cell>
          <cell r="M90">
            <v>48630205</v>
          </cell>
          <cell r="N90">
            <v>11270240</v>
          </cell>
          <cell r="O90">
            <v>22782030</v>
          </cell>
          <cell r="P90">
            <v>3500000</v>
          </cell>
          <cell r="Q90">
            <v>12297910</v>
          </cell>
          <cell r="R90">
            <v>39502650</v>
          </cell>
          <cell r="S90">
            <v>89352830</v>
          </cell>
          <cell r="T90">
            <v>14380875.833333332</v>
          </cell>
          <cell r="U90">
            <v>25473773</v>
          </cell>
        </row>
        <row r="91">
          <cell r="A91" t="str">
            <v>공통</v>
          </cell>
          <cell r="B91" t="str">
            <v>품질관리팀</v>
          </cell>
          <cell r="C91" t="str">
            <v>SACM0033</v>
          </cell>
          <cell r="D91" t="str">
            <v>조장</v>
          </cell>
          <cell r="E91" t="str">
            <v>김연웅</v>
          </cell>
          <cell r="F91">
            <v>33786</v>
          </cell>
          <cell r="G91">
            <v>1096210</v>
          </cell>
          <cell r="H91">
            <v>1099630</v>
          </cell>
          <cell r="I91">
            <v>1086780</v>
          </cell>
          <cell r="J91">
            <v>1050770</v>
          </cell>
          <cell r="K91">
            <v>1037590</v>
          </cell>
          <cell r="L91">
            <v>1119520</v>
          </cell>
          <cell r="M91">
            <v>1046048</v>
          </cell>
          <cell r="N91">
            <v>424530</v>
          </cell>
          <cell r="O91">
            <v>849060</v>
          </cell>
          <cell r="P91">
            <v>100000</v>
          </cell>
          <cell r="Q91">
            <v>424530</v>
          </cell>
          <cell r="R91">
            <v>1273590</v>
          </cell>
          <cell r="S91">
            <v>3071710</v>
          </cell>
          <cell r="T91">
            <v>511951.66666666663</v>
          </cell>
          <cell r="U91">
            <v>768329</v>
          </cell>
        </row>
        <row r="92">
          <cell r="B92" t="str">
            <v>품질관리팀</v>
          </cell>
          <cell r="C92" t="str">
            <v>SACM0089</v>
          </cell>
          <cell r="D92" t="str">
            <v>조장</v>
          </cell>
          <cell r="E92" t="str">
            <v>이상영</v>
          </cell>
          <cell r="F92">
            <v>33900</v>
          </cell>
          <cell r="G92">
            <v>1397340</v>
          </cell>
          <cell r="H92">
            <v>1384080</v>
          </cell>
          <cell r="I92">
            <v>1485120</v>
          </cell>
          <cell r="J92">
            <v>1586400</v>
          </cell>
          <cell r="K92">
            <v>1551960</v>
          </cell>
          <cell r="L92">
            <v>1459760</v>
          </cell>
          <cell r="M92">
            <v>1499387</v>
          </cell>
          <cell r="N92">
            <v>471020</v>
          </cell>
          <cell r="O92">
            <v>942030</v>
          </cell>
          <cell r="P92">
            <v>100000</v>
          </cell>
          <cell r="Q92">
            <v>474740</v>
          </cell>
          <cell r="R92">
            <v>1424210</v>
          </cell>
          <cell r="S92">
            <v>3412000</v>
          </cell>
          <cell r="T92">
            <v>566184.16666666663</v>
          </cell>
          <cell r="U92">
            <v>1018638</v>
          </cell>
        </row>
        <row r="93">
          <cell r="B93" t="str">
            <v>품질관리팀</v>
          </cell>
          <cell r="C93" t="str">
            <v>SACM0121</v>
          </cell>
          <cell r="D93" t="str">
            <v>반장보</v>
          </cell>
          <cell r="E93" t="str">
            <v>박성환#</v>
          </cell>
          <cell r="F93">
            <v>32378</v>
          </cell>
          <cell r="G93">
            <v>1817540</v>
          </cell>
          <cell r="H93">
            <v>1595500</v>
          </cell>
          <cell r="I93">
            <v>1884230</v>
          </cell>
          <cell r="J93">
            <v>1894550</v>
          </cell>
          <cell r="K93">
            <v>1777110</v>
          </cell>
          <cell r="L93">
            <v>1732800</v>
          </cell>
          <cell r="M93">
            <v>1762324</v>
          </cell>
          <cell r="N93">
            <v>535830</v>
          </cell>
          <cell r="O93">
            <v>1071660</v>
          </cell>
          <cell r="P93">
            <v>100000</v>
          </cell>
          <cell r="Q93">
            <v>535830</v>
          </cell>
          <cell r="R93">
            <v>1607490</v>
          </cell>
          <cell r="S93">
            <v>3850810</v>
          </cell>
          <cell r="T93">
            <v>641801.66666666674</v>
          </cell>
          <cell r="U93">
            <v>1185596</v>
          </cell>
        </row>
        <row r="94">
          <cell r="B94" t="str">
            <v>품질관리팀</v>
          </cell>
          <cell r="C94" t="str">
            <v>SACM0128</v>
          </cell>
          <cell r="D94" t="str">
            <v>조장</v>
          </cell>
          <cell r="E94" t="str">
            <v>임진수</v>
          </cell>
          <cell r="F94">
            <v>31661</v>
          </cell>
          <cell r="G94">
            <v>1501790</v>
          </cell>
          <cell r="H94">
            <v>1468610</v>
          </cell>
          <cell r="I94">
            <v>1532230</v>
          </cell>
          <cell r="J94">
            <v>1631760</v>
          </cell>
          <cell r="K94">
            <v>1655790</v>
          </cell>
          <cell r="L94">
            <v>1614340</v>
          </cell>
          <cell r="M94">
            <v>1598442</v>
          </cell>
          <cell r="N94">
            <v>535560</v>
          </cell>
          <cell r="O94">
            <v>1071130</v>
          </cell>
          <cell r="P94">
            <v>100000</v>
          </cell>
          <cell r="Q94">
            <v>535560</v>
          </cell>
          <cell r="R94">
            <v>1606690</v>
          </cell>
          <cell r="S94">
            <v>3848940</v>
          </cell>
          <cell r="T94">
            <v>641492.5</v>
          </cell>
          <cell r="U94">
            <v>1104625</v>
          </cell>
        </row>
        <row r="95">
          <cell r="B95" t="str">
            <v>품질관리팀</v>
          </cell>
          <cell r="C95" t="str">
            <v>SACM0143</v>
          </cell>
          <cell r="D95" t="str">
            <v>조원</v>
          </cell>
          <cell r="E95" t="str">
            <v>김근덕</v>
          </cell>
          <cell r="F95">
            <v>34099</v>
          </cell>
          <cell r="G95">
            <v>1571590</v>
          </cell>
          <cell r="H95">
            <v>1384640</v>
          </cell>
          <cell r="I95">
            <v>1471930</v>
          </cell>
          <cell r="J95">
            <v>1581850</v>
          </cell>
          <cell r="K95">
            <v>1644770</v>
          </cell>
          <cell r="L95">
            <v>1546750</v>
          </cell>
          <cell r="M95">
            <v>1556534</v>
          </cell>
          <cell r="N95">
            <v>391060</v>
          </cell>
          <cell r="O95">
            <v>782130</v>
          </cell>
          <cell r="P95">
            <v>100000</v>
          </cell>
          <cell r="Q95">
            <v>391060</v>
          </cell>
          <cell r="R95">
            <v>1173190</v>
          </cell>
          <cell r="S95">
            <v>2837440</v>
          </cell>
          <cell r="T95">
            <v>472909.16666666669</v>
          </cell>
          <cell r="U95">
            <v>1000821</v>
          </cell>
        </row>
        <row r="96">
          <cell r="B96" t="str">
            <v>품질관리팀</v>
          </cell>
          <cell r="C96" t="str">
            <v>SACM0160</v>
          </cell>
          <cell r="D96" t="str">
            <v>조원</v>
          </cell>
          <cell r="E96" t="str">
            <v>이종홍</v>
          </cell>
          <cell r="F96">
            <v>34213</v>
          </cell>
          <cell r="G96">
            <v>1152170</v>
          </cell>
          <cell r="H96">
            <v>920240</v>
          </cell>
          <cell r="I96">
            <v>1094470</v>
          </cell>
          <cell r="J96">
            <v>1066780</v>
          </cell>
          <cell r="K96">
            <v>992670</v>
          </cell>
          <cell r="L96">
            <v>1015690</v>
          </cell>
          <cell r="M96">
            <v>1002763</v>
          </cell>
          <cell r="N96">
            <v>387080</v>
          </cell>
          <cell r="O96">
            <v>774160</v>
          </cell>
          <cell r="P96">
            <v>100000</v>
          </cell>
          <cell r="Q96">
            <v>387080</v>
          </cell>
          <cell r="R96">
            <v>1161240</v>
          </cell>
          <cell r="S96">
            <v>2809560</v>
          </cell>
          <cell r="T96">
            <v>468260</v>
          </cell>
          <cell r="U96">
            <v>725436</v>
          </cell>
        </row>
        <row r="97">
          <cell r="B97" t="str">
            <v>품질관리팀</v>
          </cell>
          <cell r="C97" t="str">
            <v>SACM0169</v>
          </cell>
          <cell r="D97" t="str">
            <v>조원</v>
          </cell>
          <cell r="E97" t="str">
            <v>정광수</v>
          </cell>
          <cell r="F97">
            <v>34267</v>
          </cell>
          <cell r="G97">
            <v>1091330</v>
          </cell>
          <cell r="H97">
            <v>1083810</v>
          </cell>
          <cell r="I97">
            <v>1194290</v>
          </cell>
          <cell r="J97">
            <v>1099450</v>
          </cell>
          <cell r="K97">
            <v>1099930</v>
          </cell>
          <cell r="L97">
            <v>1064780</v>
          </cell>
          <cell r="M97">
            <v>1064400</v>
          </cell>
          <cell r="N97">
            <v>390270</v>
          </cell>
          <cell r="O97">
            <v>780530</v>
          </cell>
          <cell r="P97">
            <v>100000</v>
          </cell>
          <cell r="Q97">
            <v>390270</v>
          </cell>
          <cell r="R97">
            <v>1170800</v>
          </cell>
          <cell r="S97">
            <v>2831870</v>
          </cell>
          <cell r="T97">
            <v>471975.83333333331</v>
          </cell>
          <cell r="U97">
            <v>757665</v>
          </cell>
        </row>
        <row r="98">
          <cell r="B98" t="str">
            <v>품질관리팀</v>
          </cell>
          <cell r="C98" t="str">
            <v>SACM0277</v>
          </cell>
          <cell r="D98" t="str">
            <v>조원</v>
          </cell>
          <cell r="E98" t="str">
            <v>김진수</v>
          </cell>
          <cell r="F98">
            <v>35646</v>
          </cell>
          <cell r="G98">
            <v>1080460</v>
          </cell>
          <cell r="H98">
            <v>1185000</v>
          </cell>
          <cell r="I98">
            <v>1282740</v>
          </cell>
          <cell r="J98">
            <v>1353720</v>
          </cell>
          <cell r="K98">
            <v>1210540</v>
          </cell>
          <cell r="L98">
            <v>1218630</v>
          </cell>
          <cell r="M98">
            <v>1233551</v>
          </cell>
          <cell r="N98">
            <v>339800</v>
          </cell>
          <cell r="O98">
            <v>679590</v>
          </cell>
          <cell r="P98">
            <v>100000</v>
          </cell>
          <cell r="Q98">
            <v>339800</v>
          </cell>
          <cell r="R98">
            <v>1019390</v>
          </cell>
          <cell r="S98">
            <v>2478580</v>
          </cell>
          <cell r="T98">
            <v>413094.16666666663</v>
          </cell>
          <cell r="U98">
            <v>812044</v>
          </cell>
        </row>
        <row r="99">
          <cell r="B99" t="str">
            <v>품질관리팀</v>
          </cell>
          <cell r="C99" t="str">
            <v>SACM0278</v>
          </cell>
          <cell r="D99" t="str">
            <v>조원</v>
          </cell>
          <cell r="E99" t="str">
            <v>조병문</v>
          </cell>
          <cell r="F99">
            <v>35646</v>
          </cell>
          <cell r="G99">
            <v>1002800</v>
          </cell>
          <cell r="H99">
            <v>1023980</v>
          </cell>
          <cell r="I99">
            <v>1023150</v>
          </cell>
          <cell r="J99">
            <v>1088830</v>
          </cell>
          <cell r="K99">
            <v>1020330</v>
          </cell>
          <cell r="L99">
            <v>956900</v>
          </cell>
          <cell r="M99">
            <v>999802</v>
          </cell>
          <cell r="N99">
            <v>339800</v>
          </cell>
          <cell r="O99">
            <v>679590</v>
          </cell>
          <cell r="P99">
            <v>100000</v>
          </cell>
          <cell r="Q99">
            <v>339800</v>
          </cell>
          <cell r="R99">
            <v>1019390</v>
          </cell>
          <cell r="S99">
            <v>2478580</v>
          </cell>
          <cell r="T99">
            <v>413094.16666666663</v>
          </cell>
          <cell r="U99">
            <v>696771</v>
          </cell>
        </row>
        <row r="100">
          <cell r="B100" t="str">
            <v>품질관리팀</v>
          </cell>
          <cell r="C100" t="str">
            <v>SACM0286</v>
          </cell>
          <cell r="D100" t="str">
            <v>조원</v>
          </cell>
          <cell r="E100" t="str">
            <v>정장수</v>
          </cell>
          <cell r="F100">
            <v>35997</v>
          </cell>
          <cell r="G100">
            <v>782430</v>
          </cell>
          <cell r="H100">
            <v>785890</v>
          </cell>
          <cell r="I100">
            <v>936250</v>
          </cell>
          <cell r="J100">
            <v>911520</v>
          </cell>
          <cell r="K100">
            <v>841720</v>
          </cell>
          <cell r="L100">
            <v>855470</v>
          </cell>
          <cell r="M100">
            <v>850666</v>
          </cell>
          <cell r="N100">
            <v>333420</v>
          </cell>
          <cell r="O100">
            <v>666840</v>
          </cell>
          <cell r="P100">
            <v>100000</v>
          </cell>
          <cell r="Q100">
            <v>333420</v>
          </cell>
          <cell r="R100">
            <v>1000260</v>
          </cell>
          <cell r="S100">
            <v>2433940</v>
          </cell>
          <cell r="T100">
            <v>405656.66666666669</v>
          </cell>
          <cell r="U100">
            <v>619556</v>
          </cell>
        </row>
        <row r="101">
          <cell r="B101" t="str">
            <v>생산관리팀</v>
          </cell>
          <cell r="C101" t="str">
            <v>SACM0111</v>
          </cell>
          <cell r="D101" t="str">
            <v>반장보</v>
          </cell>
          <cell r="E101" t="str">
            <v>조광석</v>
          </cell>
          <cell r="F101">
            <v>30508</v>
          </cell>
          <cell r="G101">
            <v>1855640</v>
          </cell>
          <cell r="H101">
            <v>1724140</v>
          </cell>
          <cell r="I101">
            <v>1978150</v>
          </cell>
          <cell r="J101">
            <v>1810710</v>
          </cell>
          <cell r="K101">
            <v>1627120</v>
          </cell>
          <cell r="L101">
            <v>1728590</v>
          </cell>
          <cell r="M101">
            <v>1684702</v>
          </cell>
          <cell r="N101">
            <v>560270</v>
          </cell>
          <cell r="O101">
            <v>1120530</v>
          </cell>
          <cell r="P101">
            <v>100000</v>
          </cell>
          <cell r="Q101">
            <v>560270</v>
          </cell>
          <cell r="R101">
            <v>1680800</v>
          </cell>
          <cell r="S101">
            <v>4021870</v>
          </cell>
          <cell r="T101">
            <v>670309.16666666674</v>
          </cell>
          <cell r="U101">
            <v>1161375</v>
          </cell>
        </row>
        <row r="102">
          <cell r="B102" t="str">
            <v>생산관리팀</v>
          </cell>
          <cell r="C102" t="str">
            <v>SACM0141</v>
          </cell>
          <cell r="D102" t="str">
            <v>반장</v>
          </cell>
          <cell r="E102" t="str">
            <v>장대성</v>
          </cell>
          <cell r="F102">
            <v>31878</v>
          </cell>
          <cell r="G102">
            <v>2096640</v>
          </cell>
          <cell r="H102">
            <v>1714170</v>
          </cell>
          <cell r="I102">
            <v>1822550</v>
          </cell>
          <cell r="J102">
            <v>1719070</v>
          </cell>
          <cell r="K102">
            <v>1585490</v>
          </cell>
          <cell r="L102">
            <v>1555810</v>
          </cell>
          <cell r="M102">
            <v>1584903</v>
          </cell>
          <cell r="N102">
            <v>555220</v>
          </cell>
          <cell r="O102">
            <v>1110440</v>
          </cell>
          <cell r="P102">
            <v>100000</v>
          </cell>
          <cell r="Q102">
            <v>555220</v>
          </cell>
          <cell r="R102">
            <v>1665660</v>
          </cell>
          <cell r="S102">
            <v>3986540</v>
          </cell>
          <cell r="T102">
            <v>664423.33333333337</v>
          </cell>
          <cell r="U102">
            <v>1109257</v>
          </cell>
        </row>
        <row r="103">
          <cell r="B103" t="str">
            <v>생산관리팀</v>
          </cell>
          <cell r="C103" t="str">
            <v>SACM0161</v>
          </cell>
          <cell r="D103" t="str">
            <v>조원</v>
          </cell>
          <cell r="E103" t="str">
            <v>도성록</v>
          </cell>
          <cell r="F103">
            <v>34218</v>
          </cell>
          <cell r="G103">
            <v>1314820</v>
          </cell>
          <cell r="H103">
            <v>1024430</v>
          </cell>
          <cell r="I103">
            <v>1207050</v>
          </cell>
          <cell r="J103">
            <v>1107760</v>
          </cell>
          <cell r="K103">
            <v>1076470</v>
          </cell>
          <cell r="L103">
            <v>1211380</v>
          </cell>
          <cell r="M103">
            <v>1107264</v>
          </cell>
          <cell r="N103">
            <v>392660</v>
          </cell>
          <cell r="O103">
            <v>785310</v>
          </cell>
          <cell r="P103">
            <v>100000</v>
          </cell>
          <cell r="Q103">
            <v>392660</v>
          </cell>
          <cell r="R103">
            <v>1177970</v>
          </cell>
          <cell r="S103">
            <v>2848600</v>
          </cell>
          <cell r="T103">
            <v>474764.16666666669</v>
          </cell>
          <cell r="U103">
            <v>780178</v>
          </cell>
        </row>
        <row r="104">
          <cell r="B104" t="str">
            <v>생산관리팀</v>
          </cell>
          <cell r="C104" t="str">
            <v>SACM0241</v>
          </cell>
          <cell r="D104" t="str">
            <v>조원</v>
          </cell>
          <cell r="E104" t="str">
            <v>정길수</v>
          </cell>
          <cell r="F104">
            <v>34981</v>
          </cell>
          <cell r="G104">
            <v>1189670</v>
          </cell>
          <cell r="H104">
            <v>956620</v>
          </cell>
          <cell r="I104">
            <v>973270</v>
          </cell>
          <cell r="J104">
            <v>921520</v>
          </cell>
          <cell r="K104">
            <v>903500</v>
          </cell>
          <cell r="L104">
            <v>978170</v>
          </cell>
          <cell r="M104">
            <v>914084</v>
          </cell>
          <cell r="N104">
            <v>363440</v>
          </cell>
          <cell r="O104">
            <v>726880</v>
          </cell>
          <cell r="P104">
            <v>100000</v>
          </cell>
          <cell r="Q104">
            <v>367420</v>
          </cell>
          <cell r="R104">
            <v>1102260</v>
          </cell>
          <cell r="S104">
            <v>2660000</v>
          </cell>
          <cell r="T104">
            <v>440680</v>
          </cell>
          <cell r="U104">
            <v>668103</v>
          </cell>
        </row>
        <row r="105">
          <cell r="B105" t="str">
            <v>생산관리팀</v>
          </cell>
          <cell r="C105" t="str">
            <v>SACM0280</v>
          </cell>
          <cell r="D105" t="str">
            <v>조원</v>
          </cell>
          <cell r="E105" t="str">
            <v>이기성</v>
          </cell>
          <cell r="F105">
            <v>35648</v>
          </cell>
          <cell r="G105">
            <v>1053130</v>
          </cell>
          <cell r="H105">
            <v>1020890</v>
          </cell>
          <cell r="I105">
            <v>1051270</v>
          </cell>
          <cell r="J105">
            <v>966470</v>
          </cell>
          <cell r="K105">
            <v>919680</v>
          </cell>
          <cell r="L105">
            <v>897430</v>
          </cell>
          <cell r="M105">
            <v>907689</v>
          </cell>
          <cell r="N105">
            <v>342990</v>
          </cell>
          <cell r="O105">
            <v>707220</v>
          </cell>
          <cell r="P105">
            <v>100000</v>
          </cell>
          <cell r="Q105">
            <v>353610</v>
          </cell>
          <cell r="R105">
            <v>1060830</v>
          </cell>
          <cell r="S105">
            <v>2564650</v>
          </cell>
          <cell r="T105">
            <v>429211.66666666663</v>
          </cell>
          <cell r="U105">
            <v>659293</v>
          </cell>
        </row>
        <row r="106">
          <cell r="B106" t="str">
            <v>노동조합</v>
          </cell>
          <cell r="C106" t="str">
            <v>SACM0065</v>
          </cell>
          <cell r="D106" t="str">
            <v>위원장</v>
          </cell>
          <cell r="E106" t="str">
            <v>백중형</v>
          </cell>
          <cell r="F106">
            <v>33894</v>
          </cell>
          <cell r="G106">
            <v>1246830</v>
          </cell>
          <cell r="H106">
            <v>1246830</v>
          </cell>
          <cell r="I106">
            <v>1246830</v>
          </cell>
          <cell r="J106">
            <v>1256230</v>
          </cell>
          <cell r="K106">
            <v>1256230</v>
          </cell>
          <cell r="L106">
            <v>1256230</v>
          </cell>
          <cell r="M106">
            <v>1228921</v>
          </cell>
          <cell r="N106">
            <v>484240</v>
          </cell>
          <cell r="O106">
            <v>968470</v>
          </cell>
          <cell r="P106">
            <v>100000</v>
          </cell>
          <cell r="Q106">
            <v>487950</v>
          </cell>
          <cell r="R106">
            <v>1486820</v>
          </cell>
          <cell r="S106">
            <v>3527480</v>
          </cell>
          <cell r="T106">
            <v>581607.5</v>
          </cell>
          <cell r="U106">
            <v>892863</v>
          </cell>
        </row>
        <row r="107">
          <cell r="B107" t="str">
            <v>금형치공구팀</v>
          </cell>
          <cell r="C107" t="str">
            <v>SACM0120</v>
          </cell>
          <cell r="D107" t="str">
            <v>조장</v>
          </cell>
          <cell r="E107" t="str">
            <v>김영현</v>
          </cell>
          <cell r="F107">
            <v>31943</v>
          </cell>
          <cell r="G107">
            <v>1662550</v>
          </cell>
          <cell r="H107">
            <v>1691840</v>
          </cell>
          <cell r="I107">
            <v>1619580</v>
          </cell>
          <cell r="J107">
            <v>1669520</v>
          </cell>
          <cell r="K107">
            <v>1644210</v>
          </cell>
          <cell r="L107">
            <v>1732390</v>
          </cell>
          <cell r="M107">
            <v>1645474</v>
          </cell>
          <cell r="N107">
            <v>539550</v>
          </cell>
          <cell r="O107">
            <v>1079090</v>
          </cell>
          <cell r="P107">
            <v>100000</v>
          </cell>
          <cell r="Q107">
            <v>539550</v>
          </cell>
          <cell r="R107">
            <v>1618640</v>
          </cell>
          <cell r="S107">
            <v>3876830</v>
          </cell>
          <cell r="T107">
            <v>646135.83333333326</v>
          </cell>
          <cell r="U107">
            <v>1130109</v>
          </cell>
        </row>
        <row r="108">
          <cell r="B108" t="str">
            <v>금형치공구팀</v>
          </cell>
          <cell r="C108" t="str">
            <v>SACM0144</v>
          </cell>
          <cell r="D108" t="str">
            <v>조장</v>
          </cell>
          <cell r="E108" t="str">
            <v>손기수</v>
          </cell>
          <cell r="F108">
            <v>34110</v>
          </cell>
          <cell r="G108">
            <v>1445730</v>
          </cell>
          <cell r="H108">
            <v>1546500</v>
          </cell>
          <cell r="I108">
            <v>1508380</v>
          </cell>
          <cell r="J108">
            <v>1696950</v>
          </cell>
          <cell r="K108">
            <v>1580210</v>
          </cell>
          <cell r="L108">
            <v>1671330</v>
          </cell>
          <cell r="M108">
            <v>1613638</v>
          </cell>
          <cell r="N108">
            <v>436750</v>
          </cell>
          <cell r="O108">
            <v>873500</v>
          </cell>
          <cell r="P108">
            <v>100000</v>
          </cell>
          <cell r="Q108">
            <v>436750</v>
          </cell>
          <cell r="R108">
            <v>1310250</v>
          </cell>
          <cell r="S108">
            <v>3157250</v>
          </cell>
          <cell r="T108">
            <v>526208.33333333337</v>
          </cell>
          <cell r="U108">
            <v>1055267</v>
          </cell>
        </row>
        <row r="109">
          <cell r="B109" t="str">
            <v>금형치공구팀</v>
          </cell>
          <cell r="C109" t="str">
            <v>SACM0167</v>
          </cell>
          <cell r="D109" t="str">
            <v>조장</v>
          </cell>
          <cell r="E109" t="str">
            <v>이진해</v>
          </cell>
          <cell r="F109">
            <v>34260</v>
          </cell>
          <cell r="G109">
            <v>1108420</v>
          </cell>
          <cell r="H109">
            <v>1090120</v>
          </cell>
          <cell r="I109">
            <v>1163760</v>
          </cell>
          <cell r="J109">
            <v>1318080</v>
          </cell>
          <cell r="K109">
            <v>1119740</v>
          </cell>
          <cell r="L109">
            <v>1030570</v>
          </cell>
          <cell r="M109">
            <v>1130997</v>
          </cell>
          <cell r="N109">
            <v>424800</v>
          </cell>
          <cell r="O109">
            <v>849590</v>
          </cell>
          <cell r="P109">
            <v>100000</v>
          </cell>
          <cell r="Q109">
            <v>424800</v>
          </cell>
          <cell r="R109">
            <v>1274390</v>
          </cell>
          <cell r="S109">
            <v>3073580</v>
          </cell>
          <cell r="T109">
            <v>512260.83333333326</v>
          </cell>
          <cell r="U109">
            <v>810374</v>
          </cell>
        </row>
        <row r="110">
          <cell r="B110" t="str">
            <v>금형치공구팀</v>
          </cell>
          <cell r="C110" t="str">
            <v>SACM0294</v>
          </cell>
          <cell r="D110" t="str">
            <v>조원</v>
          </cell>
          <cell r="E110" t="str">
            <v>고진호</v>
          </cell>
          <cell r="F110">
            <v>36200</v>
          </cell>
          <cell r="G110">
            <v>1043930</v>
          </cell>
          <cell r="H110">
            <v>1035330</v>
          </cell>
          <cell r="I110">
            <v>1329740</v>
          </cell>
          <cell r="J110">
            <v>1304640</v>
          </cell>
          <cell r="K110">
            <v>945720</v>
          </cell>
          <cell r="L110">
            <v>1065180</v>
          </cell>
          <cell r="M110">
            <v>1081154</v>
          </cell>
          <cell r="N110">
            <v>222370</v>
          </cell>
          <cell r="O110">
            <v>444730</v>
          </cell>
          <cell r="P110">
            <v>100000</v>
          </cell>
          <cell r="Q110">
            <v>370610</v>
          </cell>
          <cell r="R110">
            <v>1111830</v>
          </cell>
          <cell r="S110">
            <v>2249540</v>
          </cell>
          <cell r="T110">
            <v>276092.5</v>
          </cell>
          <cell r="U110">
            <v>0</v>
          </cell>
        </row>
        <row r="111">
          <cell r="B111" t="str">
            <v>금형치공구팀</v>
          </cell>
          <cell r="C111" t="str">
            <v>SACM0295</v>
          </cell>
          <cell r="D111" t="str">
            <v>조원</v>
          </cell>
          <cell r="E111" t="str">
            <v>김현승</v>
          </cell>
          <cell r="F111">
            <v>36213</v>
          </cell>
          <cell r="G111">
            <v>828330</v>
          </cell>
          <cell r="H111">
            <v>784200</v>
          </cell>
          <cell r="I111">
            <v>894820</v>
          </cell>
          <cell r="J111">
            <v>929860</v>
          </cell>
          <cell r="K111">
            <v>841360</v>
          </cell>
          <cell r="L111">
            <v>804380</v>
          </cell>
          <cell r="M111">
            <v>839870</v>
          </cell>
          <cell r="N111">
            <v>191290</v>
          </cell>
          <cell r="O111">
            <v>382580</v>
          </cell>
          <cell r="P111">
            <v>100000</v>
          </cell>
          <cell r="Q111">
            <v>318810</v>
          </cell>
          <cell r="R111">
            <v>956440</v>
          </cell>
          <cell r="S111">
            <v>1949120</v>
          </cell>
          <cell r="T111">
            <v>239838.33333333334</v>
          </cell>
          <cell r="U111">
            <v>0</v>
          </cell>
        </row>
        <row r="112">
          <cell r="B112" t="str">
            <v>금형치공구팀</v>
          </cell>
          <cell r="C112" t="str">
            <v>SACM0300</v>
          </cell>
          <cell r="D112" t="str">
            <v>조원</v>
          </cell>
          <cell r="E112" t="str">
            <v>김여환</v>
          </cell>
          <cell r="F112">
            <v>36313</v>
          </cell>
          <cell r="G112">
            <v>919830</v>
          </cell>
          <cell r="H112">
            <v>898430</v>
          </cell>
          <cell r="I112">
            <v>830640</v>
          </cell>
          <cell r="J112">
            <v>1059440</v>
          </cell>
          <cell r="K112">
            <v>1063640</v>
          </cell>
          <cell r="L112">
            <v>918830</v>
          </cell>
          <cell r="M112">
            <v>991927</v>
          </cell>
          <cell r="O112">
            <v>265460</v>
          </cell>
          <cell r="P112">
            <v>100000</v>
          </cell>
          <cell r="Q112">
            <v>211850</v>
          </cell>
          <cell r="R112">
            <v>776770</v>
          </cell>
          <cell r="S112">
            <v>1354080</v>
          </cell>
          <cell r="T112">
            <v>171518.33333333331</v>
          </cell>
          <cell r="U112">
            <v>0</v>
          </cell>
        </row>
        <row r="113">
          <cell r="B113" t="str">
            <v>금형치공구팀</v>
          </cell>
          <cell r="C113" t="str">
            <v>SACM0310</v>
          </cell>
          <cell r="D113" t="str">
            <v>조원</v>
          </cell>
          <cell r="E113" t="str">
            <v>양권모</v>
          </cell>
          <cell r="F113">
            <v>36412</v>
          </cell>
          <cell r="I113">
            <v>544160</v>
          </cell>
          <cell r="J113">
            <v>839960</v>
          </cell>
          <cell r="K113">
            <v>813770</v>
          </cell>
          <cell r="L113">
            <v>871860</v>
          </cell>
          <cell r="M113">
            <v>823562</v>
          </cell>
          <cell r="P113">
            <v>50000</v>
          </cell>
          <cell r="Q113">
            <v>119980</v>
          </cell>
          <cell r="R113">
            <v>539910</v>
          </cell>
          <cell r="S113">
            <v>709890</v>
          </cell>
          <cell r="T113">
            <v>8333.3333333333339</v>
          </cell>
          <cell r="U113">
            <v>0</v>
          </cell>
        </row>
        <row r="114">
          <cell r="B114" t="str">
            <v>공무환경팀</v>
          </cell>
          <cell r="C114" t="str">
            <v>SACM0116</v>
          </cell>
          <cell r="D114" t="str">
            <v>반장</v>
          </cell>
          <cell r="E114" t="str">
            <v>박상규</v>
          </cell>
          <cell r="F114">
            <v>31765</v>
          </cell>
          <cell r="G114">
            <v>1847650</v>
          </cell>
          <cell r="H114">
            <v>2016010</v>
          </cell>
          <cell r="I114">
            <v>2248110</v>
          </cell>
          <cell r="J114">
            <v>2050820</v>
          </cell>
          <cell r="K114">
            <v>1972550</v>
          </cell>
          <cell r="L114">
            <v>1932890</v>
          </cell>
          <cell r="M114">
            <v>1942259</v>
          </cell>
          <cell r="N114">
            <v>595060</v>
          </cell>
          <cell r="O114">
            <v>1190130</v>
          </cell>
          <cell r="P114">
            <v>100000</v>
          </cell>
          <cell r="Q114">
            <v>595060</v>
          </cell>
          <cell r="R114">
            <v>1785190</v>
          </cell>
          <cell r="S114">
            <v>4265440</v>
          </cell>
          <cell r="T114">
            <v>710909.16666666663</v>
          </cell>
          <cell r="U114">
            <v>1308412</v>
          </cell>
        </row>
        <row r="115">
          <cell r="B115" t="str">
            <v>공무환경팀</v>
          </cell>
          <cell r="C115" t="str">
            <v>SACM0131</v>
          </cell>
          <cell r="D115" t="str">
            <v>조원</v>
          </cell>
          <cell r="E115" t="str">
            <v>허봉구</v>
          </cell>
          <cell r="F115">
            <v>33989</v>
          </cell>
          <cell r="G115">
            <v>1473140</v>
          </cell>
          <cell r="H115">
            <v>1242510</v>
          </cell>
          <cell r="I115">
            <v>1543570</v>
          </cell>
          <cell r="J115">
            <v>1363110</v>
          </cell>
          <cell r="K115">
            <v>1306000</v>
          </cell>
          <cell r="L115">
            <v>1495530</v>
          </cell>
          <cell r="M115">
            <v>1358035</v>
          </cell>
          <cell r="N115">
            <v>395840</v>
          </cell>
          <cell r="O115">
            <v>791690</v>
          </cell>
          <cell r="P115">
            <v>100000</v>
          </cell>
          <cell r="Q115">
            <v>395840</v>
          </cell>
          <cell r="R115">
            <v>1187530</v>
          </cell>
          <cell r="S115">
            <v>2870900</v>
          </cell>
          <cell r="T115">
            <v>478485.83333333331</v>
          </cell>
          <cell r="U115">
            <v>905682</v>
          </cell>
        </row>
        <row r="116">
          <cell r="B116" t="str">
            <v>공무환경팀</v>
          </cell>
          <cell r="C116" t="str">
            <v>SACM0142</v>
          </cell>
          <cell r="D116" t="str">
            <v>반장보</v>
          </cell>
          <cell r="E116" t="str">
            <v>신관범</v>
          </cell>
          <cell r="F116">
            <v>34095</v>
          </cell>
          <cell r="G116">
            <v>1787380</v>
          </cell>
          <cell r="H116">
            <v>1879060</v>
          </cell>
          <cell r="I116">
            <v>1937230</v>
          </cell>
          <cell r="J116">
            <v>1866170</v>
          </cell>
          <cell r="K116">
            <v>1782610</v>
          </cell>
          <cell r="L116">
            <v>1747360</v>
          </cell>
          <cell r="M116">
            <v>1759611</v>
          </cell>
          <cell r="N116">
            <v>515910</v>
          </cell>
          <cell r="O116">
            <v>1074310</v>
          </cell>
          <cell r="P116">
            <v>100000</v>
          </cell>
          <cell r="Q116">
            <v>537160</v>
          </cell>
          <cell r="R116">
            <v>1611470</v>
          </cell>
          <cell r="S116">
            <v>3838850</v>
          </cell>
          <cell r="T116">
            <v>643347.5</v>
          </cell>
          <cell r="U116">
            <v>1185021</v>
          </cell>
        </row>
        <row r="117">
          <cell r="B117" t="str">
            <v>공무환경팀</v>
          </cell>
          <cell r="C117" t="str">
            <v>SACM0164</v>
          </cell>
          <cell r="D117" t="str">
            <v>조원</v>
          </cell>
          <cell r="E117" t="str">
            <v>장재성</v>
          </cell>
          <cell r="F117">
            <v>34229</v>
          </cell>
          <cell r="G117">
            <v>1020840</v>
          </cell>
          <cell r="H117">
            <v>976160</v>
          </cell>
          <cell r="I117">
            <v>1205740</v>
          </cell>
          <cell r="J117">
            <v>1124860</v>
          </cell>
          <cell r="K117">
            <v>1164270</v>
          </cell>
          <cell r="L117">
            <v>916250</v>
          </cell>
          <cell r="M117">
            <v>1045233</v>
          </cell>
          <cell r="N117">
            <v>396640</v>
          </cell>
          <cell r="O117">
            <v>793280</v>
          </cell>
          <cell r="P117">
            <v>100000</v>
          </cell>
          <cell r="Q117">
            <v>396640</v>
          </cell>
          <cell r="R117">
            <v>1189920</v>
          </cell>
          <cell r="S117">
            <v>2876480</v>
          </cell>
          <cell r="T117">
            <v>479413.33333333337</v>
          </cell>
          <cell r="U117">
            <v>751880</v>
          </cell>
        </row>
        <row r="118">
          <cell r="B118" t="str">
            <v>공무환경팀</v>
          </cell>
          <cell r="C118" t="str">
            <v>SACM0166</v>
          </cell>
          <cell r="D118" t="str">
            <v>조원</v>
          </cell>
          <cell r="E118" t="str">
            <v>정하준</v>
          </cell>
          <cell r="F118">
            <v>34229</v>
          </cell>
          <cell r="G118">
            <v>899840</v>
          </cell>
          <cell r="H118">
            <v>837930</v>
          </cell>
          <cell r="I118">
            <v>919560</v>
          </cell>
          <cell r="J118">
            <v>1187050</v>
          </cell>
          <cell r="K118">
            <v>1177430</v>
          </cell>
          <cell r="L118">
            <v>1069500</v>
          </cell>
          <cell r="M118">
            <v>1119776</v>
          </cell>
          <cell r="N118">
            <v>390270</v>
          </cell>
          <cell r="O118">
            <v>780530</v>
          </cell>
          <cell r="P118">
            <v>100000</v>
          </cell>
          <cell r="Q118">
            <v>390270</v>
          </cell>
          <cell r="R118">
            <v>1170800</v>
          </cell>
          <cell r="S118">
            <v>2831870</v>
          </cell>
          <cell r="T118">
            <v>471975.83333333331</v>
          </cell>
          <cell r="U118">
            <v>784974</v>
          </cell>
        </row>
        <row r="119">
          <cell r="B119" t="str">
            <v>공무환경팀</v>
          </cell>
          <cell r="C119" t="str">
            <v>SACM0187</v>
          </cell>
          <cell r="D119" t="str">
            <v>조장</v>
          </cell>
          <cell r="E119" t="str">
            <v>이형철</v>
          </cell>
          <cell r="F119">
            <v>34449</v>
          </cell>
          <cell r="G119">
            <v>1343880</v>
          </cell>
          <cell r="H119">
            <v>1445400</v>
          </cell>
          <cell r="I119">
            <v>1441320</v>
          </cell>
          <cell r="J119">
            <v>1377370</v>
          </cell>
          <cell r="K119">
            <v>1179800</v>
          </cell>
          <cell r="L119">
            <v>1306060</v>
          </cell>
          <cell r="M119">
            <v>1259749</v>
          </cell>
          <cell r="N119">
            <v>400090</v>
          </cell>
          <cell r="O119">
            <v>800190</v>
          </cell>
          <cell r="P119">
            <v>100000</v>
          </cell>
          <cell r="Q119">
            <v>400090</v>
          </cell>
          <cell r="R119">
            <v>1200280</v>
          </cell>
          <cell r="S119">
            <v>2900650</v>
          </cell>
          <cell r="T119">
            <v>483444.16666666663</v>
          </cell>
          <cell r="U119">
            <v>859657</v>
          </cell>
        </row>
        <row r="120">
          <cell r="B120" t="str">
            <v>공무환경팀</v>
          </cell>
          <cell r="C120" t="str">
            <v>SACM0239</v>
          </cell>
          <cell r="D120" t="str">
            <v>조원</v>
          </cell>
          <cell r="E120" t="str">
            <v>김민규</v>
          </cell>
          <cell r="F120">
            <v>34986</v>
          </cell>
          <cell r="G120">
            <v>1374033</v>
          </cell>
          <cell r="H120">
            <v>1374033</v>
          </cell>
          <cell r="I120">
            <v>1374033</v>
          </cell>
          <cell r="J120">
            <v>1374033</v>
          </cell>
          <cell r="K120">
            <v>1374033</v>
          </cell>
          <cell r="L120">
            <v>1374033</v>
          </cell>
          <cell r="M120">
            <v>1374033</v>
          </cell>
          <cell r="O120" t="str">
            <v>휴      직      자       1년  평균상여(98.7-99.6)</v>
          </cell>
          <cell r="S120">
            <v>0</v>
          </cell>
          <cell r="T120">
            <v>438231</v>
          </cell>
          <cell r="U120">
            <v>893719</v>
          </cell>
        </row>
        <row r="121">
          <cell r="B121" t="str">
            <v>공무환경팀</v>
          </cell>
          <cell r="C121" t="str">
            <v>SACM0270</v>
          </cell>
          <cell r="D121" t="str">
            <v>조원</v>
          </cell>
          <cell r="E121" t="str">
            <v>김경래</v>
          </cell>
          <cell r="F121">
            <v>35205</v>
          </cell>
          <cell r="G121">
            <v>1327390</v>
          </cell>
          <cell r="H121">
            <v>1029520</v>
          </cell>
          <cell r="I121">
            <v>957520</v>
          </cell>
          <cell r="J121">
            <v>1490390</v>
          </cell>
          <cell r="K121">
            <v>1281390</v>
          </cell>
          <cell r="L121">
            <v>1298120</v>
          </cell>
          <cell r="M121">
            <v>1327141</v>
          </cell>
          <cell r="N121">
            <v>381770</v>
          </cell>
          <cell r="O121">
            <v>784780</v>
          </cell>
          <cell r="P121">
            <v>100000</v>
          </cell>
          <cell r="Q121">
            <v>392390</v>
          </cell>
          <cell r="R121">
            <v>1177170</v>
          </cell>
          <cell r="S121">
            <v>2836110</v>
          </cell>
          <cell r="T121">
            <v>474455</v>
          </cell>
          <cell r="U121">
            <v>888458</v>
          </cell>
        </row>
        <row r="122">
          <cell r="B122" t="str">
            <v>공무환경팀</v>
          </cell>
          <cell r="C122" t="str">
            <v>SACM0272</v>
          </cell>
          <cell r="D122" t="str">
            <v>조원</v>
          </cell>
          <cell r="E122" t="str">
            <v>김윤태#</v>
          </cell>
          <cell r="F122">
            <v>35303</v>
          </cell>
          <cell r="G122">
            <v>1590370</v>
          </cell>
          <cell r="H122">
            <v>1584140</v>
          </cell>
          <cell r="I122">
            <v>1803280</v>
          </cell>
          <cell r="J122">
            <v>1297690</v>
          </cell>
          <cell r="K122">
            <v>1351210</v>
          </cell>
          <cell r="L122">
            <v>1507390</v>
          </cell>
          <cell r="M122">
            <v>1355312</v>
          </cell>
          <cell r="N122">
            <v>353080</v>
          </cell>
          <cell r="O122">
            <v>706160</v>
          </cell>
          <cell r="P122">
            <v>100000</v>
          </cell>
          <cell r="Q122">
            <v>353080</v>
          </cell>
          <cell r="R122">
            <v>1059240</v>
          </cell>
          <cell r="S122">
            <v>2571560</v>
          </cell>
          <cell r="T122">
            <v>428593.33333333337</v>
          </cell>
          <cell r="U122">
            <v>879734</v>
          </cell>
        </row>
        <row r="123">
          <cell r="B123" t="str">
            <v>공무환경팀</v>
          </cell>
          <cell r="C123" t="str">
            <v>SACM0273</v>
          </cell>
          <cell r="D123" t="str">
            <v>조원</v>
          </cell>
          <cell r="E123" t="str">
            <v>김영동</v>
          </cell>
          <cell r="F123">
            <v>35317</v>
          </cell>
          <cell r="G123">
            <v>1322380</v>
          </cell>
          <cell r="H123">
            <v>1504800</v>
          </cell>
          <cell r="I123">
            <v>1872270</v>
          </cell>
          <cell r="J123">
            <v>1161710</v>
          </cell>
          <cell r="K123">
            <v>1018020</v>
          </cell>
          <cell r="L123">
            <v>941450</v>
          </cell>
          <cell r="M123">
            <v>1017776</v>
          </cell>
          <cell r="N123">
            <v>368490</v>
          </cell>
          <cell r="O123">
            <v>741220</v>
          </cell>
          <cell r="P123">
            <v>100000</v>
          </cell>
          <cell r="Q123">
            <v>370610</v>
          </cell>
          <cell r="R123">
            <v>1111830</v>
          </cell>
          <cell r="S123">
            <v>2692150</v>
          </cell>
          <cell r="T123">
            <v>449045</v>
          </cell>
          <cell r="U123">
            <v>723364</v>
          </cell>
        </row>
        <row r="124">
          <cell r="B124" t="str">
            <v>공무환경팀</v>
          </cell>
          <cell r="C124" t="str">
            <v>SACM0287</v>
          </cell>
          <cell r="D124" t="str">
            <v>조원</v>
          </cell>
          <cell r="E124" t="str">
            <v>조성배</v>
          </cell>
          <cell r="F124">
            <v>36069</v>
          </cell>
          <cell r="G124">
            <v>1104250</v>
          </cell>
          <cell r="H124">
            <v>1214630</v>
          </cell>
          <cell r="I124">
            <v>891930</v>
          </cell>
          <cell r="J124">
            <v>1225260</v>
          </cell>
          <cell r="K124">
            <v>1263140</v>
          </cell>
          <cell r="L124">
            <v>1247400</v>
          </cell>
          <cell r="M124">
            <v>1218196</v>
          </cell>
          <cell r="N124">
            <v>321200</v>
          </cell>
          <cell r="O124">
            <v>663660</v>
          </cell>
          <cell r="P124">
            <v>100000</v>
          </cell>
          <cell r="Q124">
            <v>344050</v>
          </cell>
          <cell r="R124">
            <v>1032140</v>
          </cell>
          <cell r="S124">
            <v>2461050</v>
          </cell>
          <cell r="T124">
            <v>403801.66666666663</v>
          </cell>
          <cell r="U124">
            <v>799889</v>
          </cell>
        </row>
        <row r="125">
          <cell r="B125" t="str">
            <v>공무환경팀</v>
          </cell>
          <cell r="C125" t="str">
            <v>SACM0308</v>
          </cell>
          <cell r="D125" t="str">
            <v>조원</v>
          </cell>
          <cell r="E125" t="str">
            <v>윤재준</v>
          </cell>
          <cell r="F125">
            <v>36388</v>
          </cell>
          <cell r="H125">
            <v>501230</v>
          </cell>
          <cell r="I125">
            <v>946540</v>
          </cell>
          <cell r="J125">
            <v>1120720</v>
          </cell>
          <cell r="K125">
            <v>933530</v>
          </cell>
          <cell r="L125">
            <v>1191170</v>
          </cell>
          <cell r="M125">
            <v>1058289</v>
          </cell>
          <cell r="P125">
            <v>50000</v>
          </cell>
          <cell r="Q125">
            <v>138040</v>
          </cell>
          <cell r="R125">
            <v>621200</v>
          </cell>
          <cell r="S125">
            <v>809240</v>
          </cell>
          <cell r="T125">
            <v>8333.3333333333339</v>
          </cell>
          <cell r="U125">
            <v>0</v>
          </cell>
        </row>
        <row r="126">
          <cell r="B126" t="str">
            <v>공무환경팀</v>
          </cell>
          <cell r="C126" t="str">
            <v>SACM0312</v>
          </cell>
          <cell r="D126" t="str">
            <v>조원</v>
          </cell>
          <cell r="E126" t="str">
            <v>이영찬</v>
          </cell>
          <cell r="F126">
            <v>36412</v>
          </cell>
          <cell r="I126">
            <v>668340</v>
          </cell>
          <cell r="J126">
            <v>1077290</v>
          </cell>
          <cell r="K126">
            <v>963170</v>
          </cell>
          <cell r="L126">
            <v>956880</v>
          </cell>
          <cell r="M126">
            <v>977393</v>
          </cell>
          <cell r="P126">
            <v>50000</v>
          </cell>
          <cell r="Q126">
            <v>129540</v>
          </cell>
          <cell r="R126">
            <v>582950</v>
          </cell>
          <cell r="S126">
            <v>762490</v>
          </cell>
          <cell r="T126">
            <v>8333.3333333333339</v>
          </cell>
          <cell r="U126">
            <v>0</v>
          </cell>
        </row>
        <row r="127">
          <cell r="B127" t="str">
            <v>생산공통소계</v>
          </cell>
          <cell r="G127">
            <v>43350333</v>
          </cell>
          <cell r="H127">
            <v>42270303</v>
          </cell>
          <cell r="I127">
            <v>46970833</v>
          </cell>
          <cell r="J127">
            <v>47582313</v>
          </cell>
          <cell r="K127">
            <v>44976703</v>
          </cell>
          <cell r="L127">
            <v>45290823</v>
          </cell>
          <cell r="M127">
            <v>44980905</v>
          </cell>
          <cell r="N127">
            <v>12780300</v>
          </cell>
          <cell r="O127">
            <v>25936470</v>
          </cell>
          <cell r="P127">
            <v>3350000</v>
          </cell>
          <cell r="Q127">
            <v>13734340</v>
          </cell>
          <cell r="R127">
            <v>41948540</v>
          </cell>
          <cell r="S127">
            <v>97749650</v>
          </cell>
          <cell r="T127">
            <v>16126171.83333334</v>
          </cell>
          <cell r="U127">
            <v>26937090</v>
          </cell>
        </row>
        <row r="128">
          <cell r="A128" t="str">
            <v>소결개발</v>
          </cell>
          <cell r="B128" t="str">
            <v>소결영업팀</v>
          </cell>
          <cell r="C128" t="str">
            <v>SACM0107</v>
          </cell>
          <cell r="D128" t="str">
            <v>반장</v>
          </cell>
          <cell r="E128" t="str">
            <v>모병주</v>
          </cell>
          <cell r="F128">
            <v>29999</v>
          </cell>
          <cell r="G128">
            <v>2002150</v>
          </cell>
          <cell r="H128">
            <v>1912600</v>
          </cell>
          <cell r="I128">
            <v>1846830</v>
          </cell>
          <cell r="J128">
            <v>2081830</v>
          </cell>
          <cell r="K128">
            <v>1829290</v>
          </cell>
          <cell r="L128">
            <v>1889800</v>
          </cell>
          <cell r="M128">
            <v>1891604</v>
          </cell>
          <cell r="N128">
            <v>579060</v>
          </cell>
          <cell r="O128">
            <v>1158120</v>
          </cell>
          <cell r="P128">
            <v>100000</v>
          </cell>
          <cell r="Q128">
            <v>579060</v>
          </cell>
          <cell r="R128">
            <v>1737180</v>
          </cell>
          <cell r="S128">
            <v>4153420</v>
          </cell>
          <cell r="T128">
            <v>692236.66666666663</v>
          </cell>
          <cell r="U128">
            <v>1274223</v>
          </cell>
        </row>
        <row r="129">
          <cell r="A129" t="str">
            <v>소결영업</v>
          </cell>
          <cell r="B129" t="str">
            <v>소결영업팀</v>
          </cell>
          <cell r="C129" t="str">
            <v>SACM0165</v>
          </cell>
          <cell r="D129" t="str">
            <v>조원</v>
          </cell>
          <cell r="E129" t="str">
            <v>오병수</v>
          </cell>
          <cell r="F129">
            <v>34229</v>
          </cell>
          <cell r="G129">
            <v>1027990</v>
          </cell>
          <cell r="H129">
            <v>933770</v>
          </cell>
          <cell r="I129">
            <v>899930</v>
          </cell>
          <cell r="J129">
            <v>1024790</v>
          </cell>
          <cell r="K129">
            <v>1040840</v>
          </cell>
          <cell r="L129">
            <v>976310</v>
          </cell>
          <cell r="M129">
            <v>991937</v>
          </cell>
          <cell r="N129">
            <v>384090</v>
          </cell>
          <cell r="O129">
            <v>768180</v>
          </cell>
          <cell r="P129">
            <v>100000</v>
          </cell>
          <cell r="Q129">
            <v>384090</v>
          </cell>
          <cell r="R129">
            <v>1152270</v>
          </cell>
          <cell r="S129">
            <v>2788630</v>
          </cell>
          <cell r="T129">
            <v>464771.66666666669</v>
          </cell>
          <cell r="U129">
            <v>718377</v>
          </cell>
        </row>
        <row r="130">
          <cell r="B130" t="str">
            <v>소결영업소계</v>
          </cell>
          <cell r="G130">
            <v>3030140</v>
          </cell>
          <cell r="H130">
            <v>2846370</v>
          </cell>
          <cell r="I130">
            <v>2746760</v>
          </cell>
          <cell r="J130">
            <v>3106620</v>
          </cell>
          <cell r="K130">
            <v>2870130</v>
          </cell>
          <cell r="L130">
            <v>2866110</v>
          </cell>
          <cell r="M130">
            <v>2883541</v>
          </cell>
          <cell r="N130">
            <v>963150</v>
          </cell>
          <cell r="O130">
            <v>1926300</v>
          </cell>
          <cell r="P130">
            <v>200000</v>
          </cell>
          <cell r="Q130">
            <v>963150</v>
          </cell>
          <cell r="R130">
            <v>2889450</v>
          </cell>
          <cell r="S130">
            <v>6942050</v>
          </cell>
          <cell r="T130">
            <v>1157008.3333333333</v>
          </cell>
          <cell r="U130">
            <v>1992600</v>
          </cell>
        </row>
        <row r="131">
          <cell r="A131" t="str">
            <v>마찰영업</v>
          </cell>
          <cell r="B131" t="str">
            <v>마찰영업팀</v>
          </cell>
          <cell r="C131" t="str">
            <v>SACM0153</v>
          </cell>
          <cell r="D131" t="str">
            <v>조장</v>
          </cell>
          <cell r="E131" t="str">
            <v>김태관</v>
          </cell>
          <cell r="F131">
            <v>34155</v>
          </cell>
          <cell r="G131">
            <v>1202760</v>
          </cell>
          <cell r="H131">
            <v>1357910</v>
          </cell>
          <cell r="I131">
            <v>1078180</v>
          </cell>
          <cell r="J131">
            <v>1401450</v>
          </cell>
          <cell r="K131">
            <v>1162260</v>
          </cell>
          <cell r="L131">
            <v>1255940</v>
          </cell>
          <cell r="M131">
            <v>1245538</v>
          </cell>
          <cell r="N131">
            <v>419420</v>
          </cell>
          <cell r="O131">
            <v>838840</v>
          </cell>
          <cell r="P131">
            <v>100000</v>
          </cell>
          <cell r="Q131">
            <v>419420</v>
          </cell>
          <cell r="R131">
            <v>1258260</v>
          </cell>
          <cell r="S131">
            <v>3035940</v>
          </cell>
          <cell r="T131">
            <v>505989.99999999994</v>
          </cell>
          <cell r="U131">
            <v>863767</v>
          </cell>
        </row>
        <row r="132">
          <cell r="B132" t="str">
            <v>마찰영업소계</v>
          </cell>
          <cell r="G132">
            <v>1202760</v>
          </cell>
          <cell r="H132">
            <v>1357910</v>
          </cell>
          <cell r="I132">
            <v>1078180</v>
          </cell>
          <cell r="J132">
            <v>1401450</v>
          </cell>
          <cell r="K132">
            <v>1162260</v>
          </cell>
          <cell r="L132">
            <v>1255940</v>
          </cell>
          <cell r="M132">
            <v>1245538</v>
          </cell>
          <cell r="N132">
            <v>419420</v>
          </cell>
          <cell r="O132">
            <v>838840</v>
          </cell>
          <cell r="P132">
            <v>100000</v>
          </cell>
          <cell r="Q132">
            <v>419420</v>
          </cell>
          <cell r="R132">
            <v>1258260</v>
          </cell>
          <cell r="S132">
            <v>3035940</v>
          </cell>
          <cell r="T132">
            <v>505989.99999999994</v>
          </cell>
          <cell r="U132">
            <v>863767</v>
          </cell>
        </row>
        <row r="133">
          <cell r="A133" t="str">
            <v>마찰개발</v>
          </cell>
          <cell r="B133" t="str">
            <v>마찰재개발팀</v>
          </cell>
          <cell r="C133" t="str">
            <v>SACM0002</v>
          </cell>
          <cell r="D133" t="str">
            <v>반장보</v>
          </cell>
          <cell r="E133" t="str">
            <v>임규보</v>
          </cell>
          <cell r="F133">
            <v>33336</v>
          </cell>
          <cell r="G133">
            <v>1147540</v>
          </cell>
          <cell r="H133">
            <v>1172330</v>
          </cell>
          <cell r="I133">
            <v>1377600</v>
          </cell>
          <cell r="J133">
            <v>1412140</v>
          </cell>
          <cell r="K133">
            <v>1273020</v>
          </cell>
          <cell r="L133">
            <v>1405760</v>
          </cell>
          <cell r="M133">
            <v>1333996</v>
          </cell>
          <cell r="N133">
            <v>451090</v>
          </cell>
          <cell r="O133">
            <v>902190</v>
          </cell>
          <cell r="P133">
            <v>100000</v>
          </cell>
          <cell r="Q133">
            <v>451090</v>
          </cell>
          <cell r="R133">
            <v>1353280</v>
          </cell>
          <cell r="S133">
            <v>3257650</v>
          </cell>
          <cell r="T133">
            <v>542944.16666666674</v>
          </cell>
          <cell r="U133">
            <v>925614</v>
          </cell>
        </row>
        <row r="134">
          <cell r="B134" t="str">
            <v>마찰재개발팀</v>
          </cell>
          <cell r="C134" t="str">
            <v>SACM0175</v>
          </cell>
          <cell r="D134" t="str">
            <v>조장</v>
          </cell>
          <cell r="E134" t="str">
            <v>박준경</v>
          </cell>
          <cell r="F134">
            <v>34381</v>
          </cell>
          <cell r="G134">
            <v>1063320</v>
          </cell>
          <cell r="H134">
            <v>1082100</v>
          </cell>
          <cell r="I134">
            <v>1216670</v>
          </cell>
          <cell r="J134">
            <v>1110880</v>
          </cell>
          <cell r="K134">
            <v>1047200</v>
          </cell>
          <cell r="L134">
            <v>1006380</v>
          </cell>
          <cell r="M134">
            <v>1031889</v>
          </cell>
          <cell r="N134">
            <v>401690</v>
          </cell>
          <cell r="O134">
            <v>803380</v>
          </cell>
          <cell r="P134">
            <v>100000</v>
          </cell>
          <cell r="Q134">
            <v>401690</v>
          </cell>
          <cell r="R134">
            <v>1205070</v>
          </cell>
          <cell r="S134">
            <v>2911830</v>
          </cell>
          <cell r="T134">
            <v>485305</v>
          </cell>
          <cell r="U134">
            <v>748205</v>
          </cell>
        </row>
        <row r="135">
          <cell r="B135" t="str">
            <v>마찰재개발팀</v>
          </cell>
          <cell r="C135" t="str">
            <v>SACM0199</v>
          </cell>
          <cell r="D135" t="str">
            <v>조장</v>
          </cell>
          <cell r="E135" t="str">
            <v>박  윤</v>
          </cell>
          <cell r="F135">
            <v>34582</v>
          </cell>
          <cell r="G135">
            <v>1131870</v>
          </cell>
          <cell r="H135">
            <v>1112050</v>
          </cell>
          <cell r="I135">
            <v>1080320</v>
          </cell>
          <cell r="J135">
            <v>1083440</v>
          </cell>
          <cell r="K135">
            <v>1074820</v>
          </cell>
          <cell r="L135">
            <v>1061400</v>
          </cell>
          <cell r="M135">
            <v>1049889</v>
          </cell>
          <cell r="N135">
            <v>401950</v>
          </cell>
          <cell r="O135">
            <v>811340</v>
          </cell>
          <cell r="P135">
            <v>100000</v>
          </cell>
          <cell r="Q135">
            <v>405670</v>
          </cell>
          <cell r="R135">
            <v>1217010</v>
          </cell>
          <cell r="S135">
            <v>2935970</v>
          </cell>
          <cell r="T135">
            <v>489948.33333333331</v>
          </cell>
          <cell r="U135">
            <v>759372</v>
          </cell>
        </row>
        <row r="136">
          <cell r="B136" t="str">
            <v>마찰재개발팀</v>
          </cell>
          <cell r="C136" t="str">
            <v>SACM0225</v>
          </cell>
          <cell r="D136" t="str">
            <v>조원</v>
          </cell>
          <cell r="E136" t="str">
            <v>윤재덕</v>
          </cell>
          <cell r="F136">
            <v>34827</v>
          </cell>
          <cell r="G136">
            <v>885160</v>
          </cell>
          <cell r="H136">
            <v>915320</v>
          </cell>
          <cell r="I136">
            <v>963230</v>
          </cell>
          <cell r="J136">
            <v>941340</v>
          </cell>
          <cell r="K136">
            <v>928920</v>
          </cell>
          <cell r="L136">
            <v>1051840</v>
          </cell>
          <cell r="M136">
            <v>952859</v>
          </cell>
          <cell r="N136">
            <v>360250</v>
          </cell>
          <cell r="O136">
            <v>720500</v>
          </cell>
          <cell r="P136">
            <v>100000</v>
          </cell>
          <cell r="Q136">
            <v>360250</v>
          </cell>
          <cell r="R136">
            <v>1080750</v>
          </cell>
          <cell r="S136">
            <v>2621750</v>
          </cell>
          <cell r="T136">
            <v>436958.33333333331</v>
          </cell>
          <cell r="U136">
            <v>685389</v>
          </cell>
        </row>
        <row r="137">
          <cell r="B137" t="str">
            <v>마찰재개발팀</v>
          </cell>
          <cell r="C137" t="str">
            <v>SACM0238</v>
          </cell>
          <cell r="D137" t="str">
            <v>조원</v>
          </cell>
          <cell r="E137" t="str">
            <v>변용수</v>
          </cell>
          <cell r="F137">
            <v>34918</v>
          </cell>
          <cell r="G137">
            <v>964820</v>
          </cell>
          <cell r="H137">
            <v>1087890</v>
          </cell>
          <cell r="I137">
            <v>1077940</v>
          </cell>
          <cell r="J137">
            <v>1257240</v>
          </cell>
          <cell r="K137">
            <v>1033040</v>
          </cell>
          <cell r="L137">
            <v>823580</v>
          </cell>
          <cell r="M137">
            <v>1015389</v>
          </cell>
          <cell r="N137">
            <v>363440</v>
          </cell>
          <cell r="O137">
            <v>726880</v>
          </cell>
          <cell r="P137">
            <v>100000</v>
          </cell>
          <cell r="Q137">
            <v>363440</v>
          </cell>
          <cell r="R137">
            <v>1090320</v>
          </cell>
          <cell r="S137">
            <v>2644080</v>
          </cell>
          <cell r="T137">
            <v>440680</v>
          </cell>
          <cell r="U137">
            <v>718061</v>
          </cell>
        </row>
        <row r="138">
          <cell r="B138" t="str">
            <v>마찰재개발팀</v>
          </cell>
          <cell r="C138" t="str">
            <v>SACM0297</v>
          </cell>
          <cell r="D138" t="str">
            <v>조원</v>
          </cell>
          <cell r="E138" t="str">
            <v>박학칠</v>
          </cell>
          <cell r="F138">
            <v>36292</v>
          </cell>
          <cell r="G138">
            <v>872450</v>
          </cell>
          <cell r="H138">
            <v>803350</v>
          </cell>
          <cell r="I138">
            <v>890250</v>
          </cell>
          <cell r="J138">
            <v>1090480</v>
          </cell>
          <cell r="K138">
            <v>948340</v>
          </cell>
          <cell r="L138">
            <v>960650</v>
          </cell>
          <cell r="M138">
            <v>978088</v>
          </cell>
          <cell r="N138">
            <v>129540</v>
          </cell>
          <cell r="O138">
            <v>276090</v>
          </cell>
          <cell r="P138">
            <v>100000</v>
          </cell>
          <cell r="Q138">
            <v>207070</v>
          </cell>
          <cell r="R138">
            <v>759240</v>
          </cell>
          <cell r="S138">
            <v>1471940</v>
          </cell>
          <cell r="T138">
            <v>177719.16666666669</v>
          </cell>
          <cell r="U138">
            <v>0</v>
          </cell>
        </row>
        <row r="139">
          <cell r="B139" t="str">
            <v>마찰재개발팀</v>
          </cell>
          <cell r="C139" t="str">
            <v>SACM0304</v>
          </cell>
          <cell r="D139" t="str">
            <v>조원</v>
          </cell>
          <cell r="E139" t="str">
            <v>박순태</v>
          </cell>
          <cell r="F139">
            <v>36362</v>
          </cell>
          <cell r="G139">
            <v>228580</v>
          </cell>
          <cell r="H139">
            <v>908860</v>
          </cell>
          <cell r="I139">
            <v>1113470</v>
          </cell>
          <cell r="J139">
            <v>1045460</v>
          </cell>
          <cell r="K139">
            <v>876560</v>
          </cell>
          <cell r="L139">
            <v>930380</v>
          </cell>
          <cell r="M139">
            <v>930130</v>
          </cell>
          <cell r="P139">
            <v>50000</v>
          </cell>
          <cell r="Q139">
            <v>130080</v>
          </cell>
          <cell r="R139">
            <v>585340</v>
          </cell>
          <cell r="S139">
            <v>765420</v>
          </cell>
          <cell r="T139">
            <v>8333.3333333333339</v>
          </cell>
          <cell r="U139">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sheetData sheetId="31" refreshError="1"/>
      <sheetData sheetId="32" refreshError="1"/>
    </sheetDataSet>
  </externalBook>
</externalLink>
</file>

<file path=xl/externalLinks/externalLink5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상품입고집계"/>
      <sheetName val="공통"/>
      <sheetName val="B"/>
      <sheetName val="산업은행 경영지표"/>
      <sheetName val="잉여금"/>
      <sheetName val="108.수선비"/>
      <sheetName val="현금"/>
      <sheetName val="당초"/>
      <sheetName val="집계표"/>
      <sheetName val="JOB Assign"/>
      <sheetName val="현금및현금등가물"/>
      <sheetName val="부재료입고집계"/>
      <sheetName val="2010년"/>
      <sheetName val="주beam"/>
      <sheetName val="관리1"/>
      <sheetName val="95WBS"/>
      <sheetName val="9월누계해외"/>
      <sheetName val="조회서"/>
      <sheetName val="주소"/>
      <sheetName val="건물"/>
      <sheetName val="수정시산표"/>
      <sheetName val="년말집계"/>
      <sheetName val="9-1차이내역"/>
      <sheetName val="정산표"/>
      <sheetName val="RAW9701"/>
      <sheetName val="Sheet1"/>
      <sheetName val="공정코드"/>
      <sheetName val="업무연락"/>
      <sheetName val="월별매출"/>
      <sheetName val="회사정보"/>
      <sheetName val="CC"/>
      <sheetName val="경영비율 "/>
      <sheetName val="첨1.2"/>
      <sheetName val="공통부대비"/>
      <sheetName val="#REF"/>
      <sheetName val="STAND20"/>
      <sheetName val="시험연구비상각"/>
      <sheetName val="내역"/>
      <sheetName val="1995년 섹터별 매출"/>
      <sheetName val="현금흐름표"/>
      <sheetName val="Krw"/>
      <sheetName val="2.예금"/>
      <sheetName val="95년12월말"/>
      <sheetName val="상품매출"/>
      <sheetName val="재고 "/>
      <sheetName val="유림골조"/>
      <sheetName val="실행철강하도"/>
      <sheetName val="3공장_Lot_Card"/>
      <sheetName val="LIST"/>
      <sheetName val="3.판관비명세서"/>
      <sheetName val="7.3 DY팀"/>
      <sheetName val="기타코드"/>
      <sheetName val="수입수불"/>
      <sheetName val="급여표"/>
      <sheetName val="공제"/>
      <sheetName val="24.보증금(전신전화가입권)"/>
      <sheetName val="기계기구"/>
      <sheetName val="보고"/>
      <sheetName val="TEMP2"/>
      <sheetName val="TEMP1"/>
      <sheetName val="기본"/>
      <sheetName val="XREF"/>
      <sheetName val="유효성검사"/>
      <sheetName val="세율"/>
      <sheetName val="붙임2-1  지급조서명세서(2001년분)"/>
      <sheetName val="홍원식"/>
      <sheetName val="99급여표"/>
      <sheetName val="업무분장 "/>
      <sheetName val="9609Aß"/>
      <sheetName val="출입자명단"/>
      <sheetName val="1안98Billing"/>
      <sheetName val="3_판관비명세서"/>
      <sheetName val="산업은행_경영지표"/>
      <sheetName val="108_수선비"/>
      <sheetName val="JOB_Assign"/>
      <sheetName val="재고_"/>
      <sheetName val="24_보증금(전신전화가입권)"/>
      <sheetName val="교통대책내역"/>
      <sheetName val="IDONG"/>
      <sheetName val="보험금"/>
      <sheetName val="YOEMAGUM"/>
      <sheetName val="표준대차대조표(1)"/>
      <sheetName val="매출"/>
      <sheetName val="1997"/>
      <sheetName val="송전기본"/>
      <sheetName val="#3-1 保有 有價證券 評價 及び 評價(X-23)"/>
      <sheetName val="Config"/>
      <sheetName val="work"/>
      <sheetName val="경비공통"/>
      <sheetName val="10월판관"/>
      <sheetName val="기성이력현황"/>
      <sheetName val="F3"/>
      <sheetName val="F12"/>
      <sheetName val="손익계산서"/>
      <sheetName val="지급이자"/>
      <sheetName val="외상매출금현황-수정분 A2"/>
      <sheetName val="금액집계(리포트)"/>
      <sheetName val="부서실적"/>
      <sheetName val="Eq. Mobilization"/>
      <sheetName val="98지급계획"/>
      <sheetName val="자료입력"/>
      <sheetName val="건축"/>
      <sheetName val="포장공사"/>
      <sheetName val="대차대조표-공시형"/>
      <sheetName val="채널별"/>
      <sheetName val="외화"/>
      <sheetName val="공사내역"/>
      <sheetName val="의왕F사"/>
      <sheetName val="가공사"/>
      <sheetName val="표지"/>
      <sheetName val="토목"/>
      <sheetName val="유형고정"/>
      <sheetName val="감가상각"/>
      <sheetName val="major"/>
      <sheetName val="환율"/>
      <sheetName val="CAUDIT"/>
      <sheetName val="p2-1"/>
      <sheetName val="Reckitt"/>
      <sheetName val="CJE집계"/>
      <sheetName val="항목"/>
      <sheetName val="수입비용1021"/>
      <sheetName val="현장코드"/>
      <sheetName val="대환취급"/>
      <sheetName val="108_수선비1"/>
      <sheetName val="산업은행_경영지표1"/>
      <sheetName val="JOB_Assign1"/>
      <sheetName val="재고_1"/>
      <sheetName val="붙임2-1__지급조서명세서(2001년분)"/>
      <sheetName val="경영비율_"/>
      <sheetName val="#3-1_保有_有價證券_評價_及び_評價(X-23)"/>
      <sheetName val="1995년_섹터별_매출"/>
      <sheetName val="첨1_2"/>
      <sheetName val="2_예금"/>
      <sheetName val="7_3_DY팀"/>
      <sheetName val="Eq__Mobilization"/>
      <sheetName val="재무가정"/>
      <sheetName val="상가매매0115"/>
      <sheetName val="상가임대0115"/>
      <sheetName val="인원계획-미화"/>
      <sheetName val="노무비"/>
      <sheetName val="Major Shareholder"/>
      <sheetName val="시산표"/>
      <sheetName val="분개장·원장"/>
      <sheetName val="#2 BSPL"/>
      <sheetName val="CHECK"/>
      <sheetName val="10한빛"/>
      <sheetName val="직무급테이블"/>
      <sheetName val="발생집계"/>
      <sheetName val="공사별5 "/>
      <sheetName val="입금액"/>
      <sheetName val="기초코드"/>
      <sheetName val="49평형15층이하"/>
      <sheetName val="실적분석"/>
      <sheetName val="총내용"/>
      <sheetName val="설계내역서"/>
      <sheetName val="코드"/>
      <sheetName val="보험계리보고서"/>
      <sheetName val="PIPE(UG)내역"/>
      <sheetName val="대차"/>
      <sheetName val="진천"/>
      <sheetName val="매출채권"/>
      <sheetName val="레포트"/>
      <sheetName val="당기추가완료"/>
      <sheetName val="24_보증금(전신전화가입권)1"/>
      <sheetName val="3_판관비명세서1"/>
      <sheetName val="외상매출금현황-수정분_A2"/>
      <sheetName val="공사별5_"/>
      <sheetName val="Sheet2"/>
      <sheetName val="tsuga"/>
      <sheetName val="A1"/>
      <sheetName val="부서자료"/>
      <sheetName val="업무분장_"/>
      <sheetName val="용접집계"/>
      <sheetName val="정상 출하집계"/>
      <sheetName val="#2_BSPL"/>
      <sheetName val="Major_Shareholder"/>
      <sheetName val="간접비 총괄표"/>
      <sheetName val="Summary"/>
      <sheetName val="지급자재"/>
      <sheetName val="부문별재고 (상품)"/>
      <sheetName val="2.대외공문"/>
      <sheetName val="Sheet4"/>
      <sheetName val="조명시설"/>
      <sheetName val="공통(20-91)"/>
      <sheetName val="삭제하지마세요!!"/>
      <sheetName val="지사인원사무실"/>
      <sheetName val="일위대가목차"/>
      <sheetName val="최종전사PL"/>
      <sheetName val="장기차입금"/>
      <sheetName val="A"/>
      <sheetName val="참조"/>
      <sheetName val="HWGSI"/>
      <sheetName val="생산매출 (3)"/>
      <sheetName val="생산현황"/>
      <sheetName val="수탁현황"/>
      <sheetName val="도기류"/>
      <sheetName val="data"/>
      <sheetName val="Mar"/>
      <sheetName val="분양가"/>
      <sheetName val="퇴직금"/>
      <sheetName val="내역서"/>
      <sheetName val="생산직"/>
      <sheetName val="요약BS"/>
      <sheetName val="추정손익"/>
      <sheetName val="투자총괄"/>
      <sheetName val="토공사"/>
      <sheetName val="FOOD&amp;BEVERAGE"/>
      <sheetName val="간접비_총괄표"/>
      <sheetName val="부문별재고_(상품)"/>
      <sheetName val="2_대외공문"/>
      <sheetName val="산업은행_경영지표2"/>
      <sheetName val="108_수선비2"/>
      <sheetName val="JOB_Assign2"/>
      <sheetName val="재고_2"/>
      <sheetName val="첨1_21"/>
      <sheetName val="경영비율_1"/>
      <sheetName val="2_예금1"/>
      <sheetName val="Eq__Mobilization1"/>
      <sheetName val="붙임2-1__지급조서명세서(2001년분)1"/>
      <sheetName val="간접비_총괄표1"/>
      <sheetName val="1995년_섹터별_매출1"/>
      <sheetName val="부문별재고_(상품)1"/>
      <sheetName val="2_대외공문1"/>
      <sheetName val="24_보증금(전신전화가입권)2"/>
      <sheetName val="#3-1_保有_有價證券_評價_及び_評價(X-23)1"/>
      <sheetName val="7_3_DY팀1"/>
      <sheetName val="3_판관비명세서2"/>
      <sheetName val="업무분장_1"/>
      <sheetName val="외상매출금현황-수정분_A21"/>
      <sheetName val="Major_Shareholder1"/>
      <sheetName val="#2_BSPL1"/>
      <sheetName val="공사별5_1"/>
      <sheetName val="수정용피벗"/>
      <sheetName val="업무용유지비실적"/>
      <sheetName val="賃料等一覧"/>
      <sheetName val="설-원가"/>
      <sheetName val="설치자재"/>
      <sheetName val="단중"/>
      <sheetName val="$bhp"/>
      <sheetName val="일반물자(한국통신)"/>
      <sheetName val="00'미수"/>
      <sheetName val="민감도"/>
      <sheetName val="출금실적"/>
      <sheetName val="⑤항목별1"/>
      <sheetName val="리스(CIF)산출"/>
      <sheetName val="***********************00"/>
      <sheetName val="과거실적"/>
      <sheetName val="9.1 Lease Type"/>
      <sheetName val="선비명세2"/>
      <sheetName val="받을어음"/>
      <sheetName val="98CKL"/>
      <sheetName val="수리결과"/>
      <sheetName val="미정산비용(원유)"/>
      <sheetName val="미정산비용(수입상품)"/>
      <sheetName val="원유입고집계"/>
      <sheetName val="99년하반기"/>
      <sheetName val="입찰보고"/>
      <sheetName val="정상_출하집계"/>
      <sheetName val="갑지"/>
      <sheetName val="CASH"/>
      <sheetName val="_______________________00"/>
      <sheetName val="금형비"/>
      <sheetName val="SI100600"/>
      <sheetName val="Core CPI"/>
      <sheetName val="5- 2"/>
      <sheetName val="투자효율분석"/>
      <sheetName val="설계명세서"/>
      <sheetName val="BLGR"/>
      <sheetName val="열받는소급분"/>
      <sheetName val="가. 2006년 사업계획서"/>
      <sheetName val="신구계정대사표"/>
      <sheetName val="주재원연락처"/>
      <sheetName val="대구파크쿨링타워"/>
      <sheetName val="FAB별"/>
      <sheetName val="15100"/>
      <sheetName val="빌딩코드"/>
      <sheetName val="A2"/>
      <sheetName val="안전보호구98"/>
      <sheetName val="단기차입금(200006)"/>
      <sheetName val="현장"/>
      <sheetName val="제조98"/>
      <sheetName val="공사별5"/>
      <sheetName val="예총"/>
      <sheetName val="신부서코드"/>
      <sheetName val="A230 수정사항집계표"/>
      <sheetName val="영업점별목표산출"/>
      <sheetName val="특수채 2"/>
      <sheetName val="108_수선비3"/>
      <sheetName val="산업은행_경영지표3"/>
      <sheetName val="JOB_Assign3"/>
      <sheetName val="재고_3"/>
      <sheetName val="1995년_섹터별_매출2"/>
      <sheetName val="붙임2-1__지급조서명세서(2001년분)2"/>
      <sheetName val="24_보증금(전신전화가입권)3"/>
      <sheetName val="#3-1_保有_有價證券_評價_及び_評價(X-23)2"/>
      <sheetName val="경영비율_2"/>
      <sheetName val="첨1_22"/>
      <sheetName val="2_예금2"/>
      <sheetName val="7_3_DY팀2"/>
      <sheetName val="3_판관비명세서3"/>
      <sheetName val="Eq__Mobilization2"/>
      <sheetName val="업무분장_2"/>
      <sheetName val="외상매출금현황-수정분_A22"/>
      <sheetName val="#2_BSPL2"/>
      <sheetName val="Major_Shareholder2"/>
      <sheetName val="공사별5_2"/>
      <sheetName val="간접비_총괄표2"/>
      <sheetName val="부문별재고_(상품)2"/>
      <sheetName val="2_대외공문2"/>
      <sheetName val="차입금상환표"/>
      <sheetName val="순매출액"/>
      <sheetName val="서류합격_기본사항"/>
      <sheetName val="Lead"/>
      <sheetName val="기준"/>
      <sheetName val="갑지(추정)"/>
      <sheetName val="목동세대 산출근거"/>
      <sheetName val="CHECK LIST"/>
      <sheetName val="상불"/>
      <sheetName val="계열사현황종합"/>
      <sheetName val="입찰"/>
      <sheetName val="현경"/>
      <sheetName val="2.호선별예상실적"/>
      <sheetName val="프로젝트관리대장"/>
      <sheetName val="주주명부&lt;끝&gt;"/>
      <sheetName val="1월"/>
      <sheetName val="조정내역"/>
      <sheetName val="isbg"/>
      <sheetName val="생산매출_(3)"/>
      <sheetName val="fwd"/>
      <sheetName val="Cover"/>
      <sheetName val="T&amp;E-2019FCST2"/>
      <sheetName val="T&amp;E-2020ABP"/>
      <sheetName val="Other Expenses"/>
      <sheetName val="2019FCST"/>
      <sheetName val="2020ABP"/>
      <sheetName val="J"/>
      <sheetName val="미지급비용"/>
      <sheetName val="기본자료"/>
      <sheetName val="수정안"/>
      <sheetName val="수익분배율"/>
      <sheetName val="リスト"/>
      <sheetName val="京王井の頭線"/>
      <sheetName val="王子一覧"/>
      <sheetName val="SH_work"/>
      <sheetName val="(Monthly)"/>
      <sheetName val="A-General"/>
      <sheetName val="4. Leverage - out"/>
      <sheetName val="抽出／ビル実績データ"/>
      <sheetName val="入力準備"/>
      <sheetName val="7月入出金（西洞院）"/>
      <sheetName val="②現行契約・潜在総収益"/>
      <sheetName val="选择报表"/>
      <sheetName val="개인법인구분"/>
      <sheetName val="償却資産税"/>
      <sheetName val="土地ﾃﾞｰﾀ"/>
      <sheetName val="収支"/>
      <sheetName val="실적"/>
      <sheetName val="총요약"/>
      <sheetName val="下조건"/>
      <sheetName val="科目名称表"/>
      <sheetName val="여의도점"/>
      <sheetName val="CF(M)"/>
      <sheetName val="주요재무비율"/>
      <sheetName val="2C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sheetData sheetId="124"/>
      <sheetData sheetId="125"/>
      <sheetData sheetId="126"/>
      <sheetData sheetId="127"/>
      <sheetData sheetId="128"/>
      <sheetData sheetId="129"/>
      <sheetData sheetId="130"/>
      <sheetData sheetId="131"/>
      <sheetData sheetId="132"/>
      <sheetData sheetId="133"/>
      <sheetData sheetId="134"/>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sheetData sheetId="164"/>
      <sheetData sheetId="165"/>
      <sheetData sheetId="166"/>
      <sheetData sheetId="167" refreshError="1"/>
      <sheetData sheetId="168" refreshError="1"/>
      <sheetData sheetId="169" refreshError="1"/>
      <sheetData sheetId="170" refreshError="1"/>
      <sheetData sheetId="171"/>
      <sheetData sheetId="172" refreshError="1"/>
      <sheetData sheetId="173" refreshError="1"/>
      <sheetData sheetId="174"/>
      <sheetData sheetId="175"/>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sheetData sheetId="208"/>
      <sheetData sheetId="209"/>
      <sheetData sheetId="210"/>
      <sheetData sheetId="211"/>
      <sheetData sheetId="212"/>
      <sheetData sheetId="213"/>
      <sheetData sheetId="214"/>
      <sheetData sheetId="215"/>
      <sheetData sheetId="216"/>
      <sheetData sheetId="217"/>
      <sheetData sheetId="218"/>
      <sheetData sheetId="219"/>
      <sheetData sheetId="220"/>
      <sheetData sheetId="221"/>
      <sheetData sheetId="222"/>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sheetData sheetId="250"/>
      <sheetData sheetId="251" refreshError="1"/>
      <sheetData sheetId="252"/>
      <sheetData sheetId="253"/>
      <sheetData sheetId="254"/>
      <sheetData sheetId="255" refreshError="1"/>
      <sheetData sheetId="256" refreshError="1"/>
      <sheetData sheetId="257"/>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sheetData sheetId="288"/>
      <sheetData sheetId="289"/>
      <sheetData sheetId="290"/>
      <sheetData sheetId="291"/>
      <sheetData sheetId="292"/>
      <sheetData sheetId="293"/>
      <sheetData sheetId="294"/>
      <sheetData sheetId="295"/>
      <sheetData sheetId="296"/>
      <sheetData sheetId="297"/>
      <sheetData sheetId="298"/>
      <sheetData sheetId="299"/>
      <sheetData sheetId="300"/>
      <sheetData sheetId="301"/>
      <sheetData sheetId="302"/>
      <sheetData sheetId="303"/>
      <sheetData sheetId="304"/>
      <sheetData sheetId="305"/>
      <sheetData sheetId="306"/>
      <sheetData sheetId="307"/>
      <sheetData sheetId="308"/>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sheetData sheetId="328" refreshError="1"/>
      <sheetData sheetId="329"/>
      <sheetData sheetId="330"/>
      <sheetData sheetId="331"/>
      <sheetData sheetId="332"/>
      <sheetData sheetId="333"/>
      <sheetData sheetId="334"/>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Set>
  </externalBook>
</externalLink>
</file>

<file path=xl/externalLinks/externalLink5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xxxxxx"/>
      <sheetName val="기본입력화면"/>
      <sheetName val="경비"/>
      <sheetName val="환경복리예비"/>
      <sheetName val="지질조사분석"/>
    </sheetNames>
    <sheetDataSet>
      <sheetData sheetId="0"/>
      <sheetData sheetId="1"/>
      <sheetData sheetId="2"/>
      <sheetData sheetId="3"/>
      <sheetData sheetId="4" refreshError="1"/>
    </sheetDataSet>
  </externalBook>
</externalLink>
</file>

<file path=xl/externalLinks/externalLink6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공통"/>
      <sheetName val="업무분장 "/>
      <sheetName val="B-90"/>
      <sheetName val="기말요약"/>
      <sheetName val="중요성기준"/>
      <sheetName val="A9-1~5 "/>
      <sheetName val="A9-3"/>
      <sheetName val="경영분석"/>
      <sheetName val="98경영"/>
      <sheetName val="A9-부2 "/>
      <sheetName val="A9"/>
      <sheetName val="A9-2(구)"/>
      <sheetName val="주석자료A7"/>
      <sheetName val="주총요약"/>
      <sheetName val="지급보증"/>
      <sheetName val="(법인,토지)등기부등본요약"/>
      <sheetName val="보험가입"/>
      <sheetName val="계속기업검토표"/>
      <sheetName val="A7"/>
      <sheetName val="등본요약"/>
      <sheetName val="계속기업"/>
      <sheetName val="A1"/>
      <sheetName val="A2"/>
      <sheetName val="to do"/>
      <sheetName val="재고"/>
      <sheetName val="AR"/>
      <sheetName val="단가검증"/>
      <sheetName val="재고분석"/>
      <sheetName val="가공비배부"/>
      <sheetName val="제,원"/>
      <sheetName val="투자"/>
      <sheetName val="평가"/>
      <sheetName val="무형"/>
      <sheetName val="M"/>
      <sheetName val="M1-anl"/>
      <sheetName val="퇴충"/>
      <sheetName val="분석적검토"/>
      <sheetName val="자본"/>
      <sheetName val="스탁옵션"/>
      <sheetName val="원가"/>
      <sheetName val="제조원가"/>
      <sheetName val="월별제조"/>
      <sheetName val="영업외"/>
      <sheetName val="우발"/>
      <sheetName val="법인"/>
      <sheetName val="미지급법인세"/>
      <sheetName val="이연법인세"/>
      <sheetName val="BS일이후"/>
      <sheetName val="매입"/>
      <sheetName val="원재료평가"/>
      <sheetName val="제품평가"/>
      <sheetName val="cc"/>
      <sheetName val="조회"/>
      <sheetName val="총괄"/>
      <sheetName val="미수"/>
      <sheetName val="SM1-09"/>
      <sheetName val="SM2-09"/>
    </sheetNames>
    <sheetDataSet>
      <sheetData sheetId="0" refreshError="1"/>
      <sheetData sheetId="1" refreshError="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refreshError="1"/>
      <sheetData sheetId="56" refreshError="1"/>
    </sheetDataSet>
  </externalBook>
</externalLink>
</file>

<file path=xl/externalLinks/externalLink6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유동화채권"/>
      <sheetName val="Sheet3"/>
      <sheetName val="커버"/>
      <sheetName val="청산"/>
      <sheetName val="건설공제"/>
      <sheetName val="서울보증"/>
      <sheetName val="대한주택"/>
      <sheetName val="기타기관"/>
      <sheetName val="공익_보증_공사"/>
      <sheetName val="공익_보증_이주비"/>
      <sheetName val="공익_구상_공사"/>
      <sheetName val="공익_구상_기타"/>
      <sheetName val="정리담보"/>
      <sheetName val="정리_확정"/>
      <sheetName val="정리_보증_금융"/>
      <sheetName val="정리_보증_공사"/>
      <sheetName val="정리_보증_이주비"/>
      <sheetName val="정리_구상_공사"/>
      <sheetName val="정리_구상_기타"/>
      <sheetName val="첨"/>
      <sheetName val="추가예산"/>
      <sheetName val="수지"/>
      <sheetName val="인원계획-미화"/>
      <sheetName val="data"/>
      <sheetName val="제품수불내역"/>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6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오산"/>
      <sheetName val="오산1"/>
      <sheetName val="첨단지구"/>
      <sheetName val="첨단2"/>
      <sheetName val="첨단3"/>
      <sheetName val="첨"/>
      <sheetName val="추가예산"/>
    </sheetNames>
    <sheetDataSet>
      <sheetData sheetId="0"/>
      <sheetData sheetId="1"/>
      <sheetData sheetId="2"/>
      <sheetData sheetId="3"/>
      <sheetData sheetId="4"/>
      <sheetData sheetId="5"/>
      <sheetData sheetId="6" refreshError="1"/>
    </sheetDataSet>
  </externalBook>
</externalLink>
</file>

<file path=xl/externalLinks/externalLink6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퇴직보험"/>
      <sheetName val="퇴충총괄"/>
      <sheetName val="관리별정촉탁"/>
      <sheetName val="관리별정촉탁-기초data"/>
      <sheetName val="생산직"/>
      <sheetName val="오순선,김민규"/>
      <sheetName val="생산직-기초data"/>
      <sheetName val="시험구분-단가표"/>
      <sheetName val="입력"/>
      <sheetName val="추가예산"/>
      <sheetName val="Ctrl"/>
      <sheetName val="첨"/>
      <sheetName val="터파기및재료"/>
      <sheetName val="임대견적서"/>
      <sheetName val="월별손익"/>
      <sheetName val="10.유가증권매각손익"/>
      <sheetName val="BM_NEW2"/>
      <sheetName val="ADMIN"/>
      <sheetName val="아파트진행률"/>
      <sheetName val="제조부문배부"/>
      <sheetName val="송전기본"/>
      <sheetName val="목록"/>
      <sheetName val="BL계획"/>
      <sheetName val="개별자료"/>
      <sheetName val="10_유가증권매각손익"/>
      <sheetName val="공통"/>
      <sheetName val="XREF"/>
      <sheetName val="SETUP"/>
      <sheetName val="연불채권"/>
      <sheetName val="9-1차이내역"/>
      <sheetName val="3ND 64M"/>
      <sheetName val="#REF"/>
      <sheetName val="3-31"/>
      <sheetName val="3.판관비명세서"/>
      <sheetName val="3_판관비명세서"/>
      <sheetName val="단체(2)"/>
      <sheetName val="ﾏｽﾀ"/>
      <sheetName val="손익합산"/>
      <sheetName val="연구인원내역"/>
      <sheetName val="데이터유효성목록"/>
    </sheetNames>
    <sheetDataSet>
      <sheetData sheetId="0" refreshError="1"/>
      <sheetData sheetId="1" refreshError="1"/>
      <sheetData sheetId="2" refreshError="1"/>
      <sheetData sheetId="3" refreshError="1"/>
      <sheetData sheetId="4" refreshError="1">
        <row r="3">
          <cell r="U3" t="str">
            <v>당월퇴충누계액</v>
          </cell>
        </row>
        <row r="5">
          <cell r="A5" t="str">
            <v>소결</v>
          </cell>
          <cell r="B5" t="str">
            <v>후처리반</v>
          </cell>
          <cell r="C5" t="str">
            <v>SACM0077</v>
          </cell>
          <cell r="D5" t="str">
            <v>조원</v>
          </cell>
          <cell r="E5" t="str">
            <v>정학식</v>
          </cell>
          <cell r="F5">
            <v>33910</v>
          </cell>
          <cell r="G5">
            <v>1633060</v>
          </cell>
          <cell r="H5">
            <v>1300260</v>
          </cell>
          <cell r="I5">
            <v>1507910</v>
          </cell>
          <cell r="J5">
            <v>1694940</v>
          </cell>
          <cell r="K5">
            <v>1436150</v>
          </cell>
          <cell r="L5">
            <v>1401080</v>
          </cell>
          <cell r="M5">
            <v>1477882</v>
          </cell>
          <cell r="N5">
            <v>403810</v>
          </cell>
          <cell r="O5">
            <v>807630</v>
          </cell>
          <cell r="P5">
            <v>100000</v>
          </cell>
          <cell r="Q5">
            <v>407530</v>
          </cell>
          <cell r="R5">
            <v>1222590</v>
          </cell>
          <cell r="S5">
            <v>2941560</v>
          </cell>
          <cell r="T5">
            <v>487784.16666666669</v>
          </cell>
          <cell r="U5">
            <v>969370</v>
          </cell>
        </row>
        <row r="6">
          <cell r="B6" t="str">
            <v>후처리반</v>
          </cell>
          <cell r="C6" t="str">
            <v>SACM0113</v>
          </cell>
          <cell r="D6" t="str">
            <v>반장</v>
          </cell>
          <cell r="E6" t="str">
            <v>김한기</v>
          </cell>
          <cell r="F6">
            <v>29199</v>
          </cell>
          <cell r="G6">
            <v>2095850</v>
          </cell>
          <cell r="H6">
            <v>2061240</v>
          </cell>
          <cell r="I6">
            <v>2012210</v>
          </cell>
          <cell r="J6">
            <v>2134930</v>
          </cell>
          <cell r="K6">
            <v>2135650</v>
          </cell>
          <cell r="L6">
            <v>2173730</v>
          </cell>
          <cell r="M6">
            <v>2101405</v>
          </cell>
          <cell r="N6">
            <v>580450</v>
          </cell>
          <cell r="O6">
            <v>1160910</v>
          </cell>
          <cell r="P6">
            <v>100000</v>
          </cell>
          <cell r="Q6">
            <v>585770</v>
          </cell>
          <cell r="R6">
            <v>1757300</v>
          </cell>
          <cell r="S6">
            <v>4184430</v>
          </cell>
          <cell r="T6">
            <v>693864.16666666663</v>
          </cell>
          <cell r="U6">
            <v>1378489</v>
          </cell>
        </row>
        <row r="7">
          <cell r="B7" t="str">
            <v>후처리반</v>
          </cell>
          <cell r="C7" t="str">
            <v>SACM0123</v>
          </cell>
          <cell r="D7" t="str">
            <v>조장</v>
          </cell>
          <cell r="E7" t="str">
            <v>남덕희</v>
          </cell>
          <cell r="F7">
            <v>30060</v>
          </cell>
          <cell r="G7">
            <v>1734850</v>
          </cell>
          <cell r="H7">
            <v>1627330</v>
          </cell>
          <cell r="I7">
            <v>1767780</v>
          </cell>
          <cell r="J7">
            <v>1786650</v>
          </cell>
          <cell r="K7">
            <v>1608850</v>
          </cell>
          <cell r="L7">
            <v>1667750</v>
          </cell>
          <cell r="M7">
            <v>1651060</v>
          </cell>
          <cell r="N7">
            <v>547250</v>
          </cell>
          <cell r="O7">
            <v>1094500</v>
          </cell>
          <cell r="P7">
            <v>100000</v>
          </cell>
          <cell r="Q7">
            <v>547250</v>
          </cell>
          <cell r="R7">
            <v>1641750</v>
          </cell>
          <cell r="S7">
            <v>3930750</v>
          </cell>
          <cell r="T7">
            <v>655125</v>
          </cell>
          <cell r="U7">
            <v>1137297</v>
          </cell>
        </row>
        <row r="8">
          <cell r="B8" t="str">
            <v>후처리반</v>
          </cell>
          <cell r="C8" t="str">
            <v>SACM0126</v>
          </cell>
          <cell r="D8" t="str">
            <v>조장</v>
          </cell>
          <cell r="E8" t="str">
            <v>이규일</v>
          </cell>
          <cell r="F8">
            <v>30961</v>
          </cell>
          <cell r="G8">
            <v>2249520</v>
          </cell>
          <cell r="H8">
            <v>2067190</v>
          </cell>
          <cell r="I8">
            <v>2013370</v>
          </cell>
          <cell r="J8">
            <v>2087120</v>
          </cell>
          <cell r="K8">
            <v>2100850</v>
          </cell>
          <cell r="L8">
            <v>2019740</v>
          </cell>
          <cell r="M8">
            <v>2024253</v>
          </cell>
          <cell r="N8">
            <v>554690</v>
          </cell>
          <cell r="O8">
            <v>1109380</v>
          </cell>
          <cell r="P8">
            <v>100000</v>
          </cell>
          <cell r="Q8">
            <v>558410</v>
          </cell>
          <cell r="R8">
            <v>1675220</v>
          </cell>
          <cell r="S8">
            <v>3997700</v>
          </cell>
          <cell r="T8">
            <v>663805</v>
          </cell>
          <cell r="U8">
            <v>1325618</v>
          </cell>
        </row>
        <row r="9">
          <cell r="B9" t="str">
            <v>후처리반</v>
          </cell>
          <cell r="C9" t="str">
            <v>SACM0162</v>
          </cell>
          <cell r="D9" t="str">
            <v>조원</v>
          </cell>
          <cell r="E9" t="str">
            <v>김기대</v>
          </cell>
          <cell r="F9">
            <v>34227</v>
          </cell>
          <cell r="G9">
            <v>1216110</v>
          </cell>
          <cell r="H9">
            <v>1474270</v>
          </cell>
          <cell r="I9">
            <v>1301830</v>
          </cell>
          <cell r="J9">
            <v>1569900</v>
          </cell>
          <cell r="K9">
            <v>1451030</v>
          </cell>
          <cell r="L9">
            <v>1346210</v>
          </cell>
          <cell r="M9">
            <v>1424067</v>
          </cell>
          <cell r="N9">
            <v>399030</v>
          </cell>
          <cell r="O9">
            <v>798060</v>
          </cell>
          <cell r="P9">
            <v>100000</v>
          </cell>
          <cell r="Q9">
            <v>399030</v>
          </cell>
          <cell r="R9">
            <v>1197090</v>
          </cell>
          <cell r="S9">
            <v>2893210</v>
          </cell>
          <cell r="T9">
            <v>482201.66666666669</v>
          </cell>
          <cell r="U9">
            <v>940078</v>
          </cell>
        </row>
        <row r="10">
          <cell r="B10" t="str">
            <v>후처리반</v>
          </cell>
          <cell r="C10" t="str">
            <v>SACM0314</v>
          </cell>
          <cell r="D10" t="str">
            <v>조원</v>
          </cell>
          <cell r="E10" t="str">
            <v>김영길</v>
          </cell>
          <cell r="F10">
            <v>36465</v>
          </cell>
          <cell r="K10">
            <v>1333920</v>
          </cell>
          <cell r="L10">
            <v>1214220</v>
          </cell>
          <cell r="M10">
            <v>830915</v>
          </cell>
          <cell r="Q10">
            <v>0</v>
          </cell>
          <cell r="R10">
            <v>320670</v>
          </cell>
          <cell r="S10">
            <v>320670</v>
          </cell>
          <cell r="T10">
            <v>0</v>
          </cell>
          <cell r="U10">
            <v>0</v>
          </cell>
        </row>
        <row r="11">
          <cell r="B11" t="str">
            <v>후처리반</v>
          </cell>
          <cell r="C11" t="str">
            <v>SACW0004</v>
          </cell>
          <cell r="D11" t="str">
            <v>조원</v>
          </cell>
          <cell r="E11" t="str">
            <v>유제선</v>
          </cell>
          <cell r="F11">
            <v>33522</v>
          </cell>
          <cell r="G11">
            <v>1220060</v>
          </cell>
          <cell r="H11">
            <v>1095230</v>
          </cell>
          <cell r="I11">
            <v>1177170</v>
          </cell>
          <cell r="J11">
            <v>1136680</v>
          </cell>
          <cell r="K11">
            <v>1136230</v>
          </cell>
          <cell r="L11">
            <v>1054970</v>
          </cell>
          <cell r="M11">
            <v>1085178</v>
          </cell>
          <cell r="N11">
            <v>367690</v>
          </cell>
          <cell r="O11">
            <v>735380</v>
          </cell>
          <cell r="P11">
            <v>100000</v>
          </cell>
          <cell r="Q11">
            <v>367690</v>
          </cell>
          <cell r="R11">
            <v>1103070</v>
          </cell>
          <cell r="S11">
            <v>2673830</v>
          </cell>
          <cell r="T11">
            <v>445638.33333333331</v>
          </cell>
          <cell r="U11">
            <v>754923</v>
          </cell>
        </row>
        <row r="12">
          <cell r="B12" t="str">
            <v>후처리반</v>
          </cell>
          <cell r="C12" t="str">
            <v>SACW0005</v>
          </cell>
          <cell r="D12" t="str">
            <v>조장</v>
          </cell>
          <cell r="E12" t="str">
            <v>이영애</v>
          </cell>
          <cell r="F12">
            <v>33532</v>
          </cell>
          <cell r="G12">
            <v>1200430</v>
          </cell>
          <cell r="H12">
            <v>1378880</v>
          </cell>
          <cell r="I12">
            <v>1394840</v>
          </cell>
          <cell r="J12">
            <v>1308400</v>
          </cell>
          <cell r="K12">
            <v>1191030</v>
          </cell>
          <cell r="L12">
            <v>1197440</v>
          </cell>
          <cell r="M12">
            <v>1205501</v>
          </cell>
          <cell r="N12">
            <v>389470</v>
          </cell>
          <cell r="O12">
            <v>778940</v>
          </cell>
          <cell r="P12">
            <v>100000</v>
          </cell>
          <cell r="Q12">
            <v>389470</v>
          </cell>
          <cell r="R12">
            <v>1168410</v>
          </cell>
          <cell r="S12">
            <v>2826290</v>
          </cell>
          <cell r="T12">
            <v>471048.33333333331</v>
          </cell>
          <cell r="U12">
            <v>826791</v>
          </cell>
        </row>
        <row r="13">
          <cell r="B13" t="str">
            <v>후처리반</v>
          </cell>
          <cell r="C13" t="str">
            <v>SACW0007</v>
          </cell>
          <cell r="D13" t="str">
            <v>조원</v>
          </cell>
          <cell r="E13" t="str">
            <v>윤영순</v>
          </cell>
          <cell r="F13">
            <v>33550</v>
          </cell>
          <cell r="G13">
            <v>1194120</v>
          </cell>
          <cell r="H13">
            <v>1232070</v>
          </cell>
          <cell r="I13">
            <v>1310220</v>
          </cell>
          <cell r="J13">
            <v>1165070</v>
          </cell>
          <cell r="K13">
            <v>1113180</v>
          </cell>
          <cell r="L13">
            <v>1065050</v>
          </cell>
          <cell r="M13">
            <v>1090207</v>
          </cell>
          <cell r="N13">
            <v>367690</v>
          </cell>
          <cell r="O13">
            <v>735380</v>
          </cell>
          <cell r="P13">
            <v>100000</v>
          </cell>
          <cell r="Q13">
            <v>367690</v>
          </cell>
          <cell r="R13">
            <v>1103070</v>
          </cell>
          <cell r="S13">
            <v>2673830</v>
          </cell>
          <cell r="T13">
            <v>445638.33333333331</v>
          </cell>
          <cell r="U13">
            <v>757403</v>
          </cell>
        </row>
        <row r="14">
          <cell r="B14" t="str">
            <v>후처리반</v>
          </cell>
          <cell r="C14" t="str">
            <v>SACW0009</v>
          </cell>
          <cell r="D14" t="str">
            <v>조원</v>
          </cell>
          <cell r="E14" t="str">
            <v>박향숙</v>
          </cell>
          <cell r="F14">
            <v>33833</v>
          </cell>
          <cell r="G14">
            <v>1101010</v>
          </cell>
          <cell r="H14">
            <v>1149860</v>
          </cell>
          <cell r="I14">
            <v>1219010</v>
          </cell>
          <cell r="J14">
            <v>1147190</v>
          </cell>
          <cell r="K14">
            <v>1015070</v>
          </cell>
          <cell r="L14">
            <v>1056680</v>
          </cell>
          <cell r="M14">
            <v>1049654</v>
          </cell>
          <cell r="N14">
            <v>358920</v>
          </cell>
          <cell r="O14">
            <v>717840</v>
          </cell>
          <cell r="P14">
            <v>100000</v>
          </cell>
          <cell r="Q14">
            <v>358920</v>
          </cell>
          <cell r="R14">
            <v>1076760</v>
          </cell>
          <cell r="S14">
            <v>2612440</v>
          </cell>
          <cell r="T14">
            <v>435406.66666666663</v>
          </cell>
          <cell r="U14">
            <v>732359</v>
          </cell>
        </row>
        <row r="15">
          <cell r="B15" t="str">
            <v>후처리반</v>
          </cell>
          <cell r="C15" t="str">
            <v>SACW0011</v>
          </cell>
          <cell r="D15" t="str">
            <v>조원</v>
          </cell>
          <cell r="E15" t="str">
            <v>송경득</v>
          </cell>
          <cell r="F15">
            <v>33929</v>
          </cell>
          <cell r="G15">
            <v>1118660</v>
          </cell>
          <cell r="H15">
            <v>1095210</v>
          </cell>
          <cell r="I15">
            <v>1146520</v>
          </cell>
          <cell r="J15">
            <v>1149950</v>
          </cell>
          <cell r="K15">
            <v>1054270</v>
          </cell>
          <cell r="L15">
            <v>1023180</v>
          </cell>
          <cell r="M15">
            <v>1052413</v>
          </cell>
          <cell r="N15">
            <v>355200</v>
          </cell>
          <cell r="O15">
            <v>710410</v>
          </cell>
          <cell r="P15">
            <v>100000</v>
          </cell>
          <cell r="Q15">
            <v>358920</v>
          </cell>
          <cell r="R15">
            <v>1076760</v>
          </cell>
          <cell r="S15">
            <v>2601290</v>
          </cell>
          <cell r="T15">
            <v>431072.5</v>
          </cell>
          <cell r="U15">
            <v>731582</v>
          </cell>
        </row>
        <row r="16">
          <cell r="B16" t="str">
            <v>후처리반</v>
          </cell>
          <cell r="C16" t="str">
            <v>SACW0012</v>
          </cell>
          <cell r="D16" t="str">
            <v>조원</v>
          </cell>
          <cell r="E16" t="str">
            <v>곽  언</v>
          </cell>
          <cell r="F16">
            <v>33929</v>
          </cell>
          <cell r="G16">
            <v>1219850</v>
          </cell>
          <cell r="H16">
            <v>1188440</v>
          </cell>
          <cell r="I16">
            <v>1282700</v>
          </cell>
          <cell r="J16">
            <v>1282130</v>
          </cell>
          <cell r="K16">
            <v>1119830</v>
          </cell>
          <cell r="L16">
            <v>1084570</v>
          </cell>
          <cell r="M16">
            <v>1136912</v>
          </cell>
          <cell r="N16">
            <v>355200</v>
          </cell>
          <cell r="O16">
            <v>710410</v>
          </cell>
          <cell r="P16">
            <v>100000</v>
          </cell>
          <cell r="Q16">
            <v>358920</v>
          </cell>
          <cell r="R16">
            <v>1076760</v>
          </cell>
          <cell r="S16">
            <v>2601290</v>
          </cell>
          <cell r="T16">
            <v>431072.5</v>
          </cell>
          <cell r="U16">
            <v>773253</v>
          </cell>
        </row>
        <row r="17">
          <cell r="B17" t="str">
            <v>후처리반</v>
          </cell>
          <cell r="C17" t="str">
            <v>SACW0013</v>
          </cell>
          <cell r="D17" t="str">
            <v>조원</v>
          </cell>
          <cell r="E17" t="str">
            <v>김옥희</v>
          </cell>
          <cell r="F17">
            <v>33941</v>
          </cell>
          <cell r="G17">
            <v>1246100</v>
          </cell>
          <cell r="H17">
            <v>1153750</v>
          </cell>
          <cell r="I17">
            <v>1274360</v>
          </cell>
          <cell r="J17">
            <v>1156740</v>
          </cell>
          <cell r="K17">
            <v>1054680</v>
          </cell>
          <cell r="L17">
            <v>1016500</v>
          </cell>
          <cell r="M17">
            <v>1052583</v>
          </cell>
          <cell r="N17">
            <v>355200</v>
          </cell>
          <cell r="O17">
            <v>710410</v>
          </cell>
          <cell r="P17">
            <v>100000</v>
          </cell>
          <cell r="Q17">
            <v>358920</v>
          </cell>
          <cell r="R17">
            <v>1076760</v>
          </cell>
          <cell r="S17">
            <v>2601290</v>
          </cell>
          <cell r="T17">
            <v>431072.5</v>
          </cell>
          <cell r="U17">
            <v>731666</v>
          </cell>
        </row>
        <row r="18">
          <cell r="B18" t="str">
            <v>후처리반</v>
          </cell>
          <cell r="C18" t="str">
            <v>SACW0019</v>
          </cell>
          <cell r="D18" t="str">
            <v>조원</v>
          </cell>
          <cell r="E18" t="str">
            <v>이은정</v>
          </cell>
          <cell r="F18">
            <v>34835</v>
          </cell>
          <cell r="G18">
            <v>1071090</v>
          </cell>
          <cell r="H18">
            <v>1144360</v>
          </cell>
          <cell r="I18">
            <v>1146460</v>
          </cell>
          <cell r="J18">
            <v>1152070</v>
          </cell>
          <cell r="K18">
            <v>1057230</v>
          </cell>
          <cell r="L18">
            <v>1024000</v>
          </cell>
          <cell r="M18">
            <v>1054337</v>
          </cell>
          <cell r="N18">
            <v>326780</v>
          </cell>
          <cell r="O18">
            <v>653560</v>
          </cell>
          <cell r="P18">
            <v>100000</v>
          </cell>
          <cell r="Q18">
            <v>326780</v>
          </cell>
          <cell r="R18">
            <v>980340</v>
          </cell>
          <cell r="S18">
            <v>2387460</v>
          </cell>
          <cell r="T18">
            <v>397910</v>
          </cell>
          <cell r="U18">
            <v>716177</v>
          </cell>
        </row>
        <row r="19">
          <cell r="B19" t="str">
            <v>소결반</v>
          </cell>
          <cell r="C19" t="str">
            <v>SACM0069</v>
          </cell>
          <cell r="D19" t="str">
            <v>조장</v>
          </cell>
          <cell r="E19" t="str">
            <v>김진식</v>
          </cell>
          <cell r="F19">
            <v>33900</v>
          </cell>
          <cell r="G19">
            <v>1675040</v>
          </cell>
          <cell r="H19">
            <v>1673000</v>
          </cell>
          <cell r="I19">
            <v>1601450</v>
          </cell>
          <cell r="J19">
            <v>2009960</v>
          </cell>
          <cell r="K19">
            <v>1694290</v>
          </cell>
          <cell r="L19">
            <v>1590570</v>
          </cell>
          <cell r="M19">
            <v>1726572</v>
          </cell>
          <cell r="N19">
            <v>428780</v>
          </cell>
          <cell r="O19">
            <v>857560</v>
          </cell>
          <cell r="P19">
            <v>100000</v>
          </cell>
          <cell r="Q19">
            <v>432500</v>
          </cell>
          <cell r="R19">
            <v>1297500</v>
          </cell>
          <cell r="S19">
            <v>3116340</v>
          </cell>
          <cell r="T19">
            <v>516909.99999999994</v>
          </cell>
          <cell r="U19">
            <v>1106375</v>
          </cell>
        </row>
        <row r="20">
          <cell r="B20" t="str">
            <v>소결반</v>
          </cell>
          <cell r="C20" t="str">
            <v>SACM0125</v>
          </cell>
          <cell r="D20" t="str">
            <v>조장</v>
          </cell>
          <cell r="E20" t="str">
            <v>배성환</v>
          </cell>
          <cell r="F20">
            <v>31926</v>
          </cell>
          <cell r="G20">
            <v>2342960</v>
          </cell>
          <cell r="H20">
            <v>2321490</v>
          </cell>
          <cell r="I20">
            <v>2600510</v>
          </cell>
          <cell r="J20">
            <v>2589330</v>
          </cell>
          <cell r="K20">
            <v>2219850</v>
          </cell>
          <cell r="L20">
            <v>2192400</v>
          </cell>
          <cell r="M20">
            <v>2283124</v>
          </cell>
          <cell r="N20">
            <v>529190</v>
          </cell>
          <cell r="O20">
            <v>1058380</v>
          </cell>
          <cell r="P20">
            <v>100000</v>
          </cell>
          <cell r="Q20">
            <v>529190</v>
          </cell>
          <cell r="R20">
            <v>1587570</v>
          </cell>
          <cell r="S20">
            <v>3804330</v>
          </cell>
          <cell r="T20">
            <v>634055</v>
          </cell>
          <cell r="U20">
            <v>1438609</v>
          </cell>
        </row>
        <row r="21">
          <cell r="B21" t="str">
            <v>소결반</v>
          </cell>
          <cell r="C21" t="str">
            <v>SACM0177</v>
          </cell>
          <cell r="D21" t="str">
            <v>조원</v>
          </cell>
          <cell r="E21" t="str">
            <v>김진욱</v>
          </cell>
          <cell r="F21">
            <v>34395</v>
          </cell>
          <cell r="G21">
            <v>1973260</v>
          </cell>
          <cell r="H21">
            <v>1575290</v>
          </cell>
          <cell r="I21">
            <v>1885800</v>
          </cell>
          <cell r="J21">
            <v>1955080</v>
          </cell>
          <cell r="K21">
            <v>1703440</v>
          </cell>
          <cell r="L21">
            <v>1562070</v>
          </cell>
          <cell r="M21">
            <v>1702366</v>
          </cell>
          <cell r="N21">
            <v>379910</v>
          </cell>
          <cell r="O21">
            <v>759810</v>
          </cell>
          <cell r="P21">
            <v>100000</v>
          </cell>
          <cell r="Q21">
            <v>379910</v>
          </cell>
          <cell r="R21">
            <v>1139720</v>
          </cell>
          <cell r="S21">
            <v>2759350</v>
          </cell>
          <cell r="T21">
            <v>459889.16666666669</v>
          </cell>
          <cell r="U21">
            <v>1066318</v>
          </cell>
        </row>
        <row r="22">
          <cell r="B22" t="str">
            <v>소결반</v>
          </cell>
          <cell r="C22" t="str">
            <v>SACM0261</v>
          </cell>
          <cell r="D22" t="str">
            <v>조원</v>
          </cell>
          <cell r="E22" t="str">
            <v>이희승</v>
          </cell>
          <cell r="F22">
            <v>35145</v>
          </cell>
          <cell r="G22">
            <v>1529680</v>
          </cell>
          <cell r="H22">
            <v>1351270</v>
          </cell>
          <cell r="I22">
            <v>1428120</v>
          </cell>
          <cell r="J22">
            <v>1556260</v>
          </cell>
          <cell r="K22">
            <v>1405130</v>
          </cell>
          <cell r="L22">
            <v>1353990</v>
          </cell>
          <cell r="M22">
            <v>1407189</v>
          </cell>
          <cell r="N22">
            <v>355470</v>
          </cell>
          <cell r="O22">
            <v>710940</v>
          </cell>
          <cell r="P22">
            <v>100000</v>
          </cell>
          <cell r="Q22">
            <v>355470</v>
          </cell>
          <cell r="R22">
            <v>1066410</v>
          </cell>
          <cell r="S22">
            <v>2588290</v>
          </cell>
          <cell r="T22">
            <v>431381.66666666669</v>
          </cell>
          <cell r="U22">
            <v>906692</v>
          </cell>
        </row>
        <row r="23">
          <cell r="B23" t="str">
            <v>소결반</v>
          </cell>
          <cell r="C23" t="str">
            <v>SACM0283</v>
          </cell>
          <cell r="D23" t="str">
            <v>조원</v>
          </cell>
          <cell r="E23" t="str">
            <v>김재종</v>
          </cell>
          <cell r="F23">
            <v>35649</v>
          </cell>
          <cell r="G23">
            <v>1070600</v>
          </cell>
          <cell r="H23">
            <v>966420</v>
          </cell>
          <cell r="I23">
            <v>1111210</v>
          </cell>
          <cell r="J23">
            <v>1064500</v>
          </cell>
          <cell r="K23">
            <v>1284370</v>
          </cell>
          <cell r="L23">
            <v>941730</v>
          </cell>
          <cell r="M23">
            <v>1073022</v>
          </cell>
          <cell r="N23">
            <v>346970</v>
          </cell>
          <cell r="O23">
            <v>693940</v>
          </cell>
          <cell r="P23">
            <v>100000</v>
          </cell>
          <cell r="Q23">
            <v>346970</v>
          </cell>
          <cell r="R23">
            <v>1040910</v>
          </cell>
          <cell r="S23">
            <v>2528790</v>
          </cell>
          <cell r="T23">
            <v>421465</v>
          </cell>
          <cell r="U23">
            <v>737007</v>
          </cell>
        </row>
        <row r="24">
          <cell r="B24" t="str">
            <v>성형반</v>
          </cell>
          <cell r="C24" t="str">
            <v>SACM0068</v>
          </cell>
          <cell r="D24" t="str">
            <v>조장</v>
          </cell>
          <cell r="E24" t="str">
            <v>정동식</v>
          </cell>
          <cell r="F24">
            <v>33900</v>
          </cell>
          <cell r="G24">
            <v>1524240</v>
          </cell>
          <cell r="H24">
            <v>1570820</v>
          </cell>
          <cell r="I24">
            <v>1886900</v>
          </cell>
          <cell r="J24">
            <v>1855460</v>
          </cell>
          <cell r="K24">
            <v>1805350</v>
          </cell>
          <cell r="L24">
            <v>1517690</v>
          </cell>
          <cell r="M24">
            <v>1688641</v>
          </cell>
          <cell r="N24">
            <v>429580</v>
          </cell>
          <cell r="O24">
            <v>859160</v>
          </cell>
          <cell r="P24">
            <v>100000</v>
          </cell>
          <cell r="Q24">
            <v>433300</v>
          </cell>
          <cell r="R24">
            <v>1299890</v>
          </cell>
          <cell r="S24">
            <v>3121930</v>
          </cell>
          <cell r="T24">
            <v>517843.33333333337</v>
          </cell>
          <cell r="U24">
            <v>1088129</v>
          </cell>
        </row>
        <row r="25">
          <cell r="B25" t="str">
            <v>성형반</v>
          </cell>
          <cell r="C25" t="str">
            <v>SACM0074</v>
          </cell>
          <cell r="D25" t="str">
            <v>조장</v>
          </cell>
          <cell r="E25" t="str">
            <v>김대용</v>
          </cell>
          <cell r="F25">
            <v>33906</v>
          </cell>
          <cell r="G25">
            <v>1603500</v>
          </cell>
          <cell r="H25">
            <v>1394570</v>
          </cell>
          <cell r="I25">
            <v>1524830</v>
          </cell>
          <cell r="J25">
            <v>1583430</v>
          </cell>
          <cell r="K25">
            <v>1327810</v>
          </cell>
          <cell r="L25">
            <v>1412080</v>
          </cell>
          <cell r="M25">
            <v>1409778</v>
          </cell>
          <cell r="N25">
            <v>430380</v>
          </cell>
          <cell r="O25">
            <v>860750</v>
          </cell>
          <cell r="P25">
            <v>100000</v>
          </cell>
          <cell r="Q25">
            <v>434090</v>
          </cell>
          <cell r="R25">
            <v>1302280</v>
          </cell>
          <cell r="S25">
            <v>3127500</v>
          </cell>
          <cell r="T25">
            <v>518770.83333333326</v>
          </cell>
          <cell r="U25">
            <v>951065</v>
          </cell>
        </row>
        <row r="26">
          <cell r="B26" t="str">
            <v>성형반</v>
          </cell>
          <cell r="C26" t="str">
            <v>SACM0081</v>
          </cell>
          <cell r="D26" t="str">
            <v>조원</v>
          </cell>
          <cell r="E26" t="str">
            <v>이성수</v>
          </cell>
          <cell r="F26">
            <v>33918</v>
          </cell>
          <cell r="G26">
            <v>1386870</v>
          </cell>
          <cell r="H26">
            <v>1395730</v>
          </cell>
          <cell r="I26">
            <v>1728580</v>
          </cell>
          <cell r="J26">
            <v>1976490</v>
          </cell>
          <cell r="K26">
            <v>1862700</v>
          </cell>
          <cell r="L26">
            <v>1576110</v>
          </cell>
          <cell r="M26">
            <v>1765859</v>
          </cell>
          <cell r="N26">
            <v>420550</v>
          </cell>
          <cell r="O26">
            <v>841090</v>
          </cell>
          <cell r="P26">
            <v>100000</v>
          </cell>
          <cell r="Q26">
            <v>424270</v>
          </cell>
          <cell r="R26">
            <v>1272800</v>
          </cell>
          <cell r="S26">
            <v>3058710</v>
          </cell>
          <cell r="T26">
            <v>507302.49999999994</v>
          </cell>
          <cell r="U26">
            <v>1121011</v>
          </cell>
        </row>
        <row r="27">
          <cell r="B27" t="str">
            <v>성형반</v>
          </cell>
          <cell r="C27" t="str">
            <v>SACM0108</v>
          </cell>
          <cell r="D27" t="str">
            <v>조장</v>
          </cell>
          <cell r="E27" t="str">
            <v>김두성</v>
          </cell>
          <cell r="F27">
            <v>30821</v>
          </cell>
          <cell r="G27">
            <v>2211190</v>
          </cell>
          <cell r="H27">
            <v>2145390</v>
          </cell>
          <cell r="I27">
            <v>2059610</v>
          </cell>
          <cell r="J27">
            <v>2451850</v>
          </cell>
          <cell r="K27">
            <v>2538440</v>
          </cell>
          <cell r="L27">
            <v>2207240</v>
          </cell>
          <cell r="M27">
            <v>2347021</v>
          </cell>
          <cell r="N27">
            <v>558410</v>
          </cell>
          <cell r="O27">
            <v>1116810</v>
          </cell>
          <cell r="P27">
            <v>100000</v>
          </cell>
          <cell r="Q27">
            <v>558410</v>
          </cell>
          <cell r="R27">
            <v>1675220</v>
          </cell>
          <cell r="S27">
            <v>4008850</v>
          </cell>
          <cell r="T27">
            <v>668139.16666666663</v>
          </cell>
          <cell r="U27">
            <v>1486928</v>
          </cell>
        </row>
        <row r="28">
          <cell r="B28" t="str">
            <v>성형반</v>
          </cell>
          <cell r="C28" t="str">
            <v>SACM0117</v>
          </cell>
          <cell r="D28" t="str">
            <v>조장</v>
          </cell>
          <cell r="E28" t="str">
            <v>송채섭</v>
          </cell>
          <cell r="F28">
            <v>31809</v>
          </cell>
          <cell r="G28">
            <v>2066590</v>
          </cell>
          <cell r="H28">
            <v>1889140</v>
          </cell>
          <cell r="I28">
            <v>1989300</v>
          </cell>
          <cell r="J28">
            <v>2248240</v>
          </cell>
          <cell r="K28">
            <v>2119600</v>
          </cell>
          <cell r="L28">
            <v>1708670</v>
          </cell>
          <cell r="M28">
            <v>1981471</v>
          </cell>
          <cell r="N28">
            <v>535560</v>
          </cell>
          <cell r="O28">
            <v>1071130</v>
          </cell>
          <cell r="P28">
            <v>100000</v>
          </cell>
          <cell r="Q28">
            <v>535560</v>
          </cell>
          <cell r="R28">
            <v>1606690</v>
          </cell>
          <cell r="S28">
            <v>3848940</v>
          </cell>
          <cell r="T28">
            <v>641492.5</v>
          </cell>
          <cell r="U28">
            <v>1293516</v>
          </cell>
        </row>
        <row r="29">
          <cell r="B29" t="str">
            <v>성형반</v>
          </cell>
          <cell r="C29" t="str">
            <v>SACM0118</v>
          </cell>
          <cell r="D29" t="str">
            <v>조장</v>
          </cell>
          <cell r="E29" t="str">
            <v>박성환</v>
          </cell>
          <cell r="F29">
            <v>31926</v>
          </cell>
          <cell r="G29">
            <v>1974120</v>
          </cell>
          <cell r="H29">
            <v>1864180</v>
          </cell>
          <cell r="I29">
            <v>1975580</v>
          </cell>
          <cell r="J29">
            <v>1938620</v>
          </cell>
          <cell r="K29">
            <v>2163740</v>
          </cell>
          <cell r="L29">
            <v>1994340</v>
          </cell>
          <cell r="M29">
            <v>1988054</v>
          </cell>
          <cell r="N29">
            <v>537950</v>
          </cell>
          <cell r="O29">
            <v>1075910</v>
          </cell>
          <cell r="P29">
            <v>100000</v>
          </cell>
          <cell r="Q29">
            <v>537950</v>
          </cell>
          <cell r="R29">
            <v>1613860</v>
          </cell>
          <cell r="S29">
            <v>3865670</v>
          </cell>
          <cell r="T29">
            <v>644280.83333333337</v>
          </cell>
          <cell r="U29">
            <v>1298138</v>
          </cell>
        </row>
        <row r="30">
          <cell r="B30" t="str">
            <v>성형반</v>
          </cell>
          <cell r="C30" t="str">
            <v>SACM0119</v>
          </cell>
          <cell r="D30" t="str">
            <v>조장</v>
          </cell>
          <cell r="E30" t="str">
            <v>권경원</v>
          </cell>
          <cell r="F30">
            <v>31820</v>
          </cell>
          <cell r="G30">
            <v>2083440</v>
          </cell>
          <cell r="H30">
            <v>1830230</v>
          </cell>
          <cell r="I30">
            <v>1764320</v>
          </cell>
          <cell r="J30">
            <v>2097470</v>
          </cell>
          <cell r="K30">
            <v>1953600</v>
          </cell>
          <cell r="L30">
            <v>1935240</v>
          </cell>
          <cell r="M30">
            <v>1952058</v>
          </cell>
          <cell r="N30">
            <v>524410</v>
          </cell>
          <cell r="O30">
            <v>1048810</v>
          </cell>
          <cell r="P30">
            <v>100000</v>
          </cell>
          <cell r="Q30">
            <v>524410</v>
          </cell>
          <cell r="R30">
            <v>1573220</v>
          </cell>
          <cell r="S30">
            <v>3770850</v>
          </cell>
          <cell r="T30">
            <v>628472.5</v>
          </cell>
          <cell r="U30">
            <v>1272590</v>
          </cell>
        </row>
        <row r="31">
          <cell r="B31" t="str">
            <v>성형반</v>
          </cell>
          <cell r="C31" t="str">
            <v>SACM0135</v>
          </cell>
          <cell r="D31" t="str">
            <v>조원</v>
          </cell>
          <cell r="E31" t="str">
            <v>채수용</v>
          </cell>
          <cell r="F31">
            <v>34032</v>
          </cell>
          <cell r="G31">
            <v>1546180</v>
          </cell>
          <cell r="H31">
            <v>1357130</v>
          </cell>
          <cell r="I31">
            <v>1517020</v>
          </cell>
          <cell r="J31">
            <v>1479820</v>
          </cell>
          <cell r="K31">
            <v>1541040</v>
          </cell>
          <cell r="L31">
            <v>1378940</v>
          </cell>
          <cell r="M31">
            <v>1434717</v>
          </cell>
          <cell r="N31">
            <v>404610</v>
          </cell>
          <cell r="O31">
            <v>809220</v>
          </cell>
          <cell r="P31">
            <v>100000</v>
          </cell>
          <cell r="Q31">
            <v>404610</v>
          </cell>
          <cell r="R31">
            <v>1213830</v>
          </cell>
          <cell r="S31">
            <v>2932270</v>
          </cell>
          <cell r="T31">
            <v>488711.66666666669</v>
          </cell>
          <cell r="U31">
            <v>948540</v>
          </cell>
        </row>
        <row r="32">
          <cell r="B32" t="str">
            <v>성형반</v>
          </cell>
          <cell r="C32" t="str">
            <v>SACM0137</v>
          </cell>
          <cell r="D32" t="str">
            <v>조원</v>
          </cell>
          <cell r="E32" t="str">
            <v>임철수</v>
          </cell>
          <cell r="F32">
            <v>34034</v>
          </cell>
          <cell r="G32">
            <v>1061540</v>
          </cell>
          <cell r="H32">
            <v>1055510</v>
          </cell>
          <cell r="I32">
            <v>1321620</v>
          </cell>
          <cell r="J32">
            <v>1227310</v>
          </cell>
          <cell r="K32">
            <v>1163780</v>
          </cell>
          <cell r="L32">
            <v>1093910</v>
          </cell>
          <cell r="M32">
            <v>1136413</v>
          </cell>
          <cell r="N32">
            <v>374330</v>
          </cell>
          <cell r="O32">
            <v>748660</v>
          </cell>
          <cell r="P32">
            <v>100000</v>
          </cell>
          <cell r="Q32">
            <v>374330</v>
          </cell>
          <cell r="R32">
            <v>1122990</v>
          </cell>
          <cell r="S32">
            <v>2720310</v>
          </cell>
          <cell r="T32">
            <v>453385</v>
          </cell>
          <cell r="U32">
            <v>784010</v>
          </cell>
        </row>
        <row r="33">
          <cell r="B33" t="str">
            <v>성형반</v>
          </cell>
          <cell r="C33" t="str">
            <v>SACM0147</v>
          </cell>
          <cell r="D33" t="str">
            <v>조원</v>
          </cell>
          <cell r="E33" t="str">
            <v>문충헌</v>
          </cell>
          <cell r="F33">
            <v>34121</v>
          </cell>
          <cell r="G33">
            <v>1378740</v>
          </cell>
          <cell r="H33">
            <v>1443010</v>
          </cell>
          <cell r="I33">
            <v>1427350</v>
          </cell>
          <cell r="J33">
            <v>1463440</v>
          </cell>
          <cell r="K33">
            <v>1458430</v>
          </cell>
          <cell r="L33">
            <v>1284940</v>
          </cell>
          <cell r="M33">
            <v>1371786</v>
          </cell>
          <cell r="N33">
            <v>397440</v>
          </cell>
          <cell r="O33">
            <v>794880</v>
          </cell>
          <cell r="P33">
            <v>100000</v>
          </cell>
          <cell r="Q33">
            <v>397440</v>
          </cell>
          <cell r="R33">
            <v>1192320</v>
          </cell>
          <cell r="S33">
            <v>2882080</v>
          </cell>
          <cell r="T33">
            <v>480346.66666666663</v>
          </cell>
          <cell r="U33">
            <v>913380</v>
          </cell>
        </row>
        <row r="34">
          <cell r="B34" t="str">
            <v>성형반</v>
          </cell>
          <cell r="C34" t="str">
            <v>SACM0174</v>
          </cell>
          <cell r="D34" t="str">
            <v>조원</v>
          </cell>
          <cell r="E34" t="str">
            <v>정헌영</v>
          </cell>
          <cell r="F34">
            <v>34379</v>
          </cell>
          <cell r="G34">
            <v>1433740</v>
          </cell>
          <cell r="H34">
            <v>1294990</v>
          </cell>
          <cell r="I34">
            <v>1209720</v>
          </cell>
          <cell r="J34">
            <v>1416810</v>
          </cell>
          <cell r="K34">
            <v>1386890</v>
          </cell>
          <cell r="L34">
            <v>1462370</v>
          </cell>
          <cell r="M34">
            <v>1391110</v>
          </cell>
          <cell r="N34">
            <v>375920</v>
          </cell>
          <cell r="O34">
            <v>751840</v>
          </cell>
          <cell r="P34">
            <v>100000</v>
          </cell>
          <cell r="Q34">
            <v>375920</v>
          </cell>
          <cell r="R34">
            <v>1127760</v>
          </cell>
          <cell r="S34">
            <v>2731440</v>
          </cell>
          <cell r="T34">
            <v>455240</v>
          </cell>
          <cell r="U34">
            <v>910529</v>
          </cell>
        </row>
        <row r="35">
          <cell r="B35" t="str">
            <v>성형반</v>
          </cell>
          <cell r="C35" t="str">
            <v>SACM0228</v>
          </cell>
          <cell r="D35" t="str">
            <v>조원</v>
          </cell>
          <cell r="E35" t="str">
            <v>전병문</v>
          </cell>
          <cell r="F35">
            <v>34845</v>
          </cell>
          <cell r="G35">
            <v>1369150</v>
          </cell>
          <cell r="H35">
            <v>1239030</v>
          </cell>
          <cell r="I35">
            <v>1489190</v>
          </cell>
          <cell r="J35">
            <v>1300620</v>
          </cell>
          <cell r="K35">
            <v>1194400</v>
          </cell>
          <cell r="L35">
            <v>1251030</v>
          </cell>
          <cell r="M35">
            <v>1221538</v>
          </cell>
          <cell r="N35">
            <v>366630</v>
          </cell>
          <cell r="O35">
            <v>733250</v>
          </cell>
          <cell r="P35">
            <v>100000</v>
          </cell>
          <cell r="Q35">
            <v>370610</v>
          </cell>
          <cell r="R35">
            <v>1111830</v>
          </cell>
          <cell r="S35">
            <v>2682320</v>
          </cell>
          <cell r="T35">
            <v>444395.83333333337</v>
          </cell>
          <cell r="U35">
            <v>821556</v>
          </cell>
        </row>
        <row r="36">
          <cell r="B36" t="str">
            <v>성형반</v>
          </cell>
          <cell r="C36" t="str">
            <v>SACM0248</v>
          </cell>
          <cell r="D36" t="str">
            <v>조원</v>
          </cell>
          <cell r="E36" t="str">
            <v>심하섭</v>
          </cell>
          <cell r="F36">
            <v>35047</v>
          </cell>
          <cell r="G36">
            <v>1262900</v>
          </cell>
          <cell r="H36">
            <v>1307780</v>
          </cell>
          <cell r="I36">
            <v>1478350</v>
          </cell>
          <cell r="J36">
            <v>1532790</v>
          </cell>
          <cell r="K36">
            <v>1414110</v>
          </cell>
          <cell r="L36">
            <v>1308900</v>
          </cell>
          <cell r="M36">
            <v>1387761</v>
          </cell>
          <cell r="N36">
            <v>363440</v>
          </cell>
          <cell r="O36">
            <v>726880</v>
          </cell>
          <cell r="P36">
            <v>100000</v>
          </cell>
          <cell r="Q36">
            <v>363440</v>
          </cell>
          <cell r="R36">
            <v>1090320</v>
          </cell>
          <cell r="S36">
            <v>2644080</v>
          </cell>
          <cell r="T36">
            <v>440680</v>
          </cell>
          <cell r="U36">
            <v>901697</v>
          </cell>
        </row>
        <row r="37">
          <cell r="B37" t="str">
            <v>성형반</v>
          </cell>
          <cell r="C37" t="str">
            <v>SACM0252</v>
          </cell>
          <cell r="D37" t="str">
            <v>조원</v>
          </cell>
          <cell r="E37" t="str">
            <v>김범제</v>
          </cell>
          <cell r="F37">
            <v>35135</v>
          </cell>
          <cell r="G37">
            <v>1220390</v>
          </cell>
          <cell r="H37">
            <v>1192890</v>
          </cell>
          <cell r="I37">
            <v>1328140</v>
          </cell>
          <cell r="J37">
            <v>1232730</v>
          </cell>
          <cell r="K37">
            <v>1228430</v>
          </cell>
          <cell r="L37">
            <v>1178890</v>
          </cell>
          <cell r="M37">
            <v>1186973</v>
          </cell>
          <cell r="N37">
            <v>353080</v>
          </cell>
          <cell r="O37">
            <v>706160</v>
          </cell>
          <cell r="P37">
            <v>100000</v>
          </cell>
          <cell r="Q37">
            <v>353080</v>
          </cell>
          <cell r="R37">
            <v>1059240</v>
          </cell>
          <cell r="S37">
            <v>2571560</v>
          </cell>
          <cell r="T37">
            <v>428593.33333333337</v>
          </cell>
          <cell r="U37">
            <v>796718</v>
          </cell>
        </row>
        <row r="38">
          <cell r="B38" t="str">
            <v>성형반</v>
          </cell>
          <cell r="C38" t="str">
            <v>SACM0256</v>
          </cell>
          <cell r="D38" t="str">
            <v>조원</v>
          </cell>
          <cell r="E38" t="str">
            <v>이봉구#</v>
          </cell>
          <cell r="F38">
            <v>35142</v>
          </cell>
          <cell r="G38">
            <v>1366040</v>
          </cell>
          <cell r="H38">
            <v>1251260</v>
          </cell>
          <cell r="I38">
            <v>1331810</v>
          </cell>
          <cell r="J38">
            <v>1455730</v>
          </cell>
          <cell r="K38">
            <v>1273630</v>
          </cell>
          <cell r="L38">
            <v>1229140</v>
          </cell>
          <cell r="M38">
            <v>1290815</v>
          </cell>
          <cell r="N38">
            <v>355470</v>
          </cell>
          <cell r="O38">
            <v>710940</v>
          </cell>
          <cell r="P38">
            <v>100000</v>
          </cell>
          <cell r="Q38">
            <v>355470</v>
          </cell>
          <cell r="R38">
            <v>1066410</v>
          </cell>
          <cell r="S38">
            <v>2588290</v>
          </cell>
          <cell r="T38">
            <v>431381.66666666669</v>
          </cell>
          <cell r="U38">
            <v>849302</v>
          </cell>
        </row>
        <row r="39">
          <cell r="B39" t="str">
            <v>성형반</v>
          </cell>
          <cell r="C39" t="str">
            <v>SACM0265</v>
          </cell>
          <cell r="D39" t="str">
            <v>조원</v>
          </cell>
          <cell r="E39" t="str">
            <v>김선봉</v>
          </cell>
          <cell r="F39">
            <v>35158</v>
          </cell>
          <cell r="G39">
            <v>1149190</v>
          </cell>
          <cell r="H39">
            <v>1052810</v>
          </cell>
          <cell r="I39">
            <v>1498220</v>
          </cell>
          <cell r="J39">
            <v>1422980</v>
          </cell>
          <cell r="K39">
            <v>1249880</v>
          </cell>
          <cell r="L39">
            <v>1117660</v>
          </cell>
          <cell r="M39">
            <v>1236039</v>
          </cell>
          <cell r="N39">
            <v>352280</v>
          </cell>
          <cell r="O39">
            <v>704560</v>
          </cell>
          <cell r="P39">
            <v>100000</v>
          </cell>
          <cell r="Q39">
            <v>352280</v>
          </cell>
          <cell r="R39">
            <v>1056840</v>
          </cell>
          <cell r="S39">
            <v>2565960</v>
          </cell>
          <cell r="T39">
            <v>427660</v>
          </cell>
          <cell r="U39">
            <v>820454</v>
          </cell>
        </row>
        <row r="40">
          <cell r="B40" t="str">
            <v>성형반</v>
          </cell>
          <cell r="C40" t="str">
            <v>SACM0303</v>
          </cell>
          <cell r="D40" t="str">
            <v>조원</v>
          </cell>
          <cell r="E40" t="str">
            <v>김재동</v>
          </cell>
          <cell r="F40">
            <v>36362</v>
          </cell>
          <cell r="G40">
            <v>284690</v>
          </cell>
          <cell r="H40">
            <v>1073980</v>
          </cell>
          <cell r="I40">
            <v>1138810</v>
          </cell>
          <cell r="J40">
            <v>692990</v>
          </cell>
          <cell r="K40">
            <v>0</v>
          </cell>
          <cell r="L40">
            <v>0</v>
          </cell>
          <cell r="M40">
            <v>225975</v>
          </cell>
          <cell r="P40">
            <v>50000</v>
          </cell>
          <cell r="Q40">
            <v>0</v>
          </cell>
          <cell r="R40">
            <v>0</v>
          </cell>
          <cell r="S40">
            <v>50000</v>
          </cell>
          <cell r="T40">
            <v>8333.3333333333339</v>
          </cell>
          <cell r="U40">
            <v>0</v>
          </cell>
        </row>
        <row r="41">
          <cell r="B41" t="str">
            <v>성형반</v>
          </cell>
          <cell r="C41" t="str">
            <v>SACM0309</v>
          </cell>
          <cell r="D41" t="str">
            <v>조원</v>
          </cell>
          <cell r="E41" t="str">
            <v>곽노정</v>
          </cell>
          <cell r="F41">
            <v>36412</v>
          </cell>
          <cell r="I41">
            <v>778730</v>
          </cell>
          <cell r="J41">
            <v>1105210</v>
          </cell>
          <cell r="K41">
            <v>1058080</v>
          </cell>
          <cell r="L41">
            <v>938990</v>
          </cell>
          <cell r="M41">
            <v>1011613</v>
          </cell>
          <cell r="P41">
            <v>50000</v>
          </cell>
          <cell r="Q41">
            <v>119980</v>
          </cell>
          <cell r="R41">
            <v>539910</v>
          </cell>
          <cell r="S41">
            <v>709890</v>
          </cell>
          <cell r="T41">
            <v>8333.3333333333339</v>
          </cell>
          <cell r="U41">
            <v>0</v>
          </cell>
        </row>
        <row r="42">
          <cell r="B42" t="str">
            <v>성형반</v>
          </cell>
          <cell r="C42" t="str">
            <v>SACM0313</v>
          </cell>
          <cell r="D42" t="str">
            <v>조원</v>
          </cell>
          <cell r="E42" t="str">
            <v>김호남</v>
          </cell>
          <cell r="F42">
            <v>36423</v>
          </cell>
          <cell r="I42">
            <v>363570</v>
          </cell>
          <cell r="J42">
            <v>1154130</v>
          </cell>
          <cell r="K42">
            <v>1065480</v>
          </cell>
          <cell r="L42">
            <v>967530</v>
          </cell>
          <cell r="M42">
            <v>1039285</v>
          </cell>
          <cell r="Q42">
            <v>119980</v>
          </cell>
          <cell r="R42">
            <v>539910</v>
          </cell>
          <cell r="S42">
            <v>659890</v>
          </cell>
          <cell r="T42">
            <v>0</v>
          </cell>
          <cell r="U42">
            <v>0</v>
          </cell>
        </row>
        <row r="43">
          <cell r="B43" t="str">
            <v>가공반</v>
          </cell>
          <cell r="C43" t="str">
            <v>SACM0122</v>
          </cell>
          <cell r="D43" t="str">
            <v>조장</v>
          </cell>
          <cell r="E43" t="str">
            <v>이정오</v>
          </cell>
          <cell r="F43">
            <v>31840</v>
          </cell>
          <cell r="G43">
            <v>2052850</v>
          </cell>
          <cell r="H43">
            <v>1656510</v>
          </cell>
          <cell r="I43">
            <v>1811860</v>
          </cell>
          <cell r="J43">
            <v>1757610</v>
          </cell>
          <cell r="K43">
            <v>1766610</v>
          </cell>
          <cell r="L43">
            <v>1675240</v>
          </cell>
          <cell r="M43">
            <v>1695476</v>
          </cell>
          <cell r="N43">
            <v>539550</v>
          </cell>
          <cell r="O43">
            <v>1079090</v>
          </cell>
          <cell r="P43">
            <v>100000</v>
          </cell>
          <cell r="Q43">
            <v>539550</v>
          </cell>
          <cell r="R43">
            <v>1618640</v>
          </cell>
          <cell r="S43">
            <v>3876830</v>
          </cell>
          <cell r="T43">
            <v>646135.83333333326</v>
          </cell>
          <cell r="U43">
            <v>1154767</v>
          </cell>
        </row>
        <row r="44">
          <cell r="B44" t="str">
            <v>가공반</v>
          </cell>
          <cell r="C44" t="str">
            <v>SACM0127</v>
          </cell>
          <cell r="D44" t="str">
            <v>조원</v>
          </cell>
          <cell r="E44" t="str">
            <v>강현민</v>
          </cell>
          <cell r="F44">
            <v>33534</v>
          </cell>
          <cell r="G44">
            <v>1645730</v>
          </cell>
          <cell r="H44">
            <v>1709680</v>
          </cell>
          <cell r="I44">
            <v>1611950</v>
          </cell>
          <cell r="J44">
            <v>1455060</v>
          </cell>
          <cell r="K44">
            <v>1518490</v>
          </cell>
          <cell r="L44">
            <v>1368070</v>
          </cell>
          <cell r="M44">
            <v>1415746</v>
          </cell>
          <cell r="N44">
            <v>467300</v>
          </cell>
          <cell r="O44">
            <v>934590</v>
          </cell>
          <cell r="P44">
            <v>100000</v>
          </cell>
          <cell r="Q44">
            <v>467300</v>
          </cell>
          <cell r="R44">
            <v>1401890</v>
          </cell>
          <cell r="S44">
            <v>3371080</v>
          </cell>
          <cell r="T44">
            <v>561844.16666666674</v>
          </cell>
          <cell r="U44">
            <v>975250</v>
          </cell>
        </row>
        <row r="45">
          <cell r="B45" t="str">
            <v>가공반</v>
          </cell>
          <cell r="C45" t="str">
            <v>SACM0281</v>
          </cell>
          <cell r="D45" t="str">
            <v>조원</v>
          </cell>
          <cell r="E45" t="str">
            <v>이희준</v>
          </cell>
          <cell r="F45">
            <v>35648</v>
          </cell>
          <cell r="G45">
            <v>1091820</v>
          </cell>
          <cell r="H45">
            <v>964680</v>
          </cell>
          <cell r="I45">
            <v>1301940</v>
          </cell>
          <cell r="J45">
            <v>1252050</v>
          </cell>
          <cell r="K45">
            <v>1203900</v>
          </cell>
          <cell r="L45">
            <v>1176440</v>
          </cell>
          <cell r="M45">
            <v>1184475</v>
          </cell>
          <cell r="N45">
            <v>339800</v>
          </cell>
          <cell r="O45">
            <v>679590</v>
          </cell>
          <cell r="P45">
            <v>100000</v>
          </cell>
          <cell r="Q45">
            <v>339800</v>
          </cell>
          <cell r="R45">
            <v>1019390</v>
          </cell>
          <cell r="S45">
            <v>2478580</v>
          </cell>
          <cell r="T45">
            <v>413094.16666666663</v>
          </cell>
          <cell r="U45">
            <v>787842</v>
          </cell>
        </row>
        <row r="46">
          <cell r="B46" t="str">
            <v>소결소계</v>
          </cell>
          <cell r="G46">
            <v>56605160</v>
          </cell>
          <cell r="H46">
            <v>54544880</v>
          </cell>
          <cell r="I46">
            <v>59718870</v>
          </cell>
          <cell r="J46">
            <v>62047740</v>
          </cell>
          <cell r="K46">
            <v>59409440</v>
          </cell>
          <cell r="L46">
            <v>55769300</v>
          </cell>
          <cell r="M46">
            <v>57791244</v>
          </cell>
          <cell r="N46">
            <v>15528390</v>
          </cell>
          <cell r="O46">
            <v>31056760</v>
          </cell>
          <cell r="P46">
            <v>3800000</v>
          </cell>
          <cell r="Q46">
            <v>15811120</v>
          </cell>
          <cell r="R46">
            <v>48113900</v>
          </cell>
          <cell r="S46">
            <v>114310170</v>
          </cell>
          <cell r="T46">
            <v>18749776.666666668</v>
          </cell>
          <cell r="U46">
            <v>36205429</v>
          </cell>
        </row>
        <row r="47">
          <cell r="A47" t="str">
            <v>마찰</v>
          </cell>
          <cell r="B47" t="str">
            <v>후공정</v>
          </cell>
          <cell r="C47" t="str">
            <v>SACM0223</v>
          </cell>
          <cell r="D47" t="str">
            <v>조원</v>
          </cell>
          <cell r="E47" t="str">
            <v>정재진</v>
          </cell>
          <cell r="F47">
            <v>34821</v>
          </cell>
          <cell r="G47">
            <v>1238700</v>
          </cell>
          <cell r="H47">
            <v>1290800</v>
          </cell>
          <cell r="I47">
            <v>1245920</v>
          </cell>
          <cell r="J47">
            <v>1116090</v>
          </cell>
          <cell r="K47">
            <v>1101550</v>
          </cell>
          <cell r="L47">
            <v>904420</v>
          </cell>
          <cell r="M47">
            <v>1018063</v>
          </cell>
          <cell r="N47">
            <v>360250</v>
          </cell>
          <cell r="O47">
            <v>720500</v>
          </cell>
          <cell r="P47">
            <v>100000</v>
          </cell>
          <cell r="Q47">
            <v>360250</v>
          </cell>
          <cell r="R47">
            <v>1080750</v>
          </cell>
          <cell r="S47">
            <v>2621750</v>
          </cell>
          <cell r="T47">
            <v>436958.33333333331</v>
          </cell>
          <cell r="U47">
            <v>717545</v>
          </cell>
        </row>
        <row r="48">
          <cell r="B48" t="str">
            <v>후공정</v>
          </cell>
          <cell r="C48" t="str">
            <v>SACM0317</v>
          </cell>
          <cell r="D48" t="str">
            <v>조원</v>
          </cell>
          <cell r="E48" t="str">
            <v>송범호</v>
          </cell>
          <cell r="F48">
            <v>36465</v>
          </cell>
          <cell r="K48">
            <v>910490</v>
          </cell>
          <cell r="L48">
            <v>935430</v>
          </cell>
          <cell r="M48">
            <v>601930</v>
          </cell>
          <cell r="Q48">
            <v>0</v>
          </cell>
          <cell r="R48">
            <v>304740</v>
          </cell>
          <cell r="S48">
            <v>304740</v>
          </cell>
          <cell r="T48">
            <v>0</v>
          </cell>
          <cell r="U48">
            <v>0</v>
          </cell>
        </row>
        <row r="49">
          <cell r="B49" t="str">
            <v>후공정</v>
          </cell>
          <cell r="C49" t="str">
            <v>SACW0008</v>
          </cell>
          <cell r="D49" t="str">
            <v>반장보</v>
          </cell>
          <cell r="E49" t="str">
            <v>한경영</v>
          </cell>
          <cell r="F49">
            <v>33826</v>
          </cell>
          <cell r="G49">
            <v>1602730</v>
          </cell>
          <cell r="H49">
            <v>1349440</v>
          </cell>
          <cell r="I49">
            <v>1471500</v>
          </cell>
          <cell r="J49">
            <v>1406600</v>
          </cell>
          <cell r="K49">
            <v>1304860</v>
          </cell>
          <cell r="L49">
            <v>1221590</v>
          </cell>
          <cell r="M49">
            <v>1282516</v>
          </cell>
          <cell r="N49">
            <v>394520</v>
          </cell>
          <cell r="O49">
            <v>789030</v>
          </cell>
          <cell r="P49">
            <v>100000</v>
          </cell>
          <cell r="Q49">
            <v>394520</v>
          </cell>
          <cell r="R49">
            <v>1183550</v>
          </cell>
          <cell r="S49">
            <v>2861620</v>
          </cell>
          <cell r="T49">
            <v>476934.16666666663</v>
          </cell>
          <cell r="U49">
            <v>867674</v>
          </cell>
        </row>
        <row r="50">
          <cell r="B50" t="str">
            <v>후공정</v>
          </cell>
          <cell r="C50" t="str">
            <v>SACW0014</v>
          </cell>
          <cell r="D50" t="str">
            <v>조원</v>
          </cell>
          <cell r="E50" t="str">
            <v>최명숙</v>
          </cell>
          <cell r="F50">
            <v>34214</v>
          </cell>
          <cell r="G50">
            <v>1359620</v>
          </cell>
          <cell r="H50">
            <v>1259090</v>
          </cell>
          <cell r="I50">
            <v>1324600</v>
          </cell>
          <cell r="J50">
            <v>1309110</v>
          </cell>
          <cell r="K50">
            <v>1167130</v>
          </cell>
          <cell r="L50">
            <v>1115320</v>
          </cell>
          <cell r="M50">
            <v>1171161</v>
          </cell>
          <cell r="N50">
            <v>348030</v>
          </cell>
          <cell r="O50">
            <v>696060</v>
          </cell>
          <cell r="P50">
            <v>100000</v>
          </cell>
          <cell r="Q50">
            <v>348030</v>
          </cell>
          <cell r="R50">
            <v>1044090</v>
          </cell>
          <cell r="S50">
            <v>2536210</v>
          </cell>
          <cell r="T50">
            <v>422701.66666666663</v>
          </cell>
          <cell r="U50">
            <v>786014</v>
          </cell>
        </row>
        <row r="51">
          <cell r="B51" t="str">
            <v>후공정</v>
          </cell>
          <cell r="C51" t="str">
            <v>SACW0015</v>
          </cell>
          <cell r="D51" t="str">
            <v>조원</v>
          </cell>
          <cell r="E51" t="str">
            <v>장영란</v>
          </cell>
          <cell r="F51">
            <v>34394</v>
          </cell>
          <cell r="G51">
            <v>1122510</v>
          </cell>
          <cell r="H51">
            <v>1099320</v>
          </cell>
          <cell r="I51">
            <v>1111360</v>
          </cell>
          <cell r="J51">
            <v>1189290</v>
          </cell>
          <cell r="K51">
            <v>1068580</v>
          </cell>
          <cell r="L51">
            <v>1017870</v>
          </cell>
          <cell r="M51">
            <v>1068176</v>
          </cell>
          <cell r="N51">
            <v>340060</v>
          </cell>
          <cell r="O51">
            <v>680130</v>
          </cell>
          <cell r="P51">
            <v>100000</v>
          </cell>
          <cell r="Q51">
            <v>340060</v>
          </cell>
          <cell r="R51">
            <v>1020190</v>
          </cell>
          <cell r="S51">
            <v>2480440</v>
          </cell>
          <cell r="T51">
            <v>413409.16666666663</v>
          </cell>
          <cell r="U51">
            <v>730645</v>
          </cell>
        </row>
        <row r="52">
          <cell r="B52" t="str">
            <v>후공정</v>
          </cell>
          <cell r="C52" t="str">
            <v>SACW0016</v>
          </cell>
          <cell r="D52" t="str">
            <v>조원</v>
          </cell>
          <cell r="E52" t="str">
            <v>김동순</v>
          </cell>
          <cell r="F52">
            <v>34486</v>
          </cell>
          <cell r="G52">
            <v>1198460</v>
          </cell>
          <cell r="H52">
            <v>1132110</v>
          </cell>
          <cell r="I52">
            <v>1198490</v>
          </cell>
          <cell r="J52">
            <v>1218970</v>
          </cell>
          <cell r="K52">
            <v>1086710</v>
          </cell>
          <cell r="L52">
            <v>1077740</v>
          </cell>
          <cell r="M52">
            <v>1103289</v>
          </cell>
          <cell r="N52">
            <v>339270</v>
          </cell>
          <cell r="O52">
            <v>678530</v>
          </cell>
          <cell r="P52">
            <v>100000</v>
          </cell>
          <cell r="Q52">
            <v>339270</v>
          </cell>
          <cell r="R52">
            <v>1017800</v>
          </cell>
          <cell r="S52">
            <v>2474870</v>
          </cell>
          <cell r="T52">
            <v>412475.83333333337</v>
          </cell>
          <cell r="U52">
            <v>747500</v>
          </cell>
        </row>
        <row r="53">
          <cell r="B53" t="str">
            <v>후공정</v>
          </cell>
          <cell r="C53" t="str">
            <v>SACW0017</v>
          </cell>
          <cell r="D53" t="str">
            <v>조원</v>
          </cell>
          <cell r="E53" t="str">
            <v>김경숙</v>
          </cell>
          <cell r="F53">
            <v>34799</v>
          </cell>
          <cell r="G53">
            <v>1237360</v>
          </cell>
          <cell r="H53">
            <v>1184240</v>
          </cell>
          <cell r="I53">
            <v>1170100</v>
          </cell>
          <cell r="J53">
            <v>1192230</v>
          </cell>
          <cell r="K53">
            <v>1121040</v>
          </cell>
          <cell r="L53">
            <v>1009680</v>
          </cell>
          <cell r="M53">
            <v>1083571</v>
          </cell>
          <cell r="N53">
            <v>326780</v>
          </cell>
          <cell r="O53">
            <v>653560</v>
          </cell>
          <cell r="P53">
            <v>100000</v>
          </cell>
          <cell r="Q53">
            <v>326780</v>
          </cell>
          <cell r="R53">
            <v>980340</v>
          </cell>
          <cell r="S53">
            <v>2387460</v>
          </cell>
          <cell r="T53">
            <v>397910</v>
          </cell>
          <cell r="U53">
            <v>730593</v>
          </cell>
        </row>
        <row r="54">
          <cell r="B54" t="str">
            <v>후공정</v>
          </cell>
          <cell r="C54" t="str">
            <v>SACW0018</v>
          </cell>
          <cell r="D54" t="str">
            <v>조원</v>
          </cell>
          <cell r="E54" t="str">
            <v>강순이</v>
          </cell>
          <cell r="F54">
            <v>34835</v>
          </cell>
          <cell r="G54">
            <v>1022860</v>
          </cell>
          <cell r="H54">
            <v>1068980</v>
          </cell>
          <cell r="I54">
            <v>1060950</v>
          </cell>
          <cell r="J54">
            <v>1074400</v>
          </cell>
          <cell r="K54">
            <v>931270</v>
          </cell>
          <cell r="L54">
            <v>945190</v>
          </cell>
          <cell r="M54">
            <v>962237</v>
          </cell>
          <cell r="N54">
            <v>326780</v>
          </cell>
          <cell r="O54">
            <v>653560</v>
          </cell>
          <cell r="P54">
            <v>100000</v>
          </cell>
          <cell r="Q54">
            <v>326780</v>
          </cell>
          <cell r="R54">
            <v>980340</v>
          </cell>
          <cell r="S54">
            <v>2387460</v>
          </cell>
          <cell r="T54">
            <v>397910</v>
          </cell>
          <cell r="U54">
            <v>670757</v>
          </cell>
        </row>
        <row r="55">
          <cell r="B55" t="str">
            <v>후공정</v>
          </cell>
          <cell r="C55" t="str">
            <v>SACW0022</v>
          </cell>
          <cell r="D55" t="str">
            <v>조원</v>
          </cell>
          <cell r="E55" t="str">
            <v>이덕희</v>
          </cell>
          <cell r="F55">
            <v>34836</v>
          </cell>
          <cell r="G55">
            <v>1031950</v>
          </cell>
          <cell r="H55">
            <v>966930</v>
          </cell>
          <cell r="I55">
            <v>1074580</v>
          </cell>
          <cell r="J55">
            <v>1010120</v>
          </cell>
          <cell r="K55">
            <v>950000</v>
          </cell>
          <cell r="L55">
            <v>881140</v>
          </cell>
          <cell r="M55">
            <v>926498</v>
          </cell>
          <cell r="N55">
            <v>326780</v>
          </cell>
          <cell r="O55">
            <v>653560</v>
          </cell>
          <cell r="P55">
            <v>100000</v>
          </cell>
          <cell r="Q55">
            <v>326780</v>
          </cell>
          <cell r="R55">
            <v>980340</v>
          </cell>
          <cell r="S55">
            <v>2387460</v>
          </cell>
          <cell r="T55">
            <v>397910</v>
          </cell>
          <cell r="U55">
            <v>653133</v>
          </cell>
        </row>
        <row r="56">
          <cell r="B56" t="str">
            <v>후공정</v>
          </cell>
          <cell r="C56" t="str">
            <v>SACW0024</v>
          </cell>
          <cell r="D56" t="str">
            <v>조원</v>
          </cell>
          <cell r="E56" t="str">
            <v>이춘자</v>
          </cell>
          <cell r="F56">
            <v>34927</v>
          </cell>
          <cell r="G56">
            <v>1147110</v>
          </cell>
          <cell r="H56">
            <v>1096880</v>
          </cell>
          <cell r="I56">
            <v>1132100</v>
          </cell>
          <cell r="J56">
            <v>1113900</v>
          </cell>
          <cell r="K56">
            <v>1064940</v>
          </cell>
          <cell r="L56">
            <v>999670</v>
          </cell>
          <cell r="M56">
            <v>1036471</v>
          </cell>
          <cell r="N56">
            <v>326780</v>
          </cell>
          <cell r="O56">
            <v>653560</v>
          </cell>
          <cell r="P56">
            <v>100000</v>
          </cell>
          <cell r="Q56">
            <v>326780</v>
          </cell>
          <cell r="R56">
            <v>980340</v>
          </cell>
          <cell r="S56">
            <v>2387460</v>
          </cell>
          <cell r="T56">
            <v>397910</v>
          </cell>
          <cell r="U56">
            <v>707366</v>
          </cell>
        </row>
        <row r="57">
          <cell r="B57" t="str">
            <v>후공정</v>
          </cell>
          <cell r="C57" t="str">
            <v>SACW0025</v>
          </cell>
          <cell r="D57" t="str">
            <v>조원</v>
          </cell>
          <cell r="E57" t="str">
            <v>이봉구</v>
          </cell>
          <cell r="F57">
            <v>34998</v>
          </cell>
          <cell r="G57">
            <v>1054570</v>
          </cell>
          <cell r="H57">
            <v>1076050</v>
          </cell>
          <cell r="I57">
            <v>1157700</v>
          </cell>
          <cell r="J57">
            <v>1125490</v>
          </cell>
          <cell r="K57">
            <v>1038870</v>
          </cell>
          <cell r="L57">
            <v>1021060</v>
          </cell>
          <cell r="M57">
            <v>1038724</v>
          </cell>
          <cell r="N57">
            <v>326780</v>
          </cell>
          <cell r="O57">
            <v>653560</v>
          </cell>
          <cell r="P57">
            <v>100000</v>
          </cell>
          <cell r="Q57">
            <v>326780</v>
          </cell>
          <cell r="R57">
            <v>980340</v>
          </cell>
          <cell r="S57">
            <v>2387460</v>
          </cell>
          <cell r="T57">
            <v>397910</v>
          </cell>
          <cell r="U57">
            <v>708477</v>
          </cell>
        </row>
        <row r="58">
          <cell r="B58" t="str">
            <v>후공정</v>
          </cell>
          <cell r="C58" t="str">
            <v>SACW0026</v>
          </cell>
          <cell r="D58" t="str">
            <v>조원</v>
          </cell>
          <cell r="E58" t="str">
            <v>남금순</v>
          </cell>
          <cell r="F58">
            <v>36390</v>
          </cell>
          <cell r="H58">
            <v>451800</v>
          </cell>
          <cell r="I58">
            <v>962880</v>
          </cell>
          <cell r="J58">
            <v>970720</v>
          </cell>
          <cell r="K58">
            <v>912380</v>
          </cell>
          <cell r="L58">
            <v>929570</v>
          </cell>
          <cell r="M58">
            <v>917175</v>
          </cell>
          <cell r="P58">
            <v>100000</v>
          </cell>
          <cell r="Q58">
            <v>118600</v>
          </cell>
          <cell r="R58">
            <v>533700</v>
          </cell>
          <cell r="S58">
            <v>752300</v>
          </cell>
          <cell r="T58">
            <v>16666.666666666668</v>
          </cell>
          <cell r="U58">
            <v>0</v>
          </cell>
        </row>
        <row r="59">
          <cell r="B59" t="str">
            <v>후공정</v>
          </cell>
          <cell r="C59" t="str">
            <v>SACW0027</v>
          </cell>
          <cell r="D59" t="str">
            <v>조원</v>
          </cell>
          <cell r="E59" t="str">
            <v>김선좌</v>
          </cell>
          <cell r="F59">
            <v>36423</v>
          </cell>
          <cell r="I59">
            <v>384130</v>
          </cell>
          <cell r="J59">
            <v>920720</v>
          </cell>
          <cell r="K59">
            <v>858130</v>
          </cell>
          <cell r="L59">
            <v>762880</v>
          </cell>
          <cell r="M59">
            <v>828825</v>
          </cell>
          <cell r="Q59">
            <v>110100</v>
          </cell>
          <cell r="R59">
            <v>495450</v>
          </cell>
          <cell r="S59">
            <v>605550</v>
          </cell>
          <cell r="T59">
            <v>0</v>
          </cell>
          <cell r="U59">
            <v>0</v>
          </cell>
        </row>
        <row r="60">
          <cell r="B60" t="str">
            <v>전처리</v>
          </cell>
          <cell r="C60" t="str">
            <v>SACM0067</v>
          </cell>
          <cell r="D60" t="str">
            <v>조원</v>
          </cell>
          <cell r="E60" t="str">
            <v>김명호</v>
          </cell>
          <cell r="F60">
            <v>33898</v>
          </cell>
          <cell r="G60">
            <v>1111350</v>
          </cell>
          <cell r="H60">
            <v>1165470</v>
          </cell>
          <cell r="I60">
            <v>1190940</v>
          </cell>
          <cell r="J60">
            <v>1286600</v>
          </cell>
          <cell r="K60">
            <v>1106860</v>
          </cell>
          <cell r="L60">
            <v>1180400</v>
          </cell>
          <cell r="M60">
            <v>1165389</v>
          </cell>
          <cell r="N60">
            <v>377520</v>
          </cell>
          <cell r="O60">
            <v>755030</v>
          </cell>
          <cell r="P60">
            <v>100000</v>
          </cell>
          <cell r="Q60">
            <v>381240</v>
          </cell>
          <cell r="R60">
            <v>1143710</v>
          </cell>
          <cell r="S60">
            <v>2757500</v>
          </cell>
          <cell r="T60">
            <v>457100.83333333337</v>
          </cell>
          <cell r="U60">
            <v>800132</v>
          </cell>
        </row>
        <row r="61">
          <cell r="B61" t="str">
            <v>전처리</v>
          </cell>
          <cell r="C61" t="str">
            <v>SACM0194</v>
          </cell>
          <cell r="D61" t="str">
            <v>조원</v>
          </cell>
          <cell r="E61" t="str">
            <v>허종욱</v>
          </cell>
          <cell r="F61">
            <v>34562</v>
          </cell>
          <cell r="G61">
            <v>1193280</v>
          </cell>
          <cell r="H61">
            <v>1131900</v>
          </cell>
          <cell r="I61">
            <v>1138450</v>
          </cell>
          <cell r="J61">
            <v>1298940</v>
          </cell>
          <cell r="K61">
            <v>1159740</v>
          </cell>
          <cell r="L61">
            <v>1113440</v>
          </cell>
          <cell r="M61">
            <v>1164822</v>
          </cell>
          <cell r="N61">
            <v>379110</v>
          </cell>
          <cell r="O61">
            <v>758220</v>
          </cell>
          <cell r="P61">
            <v>100000</v>
          </cell>
          <cell r="Q61">
            <v>379110</v>
          </cell>
          <cell r="R61">
            <v>1137330</v>
          </cell>
          <cell r="S61">
            <v>2753770</v>
          </cell>
          <cell r="T61">
            <v>458961.66666666669</v>
          </cell>
          <cell r="U61">
            <v>800770</v>
          </cell>
        </row>
        <row r="62">
          <cell r="B62" t="str">
            <v>전처리</v>
          </cell>
          <cell r="C62" t="str">
            <v>SACM0247</v>
          </cell>
          <cell r="D62" t="str">
            <v>조원</v>
          </cell>
          <cell r="E62" t="str">
            <v>정만종</v>
          </cell>
          <cell r="F62">
            <v>35042</v>
          </cell>
          <cell r="G62">
            <v>1253480</v>
          </cell>
          <cell r="H62">
            <v>1237880</v>
          </cell>
          <cell r="I62">
            <v>1270610</v>
          </cell>
          <cell r="J62">
            <v>1292040</v>
          </cell>
          <cell r="K62">
            <v>1288850</v>
          </cell>
          <cell r="L62">
            <v>1210650</v>
          </cell>
          <cell r="M62">
            <v>1236372</v>
          </cell>
          <cell r="N62">
            <v>365030</v>
          </cell>
          <cell r="O62">
            <v>730060</v>
          </cell>
          <cell r="P62">
            <v>100000</v>
          </cell>
          <cell r="Q62">
            <v>365030</v>
          </cell>
          <cell r="R62">
            <v>1095090</v>
          </cell>
          <cell r="S62">
            <v>2655210</v>
          </cell>
          <cell r="T62">
            <v>442535</v>
          </cell>
          <cell r="U62">
            <v>827954</v>
          </cell>
        </row>
        <row r="63">
          <cell r="B63" t="str">
            <v>도장</v>
          </cell>
          <cell r="C63" t="str">
            <v>SACM0307</v>
          </cell>
          <cell r="D63" t="str">
            <v>조원</v>
          </cell>
          <cell r="E63" t="str">
            <v>이병학</v>
          </cell>
          <cell r="F63">
            <v>36388</v>
          </cell>
          <cell r="H63">
            <v>482180</v>
          </cell>
          <cell r="I63">
            <v>1082610</v>
          </cell>
          <cell r="J63">
            <v>1198110</v>
          </cell>
          <cell r="K63">
            <v>1045160</v>
          </cell>
          <cell r="L63">
            <v>1184020</v>
          </cell>
          <cell r="M63">
            <v>1117595</v>
          </cell>
          <cell r="P63">
            <v>50000</v>
          </cell>
          <cell r="Q63">
            <v>138360</v>
          </cell>
          <cell r="R63">
            <v>622640</v>
          </cell>
          <cell r="S63">
            <v>811000</v>
          </cell>
          <cell r="T63">
            <v>8333.3333333333339</v>
          </cell>
          <cell r="U63">
            <v>0</v>
          </cell>
        </row>
        <row r="64">
          <cell r="B64" t="str">
            <v>SHOT</v>
          </cell>
          <cell r="C64" t="str">
            <v>SACM0316</v>
          </cell>
          <cell r="D64" t="str">
            <v>조원</v>
          </cell>
          <cell r="E64" t="str">
            <v>박병호</v>
          </cell>
          <cell r="F64">
            <v>36465</v>
          </cell>
          <cell r="K64">
            <v>967920</v>
          </cell>
          <cell r="L64">
            <v>1017820</v>
          </cell>
          <cell r="M64">
            <v>647524</v>
          </cell>
          <cell r="Q64">
            <v>0</v>
          </cell>
          <cell r="R64">
            <v>310310</v>
          </cell>
          <cell r="S64">
            <v>310310</v>
          </cell>
          <cell r="T64">
            <v>0</v>
          </cell>
          <cell r="U64">
            <v>0</v>
          </cell>
        </row>
        <row r="65">
          <cell r="B65" t="str">
            <v>MIXER</v>
          </cell>
          <cell r="C65" t="str">
            <v>SACM0259</v>
          </cell>
          <cell r="D65" t="str">
            <v>조원</v>
          </cell>
          <cell r="E65" t="str">
            <v>조기봉</v>
          </cell>
          <cell r="F65">
            <v>35144</v>
          </cell>
          <cell r="G65">
            <v>1356290</v>
          </cell>
          <cell r="H65">
            <v>1324600</v>
          </cell>
          <cell r="I65">
            <v>1642800</v>
          </cell>
          <cell r="J65">
            <v>1381840</v>
          </cell>
          <cell r="K65">
            <v>1364910</v>
          </cell>
          <cell r="L65">
            <v>1209930</v>
          </cell>
          <cell r="M65">
            <v>1290222</v>
          </cell>
          <cell r="N65">
            <v>355470</v>
          </cell>
          <cell r="O65">
            <v>710940</v>
          </cell>
          <cell r="P65">
            <v>100000</v>
          </cell>
          <cell r="Q65">
            <v>355470</v>
          </cell>
          <cell r="R65">
            <v>1066410</v>
          </cell>
          <cell r="S65">
            <v>2588290</v>
          </cell>
          <cell r="T65">
            <v>431381.66666666669</v>
          </cell>
          <cell r="U65">
            <v>849010</v>
          </cell>
        </row>
        <row r="66">
          <cell r="B66" t="str">
            <v>MIXER</v>
          </cell>
          <cell r="C66" t="str">
            <v>SACM0291</v>
          </cell>
          <cell r="D66" t="str">
            <v>조원</v>
          </cell>
          <cell r="E66" t="str">
            <v>이성규#</v>
          </cell>
          <cell r="F66">
            <v>36104</v>
          </cell>
          <cell r="G66">
            <v>1343150</v>
          </cell>
          <cell r="H66">
            <v>1404850</v>
          </cell>
          <cell r="I66">
            <v>1401310</v>
          </cell>
          <cell r="J66">
            <v>1385570</v>
          </cell>
          <cell r="K66">
            <v>1362100</v>
          </cell>
          <cell r="L66">
            <v>1243140</v>
          </cell>
          <cell r="M66">
            <v>1301351</v>
          </cell>
          <cell r="N66">
            <v>321200</v>
          </cell>
          <cell r="O66">
            <v>642410</v>
          </cell>
          <cell r="P66">
            <v>100000</v>
          </cell>
          <cell r="Q66">
            <v>333420</v>
          </cell>
          <cell r="R66">
            <v>1000260</v>
          </cell>
          <cell r="S66">
            <v>2397290</v>
          </cell>
          <cell r="T66">
            <v>391405.83333333331</v>
          </cell>
          <cell r="U66">
            <v>834784</v>
          </cell>
        </row>
        <row r="67">
          <cell r="B67" t="str">
            <v>MIXER</v>
          </cell>
          <cell r="C67" t="str">
            <v>SACM0296</v>
          </cell>
          <cell r="D67" t="str">
            <v>조원</v>
          </cell>
          <cell r="E67" t="str">
            <v>윤장헌</v>
          </cell>
          <cell r="F67">
            <v>36269</v>
          </cell>
          <cell r="G67">
            <v>1251640</v>
          </cell>
          <cell r="H67">
            <v>1230360</v>
          </cell>
          <cell r="I67">
            <v>1328790</v>
          </cell>
          <cell r="J67">
            <v>1504850</v>
          </cell>
          <cell r="K67">
            <v>1301380</v>
          </cell>
          <cell r="L67">
            <v>1073450</v>
          </cell>
          <cell r="M67">
            <v>1265113</v>
          </cell>
          <cell r="N67">
            <v>135180</v>
          </cell>
          <cell r="O67">
            <v>270350</v>
          </cell>
          <cell r="P67">
            <v>100000</v>
          </cell>
          <cell r="Q67">
            <v>202760</v>
          </cell>
          <cell r="R67">
            <v>743470</v>
          </cell>
          <cell r="S67">
            <v>1451760</v>
          </cell>
          <cell r="T67">
            <v>174370.83333333334</v>
          </cell>
          <cell r="U67">
            <v>0</v>
          </cell>
        </row>
        <row r="68">
          <cell r="B68" t="str">
            <v>MIXER</v>
          </cell>
          <cell r="C68" t="str">
            <v>SACM0302</v>
          </cell>
          <cell r="D68" t="str">
            <v>조원</v>
          </cell>
          <cell r="E68" t="str">
            <v>한광민</v>
          </cell>
          <cell r="F68">
            <v>36325</v>
          </cell>
          <cell r="G68">
            <v>1048880</v>
          </cell>
          <cell r="H68">
            <v>1004730</v>
          </cell>
          <cell r="I68">
            <v>1164530</v>
          </cell>
          <cell r="J68">
            <v>1270930</v>
          </cell>
          <cell r="K68">
            <v>1084650</v>
          </cell>
          <cell r="L68">
            <v>1151920</v>
          </cell>
          <cell r="M68">
            <v>1143750</v>
          </cell>
          <cell r="O68">
            <v>237410</v>
          </cell>
          <cell r="P68">
            <v>100000</v>
          </cell>
          <cell r="Q68">
            <v>190810</v>
          </cell>
          <cell r="R68">
            <v>699640</v>
          </cell>
          <cell r="S68">
            <v>1227860</v>
          </cell>
          <cell r="T68">
            <v>155155.83333333334</v>
          </cell>
          <cell r="U68">
            <v>0</v>
          </cell>
        </row>
        <row r="69">
          <cell r="B69" t="str">
            <v>MIXER</v>
          </cell>
          <cell r="C69" t="str">
            <v>SACM0306</v>
          </cell>
          <cell r="D69" t="str">
            <v>조원</v>
          </cell>
          <cell r="E69" t="str">
            <v>이연덕</v>
          </cell>
          <cell r="F69">
            <v>36385</v>
          </cell>
          <cell r="H69">
            <v>701890</v>
          </cell>
          <cell r="I69">
            <v>1027010</v>
          </cell>
          <cell r="J69">
            <v>959310</v>
          </cell>
          <cell r="K69">
            <v>1058000</v>
          </cell>
          <cell r="L69">
            <v>1099230</v>
          </cell>
          <cell r="M69">
            <v>1016263</v>
          </cell>
          <cell r="P69">
            <v>50000</v>
          </cell>
          <cell r="Q69">
            <v>128480</v>
          </cell>
          <cell r="R69">
            <v>578160</v>
          </cell>
          <cell r="S69">
            <v>756640</v>
          </cell>
          <cell r="T69">
            <v>8333.3333333333339</v>
          </cell>
          <cell r="U69">
            <v>0</v>
          </cell>
        </row>
        <row r="70">
          <cell r="B70" t="str">
            <v>DP  PRESS</v>
          </cell>
          <cell r="C70" t="str">
            <v>SACM0004</v>
          </cell>
          <cell r="D70" t="str">
            <v>반장보</v>
          </cell>
          <cell r="E70" t="str">
            <v>홍용권</v>
          </cell>
          <cell r="F70">
            <v>33350</v>
          </cell>
          <cell r="G70">
            <v>1673680</v>
          </cell>
          <cell r="H70">
            <v>1649360</v>
          </cell>
          <cell r="I70">
            <v>1491180</v>
          </cell>
          <cell r="J70">
            <v>1613040</v>
          </cell>
          <cell r="K70">
            <v>1632080</v>
          </cell>
          <cell r="L70">
            <v>1278830</v>
          </cell>
          <cell r="M70">
            <v>1475201</v>
          </cell>
          <cell r="N70">
            <v>445520</v>
          </cell>
          <cell r="O70">
            <v>891030</v>
          </cell>
          <cell r="P70">
            <v>100000</v>
          </cell>
          <cell r="Q70">
            <v>445520</v>
          </cell>
          <cell r="R70">
            <v>1336550</v>
          </cell>
          <cell r="S70">
            <v>3218620</v>
          </cell>
          <cell r="T70">
            <v>536434.16666666674</v>
          </cell>
          <cell r="U70">
            <v>992039</v>
          </cell>
        </row>
        <row r="71">
          <cell r="B71" t="str">
            <v>DP  PRESS</v>
          </cell>
          <cell r="C71" t="str">
            <v>SACM0184</v>
          </cell>
          <cell r="D71" t="str">
            <v>조장</v>
          </cell>
          <cell r="E71" t="str">
            <v>송상용</v>
          </cell>
          <cell r="F71">
            <v>34422</v>
          </cell>
          <cell r="G71">
            <v>1431250</v>
          </cell>
          <cell r="H71">
            <v>1285830</v>
          </cell>
          <cell r="I71">
            <v>1542550</v>
          </cell>
          <cell r="J71">
            <v>1623620</v>
          </cell>
          <cell r="K71">
            <v>1404090</v>
          </cell>
          <cell r="L71">
            <v>1304030</v>
          </cell>
          <cell r="M71">
            <v>1412524</v>
          </cell>
          <cell r="N71">
            <v>404880</v>
          </cell>
          <cell r="O71">
            <v>809750</v>
          </cell>
          <cell r="P71">
            <v>100000</v>
          </cell>
          <cell r="Q71">
            <v>404880</v>
          </cell>
          <cell r="R71">
            <v>1214630</v>
          </cell>
          <cell r="S71">
            <v>2934140</v>
          </cell>
          <cell r="T71">
            <v>489020.83333333337</v>
          </cell>
          <cell r="U71">
            <v>937748</v>
          </cell>
        </row>
        <row r="72">
          <cell r="B72" t="str">
            <v>DP  PRESS</v>
          </cell>
          <cell r="C72" t="str">
            <v>SACM0205</v>
          </cell>
          <cell r="D72" t="str">
            <v>조원</v>
          </cell>
          <cell r="E72" t="str">
            <v>김태일#</v>
          </cell>
          <cell r="F72">
            <v>34783</v>
          </cell>
          <cell r="G72">
            <v>1423760</v>
          </cell>
          <cell r="H72">
            <v>1286970</v>
          </cell>
          <cell r="I72">
            <v>1104820</v>
          </cell>
          <cell r="J72">
            <v>1410020</v>
          </cell>
          <cell r="K72">
            <v>1212380</v>
          </cell>
          <cell r="L72">
            <v>1144400</v>
          </cell>
          <cell r="M72">
            <v>1228304</v>
          </cell>
          <cell r="N72">
            <v>363440</v>
          </cell>
          <cell r="O72">
            <v>726880</v>
          </cell>
          <cell r="P72">
            <v>100000</v>
          </cell>
          <cell r="Q72">
            <v>363440</v>
          </cell>
          <cell r="R72">
            <v>1090320</v>
          </cell>
          <cell r="S72">
            <v>2644080</v>
          </cell>
          <cell r="T72">
            <v>440680</v>
          </cell>
          <cell r="U72">
            <v>823061</v>
          </cell>
        </row>
        <row r="73">
          <cell r="B73" t="str">
            <v>DP  PRESS</v>
          </cell>
          <cell r="C73" t="str">
            <v>SACM0226</v>
          </cell>
          <cell r="D73" t="str">
            <v>조원</v>
          </cell>
          <cell r="E73" t="str">
            <v>김용덕</v>
          </cell>
          <cell r="F73">
            <v>34828</v>
          </cell>
          <cell r="G73">
            <v>1287610</v>
          </cell>
          <cell r="H73">
            <v>1272400</v>
          </cell>
          <cell r="I73">
            <v>1250880</v>
          </cell>
          <cell r="J73">
            <v>1254090</v>
          </cell>
          <cell r="K73">
            <v>1106230</v>
          </cell>
          <cell r="L73">
            <v>1065190</v>
          </cell>
          <cell r="M73">
            <v>1117014</v>
          </cell>
          <cell r="N73">
            <v>370610</v>
          </cell>
          <cell r="O73">
            <v>741220</v>
          </cell>
          <cell r="P73">
            <v>100000</v>
          </cell>
          <cell r="Q73">
            <v>370610</v>
          </cell>
          <cell r="R73">
            <v>1111830</v>
          </cell>
          <cell r="S73">
            <v>2694270</v>
          </cell>
          <cell r="T73">
            <v>449045</v>
          </cell>
          <cell r="U73">
            <v>772303</v>
          </cell>
        </row>
        <row r="74">
          <cell r="B74" t="str">
            <v>DP  PRESS</v>
          </cell>
          <cell r="C74" t="str">
            <v>SACM0237</v>
          </cell>
          <cell r="D74" t="str">
            <v>조원</v>
          </cell>
          <cell r="E74" t="str">
            <v>김갑용</v>
          </cell>
          <cell r="F74">
            <v>34918</v>
          </cell>
          <cell r="G74">
            <v>1327500</v>
          </cell>
          <cell r="H74">
            <v>1214290</v>
          </cell>
          <cell r="I74">
            <v>1336770</v>
          </cell>
          <cell r="J74">
            <v>1466740</v>
          </cell>
          <cell r="K74">
            <v>1379700</v>
          </cell>
          <cell r="L74">
            <v>1196400</v>
          </cell>
          <cell r="M74">
            <v>1318317</v>
          </cell>
          <cell r="N74">
            <v>363440</v>
          </cell>
          <cell r="O74">
            <v>726880</v>
          </cell>
          <cell r="P74">
            <v>100000</v>
          </cell>
          <cell r="Q74">
            <v>363440</v>
          </cell>
          <cell r="R74">
            <v>1090320</v>
          </cell>
          <cell r="S74">
            <v>2644080</v>
          </cell>
          <cell r="T74">
            <v>440680</v>
          </cell>
          <cell r="U74">
            <v>867451</v>
          </cell>
        </row>
        <row r="75">
          <cell r="B75" t="str">
            <v>DP  PRESS</v>
          </cell>
          <cell r="C75" t="str">
            <v>SACM0279</v>
          </cell>
          <cell r="D75" t="str">
            <v>조원</v>
          </cell>
          <cell r="E75" t="str">
            <v>유선규</v>
          </cell>
          <cell r="F75">
            <v>35648</v>
          </cell>
          <cell r="G75">
            <v>1185640</v>
          </cell>
          <cell r="H75">
            <v>1097620</v>
          </cell>
          <cell r="I75">
            <v>1335720</v>
          </cell>
          <cell r="J75">
            <v>1223770</v>
          </cell>
          <cell r="K75">
            <v>1219940</v>
          </cell>
          <cell r="L75">
            <v>1119060</v>
          </cell>
          <cell r="M75">
            <v>1161773</v>
          </cell>
          <cell r="N75">
            <v>339800</v>
          </cell>
          <cell r="O75">
            <v>679590</v>
          </cell>
          <cell r="P75">
            <v>100000</v>
          </cell>
          <cell r="Q75">
            <v>339800</v>
          </cell>
          <cell r="R75">
            <v>1019390</v>
          </cell>
          <cell r="S75">
            <v>2478580</v>
          </cell>
          <cell r="T75">
            <v>413094.16666666663</v>
          </cell>
          <cell r="U75">
            <v>776647</v>
          </cell>
        </row>
        <row r="76">
          <cell r="B76" t="str">
            <v>DP  PRESS</v>
          </cell>
          <cell r="C76" t="str">
            <v>SACM0318</v>
          </cell>
          <cell r="D76" t="str">
            <v>조원</v>
          </cell>
          <cell r="E76" t="str">
            <v>이재일</v>
          </cell>
          <cell r="F76">
            <v>36465</v>
          </cell>
          <cell r="K76">
            <v>1027210</v>
          </cell>
          <cell r="L76">
            <v>869300</v>
          </cell>
          <cell r="M76">
            <v>618427</v>
          </cell>
          <cell r="Q76">
            <v>0</v>
          </cell>
          <cell r="R76">
            <v>297560</v>
          </cell>
          <cell r="S76">
            <v>297560</v>
          </cell>
          <cell r="T76">
            <v>0</v>
          </cell>
          <cell r="U76">
            <v>0</v>
          </cell>
        </row>
        <row r="77">
          <cell r="B77" t="str">
            <v>D/P 연마</v>
          </cell>
          <cell r="C77" t="str">
            <v>SACM0055</v>
          </cell>
          <cell r="D77" t="str">
            <v>조장</v>
          </cell>
          <cell r="E77" t="str">
            <v>오순선</v>
          </cell>
          <cell r="F77">
            <v>33878</v>
          </cell>
          <cell r="G77">
            <v>899790</v>
          </cell>
          <cell r="H77">
            <v>899790</v>
          </cell>
          <cell r="I77">
            <v>899790</v>
          </cell>
          <cell r="J77">
            <v>899790</v>
          </cell>
          <cell r="K77">
            <v>899790</v>
          </cell>
          <cell r="L77">
            <v>899790</v>
          </cell>
          <cell r="M77">
            <v>899790</v>
          </cell>
          <cell r="O77" t="str">
            <v>휴      직      자       1년  평균상여(98.5-99.4)</v>
          </cell>
          <cell r="S77">
            <v>0</v>
          </cell>
          <cell r="T77">
            <v>508025</v>
          </cell>
          <cell r="U77">
            <v>694265</v>
          </cell>
        </row>
        <row r="78">
          <cell r="B78" t="str">
            <v>D/P 연마</v>
          </cell>
          <cell r="C78" t="str">
            <v>SACM0140</v>
          </cell>
          <cell r="D78" t="str">
            <v>조원</v>
          </cell>
          <cell r="E78" t="str">
            <v>김종열</v>
          </cell>
          <cell r="F78">
            <v>34081</v>
          </cell>
          <cell r="G78">
            <v>1210770</v>
          </cell>
          <cell r="H78">
            <v>1364070</v>
          </cell>
          <cell r="I78">
            <v>1035560</v>
          </cell>
          <cell r="J78">
            <v>1371050</v>
          </cell>
          <cell r="K78">
            <v>1138150</v>
          </cell>
          <cell r="L78">
            <v>1138070</v>
          </cell>
          <cell r="M78">
            <v>1189327</v>
          </cell>
          <cell r="N78">
            <v>401420</v>
          </cell>
          <cell r="O78">
            <v>802840</v>
          </cell>
          <cell r="P78">
            <v>100000</v>
          </cell>
          <cell r="Q78">
            <v>401420</v>
          </cell>
          <cell r="R78">
            <v>1204260</v>
          </cell>
          <cell r="S78">
            <v>2909940</v>
          </cell>
          <cell r="T78">
            <v>484990</v>
          </cell>
          <cell r="U78">
            <v>825691</v>
          </cell>
        </row>
        <row r="79">
          <cell r="B79" t="str">
            <v>D/P 연마</v>
          </cell>
          <cell r="C79" t="str">
            <v>SACM0217</v>
          </cell>
          <cell r="D79" t="str">
            <v>조원</v>
          </cell>
          <cell r="E79" t="str">
            <v>채진군</v>
          </cell>
          <cell r="F79">
            <v>34803</v>
          </cell>
          <cell r="G79">
            <v>1174210</v>
          </cell>
          <cell r="H79">
            <v>1017130</v>
          </cell>
          <cell r="I79">
            <v>986250</v>
          </cell>
          <cell r="J79">
            <v>1143020</v>
          </cell>
          <cell r="K79">
            <v>1188880</v>
          </cell>
          <cell r="L79">
            <v>1039300</v>
          </cell>
          <cell r="M79">
            <v>1099304</v>
          </cell>
          <cell r="N79">
            <v>358660</v>
          </cell>
          <cell r="O79">
            <v>717310</v>
          </cell>
          <cell r="P79">
            <v>100000</v>
          </cell>
          <cell r="Q79">
            <v>358660</v>
          </cell>
          <cell r="R79">
            <v>1075970</v>
          </cell>
          <cell r="S79">
            <v>2610600</v>
          </cell>
          <cell r="T79">
            <v>435097.5</v>
          </cell>
          <cell r="U79">
            <v>756691</v>
          </cell>
        </row>
        <row r="80">
          <cell r="B80" t="str">
            <v>D/P 연마</v>
          </cell>
          <cell r="C80" t="str">
            <v>SACM0234</v>
          </cell>
          <cell r="D80" t="str">
            <v>조원</v>
          </cell>
          <cell r="E80" t="str">
            <v>김풍수</v>
          </cell>
          <cell r="F80">
            <v>34886</v>
          </cell>
          <cell r="G80">
            <v>1330330</v>
          </cell>
          <cell r="H80">
            <v>1203820</v>
          </cell>
          <cell r="I80">
            <v>1297050</v>
          </cell>
          <cell r="J80">
            <v>1372010</v>
          </cell>
          <cell r="K80">
            <v>1254970</v>
          </cell>
          <cell r="L80">
            <v>1224580</v>
          </cell>
          <cell r="M80">
            <v>1255943</v>
          </cell>
          <cell r="N80">
            <v>363440</v>
          </cell>
          <cell r="O80">
            <v>726880</v>
          </cell>
          <cell r="P80">
            <v>100000</v>
          </cell>
          <cell r="Q80">
            <v>363440</v>
          </cell>
          <cell r="R80">
            <v>1090320</v>
          </cell>
          <cell r="S80">
            <v>2644080</v>
          </cell>
          <cell r="T80">
            <v>440680</v>
          </cell>
          <cell r="U80">
            <v>836691</v>
          </cell>
        </row>
        <row r="81">
          <cell r="B81" t="str">
            <v>D/P 연마</v>
          </cell>
          <cell r="C81" t="str">
            <v>SACM0305</v>
          </cell>
          <cell r="D81" t="str">
            <v>조원</v>
          </cell>
          <cell r="E81" t="str">
            <v>김윤연</v>
          </cell>
          <cell r="F81">
            <v>36385</v>
          </cell>
          <cell r="H81">
            <v>517820</v>
          </cell>
          <cell r="I81">
            <v>794170</v>
          </cell>
          <cell r="J81">
            <v>1055890</v>
          </cell>
          <cell r="K81">
            <v>914290</v>
          </cell>
          <cell r="L81">
            <v>926140</v>
          </cell>
          <cell r="M81">
            <v>944452</v>
          </cell>
          <cell r="P81">
            <v>50000</v>
          </cell>
          <cell r="Q81">
            <v>127210</v>
          </cell>
          <cell r="R81">
            <v>572430</v>
          </cell>
          <cell r="S81">
            <v>749640</v>
          </cell>
          <cell r="T81">
            <v>8333.3333333333339</v>
          </cell>
          <cell r="U81">
            <v>0</v>
          </cell>
        </row>
        <row r="82">
          <cell r="B82" t="str">
            <v>BL PRESS</v>
          </cell>
          <cell r="C82" t="str">
            <v>SACM0092</v>
          </cell>
          <cell r="D82" t="str">
            <v>조장</v>
          </cell>
          <cell r="E82" t="str">
            <v>김영환</v>
          </cell>
          <cell r="F82">
            <v>33929</v>
          </cell>
          <cell r="G82">
            <v>1725090</v>
          </cell>
          <cell r="H82">
            <v>1353760</v>
          </cell>
          <cell r="I82">
            <v>1483590</v>
          </cell>
          <cell r="J82">
            <v>1726180</v>
          </cell>
          <cell r="K82">
            <v>1648100</v>
          </cell>
          <cell r="L82">
            <v>1499780</v>
          </cell>
          <cell r="M82">
            <v>1589367</v>
          </cell>
          <cell r="N82">
            <v>430380</v>
          </cell>
          <cell r="O82">
            <v>860750</v>
          </cell>
          <cell r="P82">
            <v>100000</v>
          </cell>
          <cell r="Q82">
            <v>434090</v>
          </cell>
          <cell r="R82">
            <v>1302280</v>
          </cell>
          <cell r="S82">
            <v>3127500</v>
          </cell>
          <cell r="T82">
            <v>518770.83333333326</v>
          </cell>
          <cell r="U82">
            <v>1039630</v>
          </cell>
        </row>
        <row r="83">
          <cell r="B83" t="str">
            <v>BL PRESS</v>
          </cell>
          <cell r="C83" t="str">
            <v>SACM0110</v>
          </cell>
          <cell r="D83" t="str">
            <v>반장보</v>
          </cell>
          <cell r="E83" t="str">
            <v>채수정</v>
          </cell>
          <cell r="F83">
            <v>28571</v>
          </cell>
          <cell r="G83">
            <v>2207940</v>
          </cell>
          <cell r="H83">
            <v>2354550</v>
          </cell>
          <cell r="I83">
            <v>2329230</v>
          </cell>
          <cell r="J83">
            <v>2264550</v>
          </cell>
          <cell r="K83">
            <v>2167980</v>
          </cell>
          <cell r="L83">
            <v>2000620</v>
          </cell>
          <cell r="M83">
            <v>2097766</v>
          </cell>
          <cell r="N83">
            <v>609410</v>
          </cell>
          <cell r="O83">
            <v>1218810</v>
          </cell>
          <cell r="P83">
            <v>100000</v>
          </cell>
          <cell r="Q83">
            <v>609410</v>
          </cell>
          <cell r="R83">
            <v>1828220</v>
          </cell>
          <cell r="S83">
            <v>4365850</v>
          </cell>
          <cell r="T83">
            <v>727639.16666666674</v>
          </cell>
          <cell r="U83">
            <v>1393350</v>
          </cell>
        </row>
        <row r="84">
          <cell r="B84" t="str">
            <v>BL PRESS</v>
          </cell>
          <cell r="C84" t="str">
            <v>SACM0186</v>
          </cell>
          <cell r="D84" t="str">
            <v>조원</v>
          </cell>
          <cell r="E84" t="str">
            <v>김동식</v>
          </cell>
          <cell r="F84">
            <v>34445</v>
          </cell>
          <cell r="G84">
            <v>1161700</v>
          </cell>
          <cell r="H84">
            <v>1059420</v>
          </cell>
          <cell r="I84">
            <v>1113140</v>
          </cell>
          <cell r="J84">
            <v>1192710</v>
          </cell>
          <cell r="K84">
            <v>1078660</v>
          </cell>
          <cell r="L84">
            <v>980970</v>
          </cell>
          <cell r="M84">
            <v>1060546</v>
          </cell>
          <cell r="N84">
            <v>377520</v>
          </cell>
          <cell r="O84">
            <v>755030</v>
          </cell>
          <cell r="P84">
            <v>100000</v>
          </cell>
          <cell r="Q84">
            <v>377520</v>
          </cell>
          <cell r="R84">
            <v>1132550</v>
          </cell>
          <cell r="S84">
            <v>2742620</v>
          </cell>
          <cell r="T84">
            <v>457100.83333333337</v>
          </cell>
          <cell r="U84">
            <v>748429</v>
          </cell>
        </row>
        <row r="85">
          <cell r="B85" t="str">
            <v>BL PRESS</v>
          </cell>
          <cell r="C85" t="str">
            <v>SACM0246</v>
          </cell>
          <cell r="D85" t="str">
            <v>조원</v>
          </cell>
          <cell r="E85" t="str">
            <v>황동찬</v>
          </cell>
          <cell r="F85">
            <v>35016</v>
          </cell>
          <cell r="G85">
            <v>1461540</v>
          </cell>
          <cell r="H85">
            <v>1376490</v>
          </cell>
          <cell r="I85">
            <v>1370300</v>
          </cell>
          <cell r="J85">
            <v>1567300</v>
          </cell>
          <cell r="K85">
            <v>1497070</v>
          </cell>
          <cell r="L85">
            <v>1393010</v>
          </cell>
          <cell r="M85">
            <v>1453493</v>
          </cell>
          <cell r="N85">
            <v>385750</v>
          </cell>
          <cell r="O85">
            <v>771500</v>
          </cell>
          <cell r="P85">
            <v>100000</v>
          </cell>
          <cell r="Q85">
            <v>385750</v>
          </cell>
          <cell r="R85">
            <v>1157250</v>
          </cell>
          <cell r="S85">
            <v>2800250</v>
          </cell>
          <cell r="T85">
            <v>466708.33333333337</v>
          </cell>
          <cell r="U85">
            <v>946949</v>
          </cell>
        </row>
        <row r="86">
          <cell r="B86" t="str">
            <v>BL PRESS</v>
          </cell>
          <cell r="C86" t="str">
            <v>SACM0311</v>
          </cell>
          <cell r="D86" t="str">
            <v>조원</v>
          </cell>
          <cell r="E86" t="str">
            <v>여운상</v>
          </cell>
          <cell r="F86">
            <v>36412</v>
          </cell>
          <cell r="I86">
            <v>721860</v>
          </cell>
          <cell r="J86">
            <v>1225620</v>
          </cell>
          <cell r="K86">
            <v>1056300</v>
          </cell>
          <cell r="L86">
            <v>1135490</v>
          </cell>
          <cell r="M86">
            <v>1114373</v>
          </cell>
          <cell r="P86">
            <v>50000</v>
          </cell>
          <cell r="Q86">
            <v>124760</v>
          </cell>
          <cell r="R86">
            <v>561440</v>
          </cell>
          <cell r="S86">
            <v>736200</v>
          </cell>
          <cell r="T86">
            <v>8333.3333333333339</v>
          </cell>
          <cell r="U86">
            <v>0</v>
          </cell>
        </row>
        <row r="87">
          <cell r="B87" t="str">
            <v>BL PRESS</v>
          </cell>
          <cell r="C87" t="str">
            <v>SACM0315</v>
          </cell>
          <cell r="D87" t="str">
            <v>조원</v>
          </cell>
          <cell r="E87" t="str">
            <v>김주영</v>
          </cell>
          <cell r="F87">
            <v>36465</v>
          </cell>
          <cell r="K87">
            <v>1167010</v>
          </cell>
          <cell r="L87">
            <v>1166660</v>
          </cell>
          <cell r="M87">
            <v>760979</v>
          </cell>
          <cell r="Q87">
            <v>0</v>
          </cell>
          <cell r="R87">
            <v>312700</v>
          </cell>
          <cell r="S87">
            <v>312700</v>
          </cell>
          <cell r="T87">
            <v>0</v>
          </cell>
          <cell r="U87">
            <v>0</v>
          </cell>
        </row>
        <row r="88">
          <cell r="B88" t="str">
            <v>B/L 연마</v>
          </cell>
          <cell r="C88" t="str">
            <v>SACM0253</v>
          </cell>
          <cell r="D88" t="str">
            <v>조원</v>
          </cell>
          <cell r="E88" t="str">
            <v>김정명</v>
          </cell>
          <cell r="F88">
            <v>35135</v>
          </cell>
          <cell r="G88">
            <v>1184880</v>
          </cell>
          <cell r="H88">
            <v>1108030</v>
          </cell>
          <cell r="I88">
            <v>1167460</v>
          </cell>
          <cell r="J88">
            <v>1267320</v>
          </cell>
          <cell r="K88">
            <v>1152010</v>
          </cell>
          <cell r="L88">
            <v>1010290</v>
          </cell>
          <cell r="M88">
            <v>1118354</v>
          </cell>
          <cell r="N88">
            <v>356270</v>
          </cell>
          <cell r="O88">
            <v>712530</v>
          </cell>
          <cell r="P88">
            <v>100000</v>
          </cell>
          <cell r="Q88">
            <v>356270</v>
          </cell>
          <cell r="R88">
            <v>1068800</v>
          </cell>
          <cell r="S88">
            <v>2593870</v>
          </cell>
          <cell r="T88">
            <v>432309.16666666663</v>
          </cell>
          <cell r="U88">
            <v>764711</v>
          </cell>
        </row>
        <row r="89">
          <cell r="B89" t="str">
            <v>B/L 연마</v>
          </cell>
          <cell r="C89" t="str">
            <v>SACM0274</v>
          </cell>
          <cell r="D89" t="str">
            <v>조원</v>
          </cell>
          <cell r="E89" t="str">
            <v>정상교</v>
          </cell>
          <cell r="F89">
            <v>35320</v>
          </cell>
          <cell r="G89">
            <v>1145110</v>
          </cell>
          <cell r="H89">
            <v>1265480</v>
          </cell>
          <cell r="I89">
            <v>1386900</v>
          </cell>
          <cell r="J89">
            <v>1465690</v>
          </cell>
          <cell r="K89">
            <v>1445520</v>
          </cell>
          <cell r="L89">
            <v>1161060</v>
          </cell>
          <cell r="M89">
            <v>1327914</v>
          </cell>
          <cell r="N89">
            <v>350160</v>
          </cell>
          <cell r="O89">
            <v>704560</v>
          </cell>
          <cell r="P89">
            <v>100000</v>
          </cell>
          <cell r="Q89">
            <v>352280</v>
          </cell>
          <cell r="R89">
            <v>1056840</v>
          </cell>
          <cell r="S89">
            <v>2563840</v>
          </cell>
          <cell r="T89">
            <v>427660</v>
          </cell>
          <cell r="U89">
            <v>865763</v>
          </cell>
        </row>
        <row r="90">
          <cell r="B90" t="str">
            <v>마찰소계</v>
          </cell>
          <cell r="G90">
            <v>42404740</v>
          </cell>
          <cell r="H90">
            <v>42986330</v>
          </cell>
          <cell r="I90">
            <v>47188580</v>
          </cell>
          <cell r="J90">
            <v>50368240</v>
          </cell>
          <cell r="K90">
            <v>50845880</v>
          </cell>
          <cell r="L90">
            <v>47858530</v>
          </cell>
          <cell r="M90">
            <v>48630205</v>
          </cell>
          <cell r="N90">
            <v>11270240</v>
          </cell>
          <cell r="O90">
            <v>22782030</v>
          </cell>
          <cell r="P90">
            <v>3500000</v>
          </cell>
          <cell r="Q90">
            <v>12297910</v>
          </cell>
          <cell r="R90">
            <v>39502650</v>
          </cell>
          <cell r="S90">
            <v>89352830</v>
          </cell>
          <cell r="T90">
            <v>14380875.833333332</v>
          </cell>
          <cell r="U90">
            <v>25473773</v>
          </cell>
        </row>
        <row r="91">
          <cell r="A91" t="str">
            <v>공통</v>
          </cell>
          <cell r="B91" t="str">
            <v>품질관리팀</v>
          </cell>
          <cell r="C91" t="str">
            <v>SACM0033</v>
          </cell>
          <cell r="D91" t="str">
            <v>조장</v>
          </cell>
          <cell r="E91" t="str">
            <v>김연웅</v>
          </cell>
          <cell r="F91">
            <v>33786</v>
          </cell>
          <cell r="G91">
            <v>1096210</v>
          </cell>
          <cell r="H91">
            <v>1099630</v>
          </cell>
          <cell r="I91">
            <v>1086780</v>
          </cell>
          <cell r="J91">
            <v>1050770</v>
          </cell>
          <cell r="K91">
            <v>1037590</v>
          </cell>
          <cell r="L91">
            <v>1119520</v>
          </cell>
          <cell r="M91">
            <v>1046048</v>
          </cell>
          <cell r="N91">
            <v>424530</v>
          </cell>
          <cell r="O91">
            <v>849060</v>
          </cell>
          <cell r="P91">
            <v>100000</v>
          </cell>
          <cell r="Q91">
            <v>424530</v>
          </cell>
          <cell r="R91">
            <v>1273590</v>
          </cell>
          <cell r="S91">
            <v>3071710</v>
          </cell>
          <cell r="T91">
            <v>511951.66666666663</v>
          </cell>
          <cell r="U91">
            <v>768329</v>
          </cell>
        </row>
        <row r="92">
          <cell r="B92" t="str">
            <v>품질관리팀</v>
          </cell>
          <cell r="C92" t="str">
            <v>SACM0089</v>
          </cell>
          <cell r="D92" t="str">
            <v>조장</v>
          </cell>
          <cell r="E92" t="str">
            <v>이상영</v>
          </cell>
          <cell r="F92">
            <v>33900</v>
          </cell>
          <cell r="G92">
            <v>1397340</v>
          </cell>
          <cell r="H92">
            <v>1384080</v>
          </cell>
          <cell r="I92">
            <v>1485120</v>
          </cell>
          <cell r="J92">
            <v>1586400</v>
          </cell>
          <cell r="K92">
            <v>1551960</v>
          </cell>
          <cell r="L92">
            <v>1459760</v>
          </cell>
          <cell r="M92">
            <v>1499387</v>
          </cell>
          <cell r="N92">
            <v>471020</v>
          </cell>
          <cell r="O92">
            <v>942030</v>
          </cell>
          <cell r="P92">
            <v>100000</v>
          </cell>
          <cell r="Q92">
            <v>474740</v>
          </cell>
          <cell r="R92">
            <v>1424210</v>
          </cell>
          <cell r="S92">
            <v>3412000</v>
          </cell>
          <cell r="T92">
            <v>566184.16666666663</v>
          </cell>
          <cell r="U92">
            <v>1018638</v>
          </cell>
        </row>
        <row r="93">
          <cell r="B93" t="str">
            <v>품질관리팀</v>
          </cell>
          <cell r="C93" t="str">
            <v>SACM0121</v>
          </cell>
          <cell r="D93" t="str">
            <v>반장보</v>
          </cell>
          <cell r="E93" t="str">
            <v>박성환#</v>
          </cell>
          <cell r="F93">
            <v>32378</v>
          </cell>
          <cell r="G93">
            <v>1817540</v>
          </cell>
          <cell r="H93">
            <v>1595500</v>
          </cell>
          <cell r="I93">
            <v>1884230</v>
          </cell>
          <cell r="J93">
            <v>1894550</v>
          </cell>
          <cell r="K93">
            <v>1777110</v>
          </cell>
          <cell r="L93">
            <v>1732800</v>
          </cell>
          <cell r="M93">
            <v>1762324</v>
          </cell>
          <cell r="N93">
            <v>535830</v>
          </cell>
          <cell r="O93">
            <v>1071660</v>
          </cell>
          <cell r="P93">
            <v>100000</v>
          </cell>
          <cell r="Q93">
            <v>535830</v>
          </cell>
          <cell r="R93">
            <v>1607490</v>
          </cell>
          <cell r="S93">
            <v>3850810</v>
          </cell>
          <cell r="T93">
            <v>641801.66666666674</v>
          </cell>
          <cell r="U93">
            <v>1185596</v>
          </cell>
        </row>
        <row r="94">
          <cell r="B94" t="str">
            <v>품질관리팀</v>
          </cell>
          <cell r="C94" t="str">
            <v>SACM0128</v>
          </cell>
          <cell r="D94" t="str">
            <v>조장</v>
          </cell>
          <cell r="E94" t="str">
            <v>임진수</v>
          </cell>
          <cell r="F94">
            <v>31661</v>
          </cell>
          <cell r="G94">
            <v>1501790</v>
          </cell>
          <cell r="H94">
            <v>1468610</v>
          </cell>
          <cell r="I94">
            <v>1532230</v>
          </cell>
          <cell r="J94">
            <v>1631760</v>
          </cell>
          <cell r="K94">
            <v>1655790</v>
          </cell>
          <cell r="L94">
            <v>1614340</v>
          </cell>
          <cell r="M94">
            <v>1598442</v>
          </cell>
          <cell r="N94">
            <v>535560</v>
          </cell>
          <cell r="O94">
            <v>1071130</v>
          </cell>
          <cell r="P94">
            <v>100000</v>
          </cell>
          <cell r="Q94">
            <v>535560</v>
          </cell>
          <cell r="R94">
            <v>1606690</v>
          </cell>
          <cell r="S94">
            <v>3848940</v>
          </cell>
          <cell r="T94">
            <v>641492.5</v>
          </cell>
          <cell r="U94">
            <v>1104625</v>
          </cell>
        </row>
        <row r="95">
          <cell r="B95" t="str">
            <v>품질관리팀</v>
          </cell>
          <cell r="C95" t="str">
            <v>SACM0143</v>
          </cell>
          <cell r="D95" t="str">
            <v>조원</v>
          </cell>
          <cell r="E95" t="str">
            <v>김근덕</v>
          </cell>
          <cell r="F95">
            <v>34099</v>
          </cell>
          <cell r="G95">
            <v>1571590</v>
          </cell>
          <cell r="H95">
            <v>1384640</v>
          </cell>
          <cell r="I95">
            <v>1471930</v>
          </cell>
          <cell r="J95">
            <v>1581850</v>
          </cell>
          <cell r="K95">
            <v>1644770</v>
          </cell>
          <cell r="L95">
            <v>1546750</v>
          </cell>
          <cell r="M95">
            <v>1556534</v>
          </cell>
          <cell r="N95">
            <v>391060</v>
          </cell>
          <cell r="O95">
            <v>782130</v>
          </cell>
          <cell r="P95">
            <v>100000</v>
          </cell>
          <cell r="Q95">
            <v>391060</v>
          </cell>
          <cell r="R95">
            <v>1173190</v>
          </cell>
          <cell r="S95">
            <v>2837440</v>
          </cell>
          <cell r="T95">
            <v>472909.16666666669</v>
          </cell>
          <cell r="U95">
            <v>1000821</v>
          </cell>
        </row>
        <row r="96">
          <cell r="B96" t="str">
            <v>품질관리팀</v>
          </cell>
          <cell r="C96" t="str">
            <v>SACM0160</v>
          </cell>
          <cell r="D96" t="str">
            <v>조원</v>
          </cell>
          <cell r="E96" t="str">
            <v>이종홍</v>
          </cell>
          <cell r="F96">
            <v>34213</v>
          </cell>
          <cell r="G96">
            <v>1152170</v>
          </cell>
          <cell r="H96">
            <v>920240</v>
          </cell>
          <cell r="I96">
            <v>1094470</v>
          </cell>
          <cell r="J96">
            <v>1066780</v>
          </cell>
          <cell r="K96">
            <v>992670</v>
          </cell>
          <cell r="L96">
            <v>1015690</v>
          </cell>
          <cell r="M96">
            <v>1002763</v>
          </cell>
          <cell r="N96">
            <v>387080</v>
          </cell>
          <cell r="O96">
            <v>774160</v>
          </cell>
          <cell r="P96">
            <v>100000</v>
          </cell>
          <cell r="Q96">
            <v>387080</v>
          </cell>
          <cell r="R96">
            <v>1161240</v>
          </cell>
          <cell r="S96">
            <v>2809560</v>
          </cell>
          <cell r="T96">
            <v>468260</v>
          </cell>
          <cell r="U96">
            <v>725436</v>
          </cell>
        </row>
        <row r="97">
          <cell r="B97" t="str">
            <v>품질관리팀</v>
          </cell>
          <cell r="C97" t="str">
            <v>SACM0169</v>
          </cell>
          <cell r="D97" t="str">
            <v>조원</v>
          </cell>
          <cell r="E97" t="str">
            <v>정광수</v>
          </cell>
          <cell r="F97">
            <v>34267</v>
          </cell>
          <cell r="G97">
            <v>1091330</v>
          </cell>
          <cell r="H97">
            <v>1083810</v>
          </cell>
          <cell r="I97">
            <v>1194290</v>
          </cell>
          <cell r="J97">
            <v>1099450</v>
          </cell>
          <cell r="K97">
            <v>1099930</v>
          </cell>
          <cell r="L97">
            <v>1064780</v>
          </cell>
          <cell r="M97">
            <v>1064400</v>
          </cell>
          <cell r="N97">
            <v>390270</v>
          </cell>
          <cell r="O97">
            <v>780530</v>
          </cell>
          <cell r="P97">
            <v>100000</v>
          </cell>
          <cell r="Q97">
            <v>390270</v>
          </cell>
          <cell r="R97">
            <v>1170800</v>
          </cell>
          <cell r="S97">
            <v>2831870</v>
          </cell>
          <cell r="T97">
            <v>471975.83333333331</v>
          </cell>
          <cell r="U97">
            <v>757665</v>
          </cell>
        </row>
        <row r="98">
          <cell r="B98" t="str">
            <v>품질관리팀</v>
          </cell>
          <cell r="C98" t="str">
            <v>SACM0277</v>
          </cell>
          <cell r="D98" t="str">
            <v>조원</v>
          </cell>
          <cell r="E98" t="str">
            <v>김진수</v>
          </cell>
          <cell r="F98">
            <v>35646</v>
          </cell>
          <cell r="G98">
            <v>1080460</v>
          </cell>
          <cell r="H98">
            <v>1185000</v>
          </cell>
          <cell r="I98">
            <v>1282740</v>
          </cell>
          <cell r="J98">
            <v>1353720</v>
          </cell>
          <cell r="K98">
            <v>1210540</v>
          </cell>
          <cell r="L98">
            <v>1218630</v>
          </cell>
          <cell r="M98">
            <v>1233551</v>
          </cell>
          <cell r="N98">
            <v>339800</v>
          </cell>
          <cell r="O98">
            <v>679590</v>
          </cell>
          <cell r="P98">
            <v>100000</v>
          </cell>
          <cell r="Q98">
            <v>339800</v>
          </cell>
          <cell r="R98">
            <v>1019390</v>
          </cell>
          <cell r="S98">
            <v>2478580</v>
          </cell>
          <cell r="T98">
            <v>413094.16666666663</v>
          </cell>
          <cell r="U98">
            <v>812044</v>
          </cell>
        </row>
        <row r="99">
          <cell r="B99" t="str">
            <v>품질관리팀</v>
          </cell>
          <cell r="C99" t="str">
            <v>SACM0278</v>
          </cell>
          <cell r="D99" t="str">
            <v>조원</v>
          </cell>
          <cell r="E99" t="str">
            <v>조병문</v>
          </cell>
          <cell r="F99">
            <v>35646</v>
          </cell>
          <cell r="G99">
            <v>1002800</v>
          </cell>
          <cell r="H99">
            <v>1023980</v>
          </cell>
          <cell r="I99">
            <v>1023150</v>
          </cell>
          <cell r="J99">
            <v>1088830</v>
          </cell>
          <cell r="K99">
            <v>1020330</v>
          </cell>
          <cell r="L99">
            <v>956900</v>
          </cell>
          <cell r="M99">
            <v>999802</v>
          </cell>
          <cell r="N99">
            <v>339800</v>
          </cell>
          <cell r="O99">
            <v>679590</v>
          </cell>
          <cell r="P99">
            <v>100000</v>
          </cell>
          <cell r="Q99">
            <v>339800</v>
          </cell>
          <cell r="R99">
            <v>1019390</v>
          </cell>
          <cell r="S99">
            <v>2478580</v>
          </cell>
          <cell r="T99">
            <v>413094.16666666663</v>
          </cell>
          <cell r="U99">
            <v>696771</v>
          </cell>
        </row>
        <row r="100">
          <cell r="B100" t="str">
            <v>품질관리팀</v>
          </cell>
          <cell r="C100" t="str">
            <v>SACM0286</v>
          </cell>
          <cell r="D100" t="str">
            <v>조원</v>
          </cell>
          <cell r="E100" t="str">
            <v>정장수</v>
          </cell>
          <cell r="F100">
            <v>35997</v>
          </cell>
          <cell r="G100">
            <v>782430</v>
          </cell>
          <cell r="H100">
            <v>785890</v>
          </cell>
          <cell r="I100">
            <v>936250</v>
          </cell>
          <cell r="J100">
            <v>911520</v>
          </cell>
          <cell r="K100">
            <v>841720</v>
          </cell>
          <cell r="L100">
            <v>855470</v>
          </cell>
          <cell r="M100">
            <v>850666</v>
          </cell>
          <cell r="N100">
            <v>333420</v>
          </cell>
          <cell r="O100">
            <v>666840</v>
          </cell>
          <cell r="P100">
            <v>100000</v>
          </cell>
          <cell r="Q100">
            <v>333420</v>
          </cell>
          <cell r="R100">
            <v>1000260</v>
          </cell>
          <cell r="S100">
            <v>2433940</v>
          </cell>
          <cell r="T100">
            <v>405656.66666666669</v>
          </cell>
          <cell r="U100">
            <v>619556</v>
          </cell>
        </row>
        <row r="101">
          <cell r="B101" t="str">
            <v>생산관리팀</v>
          </cell>
          <cell r="C101" t="str">
            <v>SACM0111</v>
          </cell>
          <cell r="D101" t="str">
            <v>반장보</v>
          </cell>
          <cell r="E101" t="str">
            <v>조광석</v>
          </cell>
          <cell r="F101">
            <v>30508</v>
          </cell>
          <cell r="G101">
            <v>1855640</v>
          </cell>
          <cell r="H101">
            <v>1724140</v>
          </cell>
          <cell r="I101">
            <v>1978150</v>
          </cell>
          <cell r="J101">
            <v>1810710</v>
          </cell>
          <cell r="K101">
            <v>1627120</v>
          </cell>
          <cell r="L101">
            <v>1728590</v>
          </cell>
          <cell r="M101">
            <v>1684702</v>
          </cell>
          <cell r="N101">
            <v>560270</v>
          </cell>
          <cell r="O101">
            <v>1120530</v>
          </cell>
          <cell r="P101">
            <v>100000</v>
          </cell>
          <cell r="Q101">
            <v>560270</v>
          </cell>
          <cell r="R101">
            <v>1680800</v>
          </cell>
          <cell r="S101">
            <v>4021870</v>
          </cell>
          <cell r="T101">
            <v>670309.16666666674</v>
          </cell>
          <cell r="U101">
            <v>1161375</v>
          </cell>
        </row>
        <row r="102">
          <cell r="B102" t="str">
            <v>생산관리팀</v>
          </cell>
          <cell r="C102" t="str">
            <v>SACM0141</v>
          </cell>
          <cell r="D102" t="str">
            <v>반장</v>
          </cell>
          <cell r="E102" t="str">
            <v>장대성</v>
          </cell>
          <cell r="F102">
            <v>31878</v>
          </cell>
          <cell r="G102">
            <v>2096640</v>
          </cell>
          <cell r="H102">
            <v>1714170</v>
          </cell>
          <cell r="I102">
            <v>1822550</v>
          </cell>
          <cell r="J102">
            <v>1719070</v>
          </cell>
          <cell r="K102">
            <v>1585490</v>
          </cell>
          <cell r="L102">
            <v>1555810</v>
          </cell>
          <cell r="M102">
            <v>1584903</v>
          </cell>
          <cell r="N102">
            <v>555220</v>
          </cell>
          <cell r="O102">
            <v>1110440</v>
          </cell>
          <cell r="P102">
            <v>100000</v>
          </cell>
          <cell r="Q102">
            <v>555220</v>
          </cell>
          <cell r="R102">
            <v>1665660</v>
          </cell>
          <cell r="S102">
            <v>3986540</v>
          </cell>
          <cell r="T102">
            <v>664423.33333333337</v>
          </cell>
          <cell r="U102">
            <v>1109257</v>
          </cell>
        </row>
        <row r="103">
          <cell r="B103" t="str">
            <v>생산관리팀</v>
          </cell>
          <cell r="C103" t="str">
            <v>SACM0161</v>
          </cell>
          <cell r="D103" t="str">
            <v>조원</v>
          </cell>
          <cell r="E103" t="str">
            <v>도성록</v>
          </cell>
          <cell r="F103">
            <v>34218</v>
          </cell>
          <cell r="G103">
            <v>1314820</v>
          </cell>
          <cell r="H103">
            <v>1024430</v>
          </cell>
          <cell r="I103">
            <v>1207050</v>
          </cell>
          <cell r="J103">
            <v>1107760</v>
          </cell>
          <cell r="K103">
            <v>1076470</v>
          </cell>
          <cell r="L103">
            <v>1211380</v>
          </cell>
          <cell r="M103">
            <v>1107264</v>
          </cell>
          <cell r="N103">
            <v>392660</v>
          </cell>
          <cell r="O103">
            <v>785310</v>
          </cell>
          <cell r="P103">
            <v>100000</v>
          </cell>
          <cell r="Q103">
            <v>392660</v>
          </cell>
          <cell r="R103">
            <v>1177970</v>
          </cell>
          <cell r="S103">
            <v>2848600</v>
          </cell>
          <cell r="T103">
            <v>474764.16666666669</v>
          </cell>
          <cell r="U103">
            <v>780178</v>
          </cell>
        </row>
        <row r="104">
          <cell r="B104" t="str">
            <v>생산관리팀</v>
          </cell>
          <cell r="C104" t="str">
            <v>SACM0241</v>
          </cell>
          <cell r="D104" t="str">
            <v>조원</v>
          </cell>
          <cell r="E104" t="str">
            <v>정길수</v>
          </cell>
          <cell r="F104">
            <v>34981</v>
          </cell>
          <cell r="G104">
            <v>1189670</v>
          </cell>
          <cell r="H104">
            <v>956620</v>
          </cell>
          <cell r="I104">
            <v>973270</v>
          </cell>
          <cell r="J104">
            <v>921520</v>
          </cell>
          <cell r="K104">
            <v>903500</v>
          </cell>
          <cell r="L104">
            <v>978170</v>
          </cell>
          <cell r="M104">
            <v>914084</v>
          </cell>
          <cell r="N104">
            <v>363440</v>
          </cell>
          <cell r="O104">
            <v>726880</v>
          </cell>
          <cell r="P104">
            <v>100000</v>
          </cell>
          <cell r="Q104">
            <v>367420</v>
          </cell>
          <cell r="R104">
            <v>1102260</v>
          </cell>
          <cell r="S104">
            <v>2660000</v>
          </cell>
          <cell r="T104">
            <v>440680</v>
          </cell>
          <cell r="U104">
            <v>668103</v>
          </cell>
        </row>
        <row r="105">
          <cell r="B105" t="str">
            <v>생산관리팀</v>
          </cell>
          <cell r="C105" t="str">
            <v>SACM0280</v>
          </cell>
          <cell r="D105" t="str">
            <v>조원</v>
          </cell>
          <cell r="E105" t="str">
            <v>이기성</v>
          </cell>
          <cell r="F105">
            <v>35648</v>
          </cell>
          <cell r="G105">
            <v>1053130</v>
          </cell>
          <cell r="H105">
            <v>1020890</v>
          </cell>
          <cell r="I105">
            <v>1051270</v>
          </cell>
          <cell r="J105">
            <v>966470</v>
          </cell>
          <cell r="K105">
            <v>919680</v>
          </cell>
          <cell r="L105">
            <v>897430</v>
          </cell>
          <cell r="M105">
            <v>907689</v>
          </cell>
          <cell r="N105">
            <v>342990</v>
          </cell>
          <cell r="O105">
            <v>707220</v>
          </cell>
          <cell r="P105">
            <v>100000</v>
          </cell>
          <cell r="Q105">
            <v>353610</v>
          </cell>
          <cell r="R105">
            <v>1060830</v>
          </cell>
          <cell r="S105">
            <v>2564650</v>
          </cell>
          <cell r="T105">
            <v>429211.66666666663</v>
          </cell>
          <cell r="U105">
            <v>659293</v>
          </cell>
        </row>
        <row r="106">
          <cell r="B106" t="str">
            <v>노동조합</v>
          </cell>
          <cell r="C106" t="str">
            <v>SACM0065</v>
          </cell>
          <cell r="D106" t="str">
            <v>위원장</v>
          </cell>
          <cell r="E106" t="str">
            <v>백중형</v>
          </cell>
          <cell r="F106">
            <v>33894</v>
          </cell>
          <cell r="G106">
            <v>1246830</v>
          </cell>
          <cell r="H106">
            <v>1246830</v>
          </cell>
          <cell r="I106">
            <v>1246830</v>
          </cell>
          <cell r="J106">
            <v>1256230</v>
          </cell>
          <cell r="K106">
            <v>1256230</v>
          </cell>
          <cell r="L106">
            <v>1256230</v>
          </cell>
          <cell r="M106">
            <v>1228921</v>
          </cell>
          <cell r="N106">
            <v>484240</v>
          </cell>
          <cell r="O106">
            <v>968470</v>
          </cell>
          <cell r="P106">
            <v>100000</v>
          </cell>
          <cell r="Q106">
            <v>487950</v>
          </cell>
          <cell r="R106">
            <v>1486820</v>
          </cell>
          <cell r="S106">
            <v>3527480</v>
          </cell>
          <cell r="T106">
            <v>581607.5</v>
          </cell>
          <cell r="U106">
            <v>892863</v>
          </cell>
        </row>
        <row r="107">
          <cell r="B107" t="str">
            <v>금형치공구팀</v>
          </cell>
          <cell r="C107" t="str">
            <v>SACM0120</v>
          </cell>
          <cell r="D107" t="str">
            <v>조장</v>
          </cell>
          <cell r="E107" t="str">
            <v>김영현</v>
          </cell>
          <cell r="F107">
            <v>31943</v>
          </cell>
          <cell r="G107">
            <v>1662550</v>
          </cell>
          <cell r="H107">
            <v>1691840</v>
          </cell>
          <cell r="I107">
            <v>1619580</v>
          </cell>
          <cell r="J107">
            <v>1669520</v>
          </cell>
          <cell r="K107">
            <v>1644210</v>
          </cell>
          <cell r="L107">
            <v>1732390</v>
          </cell>
          <cell r="M107">
            <v>1645474</v>
          </cell>
          <cell r="N107">
            <v>539550</v>
          </cell>
          <cell r="O107">
            <v>1079090</v>
          </cell>
          <cell r="P107">
            <v>100000</v>
          </cell>
          <cell r="Q107">
            <v>539550</v>
          </cell>
          <cell r="R107">
            <v>1618640</v>
          </cell>
          <cell r="S107">
            <v>3876830</v>
          </cell>
          <cell r="T107">
            <v>646135.83333333326</v>
          </cell>
          <cell r="U107">
            <v>1130109</v>
          </cell>
        </row>
        <row r="108">
          <cell r="B108" t="str">
            <v>금형치공구팀</v>
          </cell>
          <cell r="C108" t="str">
            <v>SACM0144</v>
          </cell>
          <cell r="D108" t="str">
            <v>조장</v>
          </cell>
          <cell r="E108" t="str">
            <v>손기수</v>
          </cell>
          <cell r="F108">
            <v>34110</v>
          </cell>
          <cell r="G108">
            <v>1445730</v>
          </cell>
          <cell r="H108">
            <v>1546500</v>
          </cell>
          <cell r="I108">
            <v>1508380</v>
          </cell>
          <cell r="J108">
            <v>1696950</v>
          </cell>
          <cell r="K108">
            <v>1580210</v>
          </cell>
          <cell r="L108">
            <v>1671330</v>
          </cell>
          <cell r="M108">
            <v>1613638</v>
          </cell>
          <cell r="N108">
            <v>436750</v>
          </cell>
          <cell r="O108">
            <v>873500</v>
          </cell>
          <cell r="P108">
            <v>100000</v>
          </cell>
          <cell r="Q108">
            <v>436750</v>
          </cell>
          <cell r="R108">
            <v>1310250</v>
          </cell>
          <cell r="S108">
            <v>3157250</v>
          </cell>
          <cell r="T108">
            <v>526208.33333333337</v>
          </cell>
          <cell r="U108">
            <v>1055267</v>
          </cell>
        </row>
        <row r="109">
          <cell r="B109" t="str">
            <v>금형치공구팀</v>
          </cell>
          <cell r="C109" t="str">
            <v>SACM0167</v>
          </cell>
          <cell r="D109" t="str">
            <v>조장</v>
          </cell>
          <cell r="E109" t="str">
            <v>이진해</v>
          </cell>
          <cell r="F109">
            <v>34260</v>
          </cell>
          <cell r="G109">
            <v>1108420</v>
          </cell>
          <cell r="H109">
            <v>1090120</v>
          </cell>
          <cell r="I109">
            <v>1163760</v>
          </cell>
          <cell r="J109">
            <v>1318080</v>
          </cell>
          <cell r="K109">
            <v>1119740</v>
          </cell>
          <cell r="L109">
            <v>1030570</v>
          </cell>
          <cell r="M109">
            <v>1130997</v>
          </cell>
          <cell r="N109">
            <v>424800</v>
          </cell>
          <cell r="O109">
            <v>849590</v>
          </cell>
          <cell r="P109">
            <v>100000</v>
          </cell>
          <cell r="Q109">
            <v>424800</v>
          </cell>
          <cell r="R109">
            <v>1274390</v>
          </cell>
          <cell r="S109">
            <v>3073580</v>
          </cell>
          <cell r="T109">
            <v>512260.83333333326</v>
          </cell>
          <cell r="U109">
            <v>810374</v>
          </cell>
        </row>
        <row r="110">
          <cell r="B110" t="str">
            <v>금형치공구팀</v>
          </cell>
          <cell r="C110" t="str">
            <v>SACM0294</v>
          </cell>
          <cell r="D110" t="str">
            <v>조원</v>
          </cell>
          <cell r="E110" t="str">
            <v>고진호</v>
          </cell>
          <cell r="F110">
            <v>36200</v>
          </cell>
          <cell r="G110">
            <v>1043930</v>
          </cell>
          <cell r="H110">
            <v>1035330</v>
          </cell>
          <cell r="I110">
            <v>1329740</v>
          </cell>
          <cell r="J110">
            <v>1304640</v>
          </cell>
          <cell r="K110">
            <v>945720</v>
          </cell>
          <cell r="L110">
            <v>1065180</v>
          </cell>
          <cell r="M110">
            <v>1081154</v>
          </cell>
          <cell r="N110">
            <v>222370</v>
          </cell>
          <cell r="O110">
            <v>444730</v>
          </cell>
          <cell r="P110">
            <v>100000</v>
          </cell>
          <cell r="Q110">
            <v>370610</v>
          </cell>
          <cell r="R110">
            <v>1111830</v>
          </cell>
          <cell r="S110">
            <v>2249540</v>
          </cell>
          <cell r="T110">
            <v>276092.5</v>
          </cell>
          <cell r="U110">
            <v>0</v>
          </cell>
        </row>
        <row r="111">
          <cell r="B111" t="str">
            <v>금형치공구팀</v>
          </cell>
          <cell r="C111" t="str">
            <v>SACM0295</v>
          </cell>
          <cell r="D111" t="str">
            <v>조원</v>
          </cell>
          <cell r="E111" t="str">
            <v>김현승</v>
          </cell>
          <cell r="F111">
            <v>36213</v>
          </cell>
          <cell r="G111">
            <v>828330</v>
          </cell>
          <cell r="H111">
            <v>784200</v>
          </cell>
          <cell r="I111">
            <v>894820</v>
          </cell>
          <cell r="J111">
            <v>929860</v>
          </cell>
          <cell r="K111">
            <v>841360</v>
          </cell>
          <cell r="L111">
            <v>804380</v>
          </cell>
          <cell r="M111">
            <v>839870</v>
          </cell>
          <cell r="N111">
            <v>191290</v>
          </cell>
          <cell r="O111">
            <v>382580</v>
          </cell>
          <cell r="P111">
            <v>100000</v>
          </cell>
          <cell r="Q111">
            <v>318810</v>
          </cell>
          <cell r="R111">
            <v>956440</v>
          </cell>
          <cell r="S111">
            <v>1949120</v>
          </cell>
          <cell r="T111">
            <v>239838.33333333334</v>
          </cell>
          <cell r="U111">
            <v>0</v>
          </cell>
        </row>
        <row r="112">
          <cell r="B112" t="str">
            <v>금형치공구팀</v>
          </cell>
          <cell r="C112" t="str">
            <v>SACM0300</v>
          </cell>
          <cell r="D112" t="str">
            <v>조원</v>
          </cell>
          <cell r="E112" t="str">
            <v>김여환</v>
          </cell>
          <cell r="F112">
            <v>36313</v>
          </cell>
          <cell r="G112">
            <v>919830</v>
          </cell>
          <cell r="H112">
            <v>898430</v>
          </cell>
          <cell r="I112">
            <v>830640</v>
          </cell>
          <cell r="J112">
            <v>1059440</v>
          </cell>
          <cell r="K112">
            <v>1063640</v>
          </cell>
          <cell r="L112">
            <v>918830</v>
          </cell>
          <cell r="M112">
            <v>991927</v>
          </cell>
          <cell r="O112">
            <v>265460</v>
          </cell>
          <cell r="P112">
            <v>100000</v>
          </cell>
          <cell r="Q112">
            <v>211850</v>
          </cell>
          <cell r="R112">
            <v>776770</v>
          </cell>
          <cell r="S112">
            <v>1354080</v>
          </cell>
          <cell r="T112">
            <v>171518.33333333331</v>
          </cell>
          <cell r="U112">
            <v>0</v>
          </cell>
        </row>
        <row r="113">
          <cell r="B113" t="str">
            <v>금형치공구팀</v>
          </cell>
          <cell r="C113" t="str">
            <v>SACM0310</v>
          </cell>
          <cell r="D113" t="str">
            <v>조원</v>
          </cell>
          <cell r="E113" t="str">
            <v>양권모</v>
          </cell>
          <cell r="F113">
            <v>36412</v>
          </cell>
          <cell r="I113">
            <v>544160</v>
          </cell>
          <cell r="J113">
            <v>839960</v>
          </cell>
          <cell r="K113">
            <v>813770</v>
          </cell>
          <cell r="L113">
            <v>871860</v>
          </cell>
          <cell r="M113">
            <v>823562</v>
          </cell>
          <cell r="P113">
            <v>50000</v>
          </cell>
          <cell r="Q113">
            <v>119980</v>
          </cell>
          <cell r="R113">
            <v>539910</v>
          </cell>
          <cell r="S113">
            <v>709890</v>
          </cell>
          <cell r="T113">
            <v>8333.3333333333339</v>
          </cell>
          <cell r="U113">
            <v>0</v>
          </cell>
        </row>
        <row r="114">
          <cell r="B114" t="str">
            <v>공무환경팀</v>
          </cell>
          <cell r="C114" t="str">
            <v>SACM0116</v>
          </cell>
          <cell r="D114" t="str">
            <v>반장</v>
          </cell>
          <cell r="E114" t="str">
            <v>박상규</v>
          </cell>
          <cell r="F114">
            <v>31765</v>
          </cell>
          <cell r="G114">
            <v>1847650</v>
          </cell>
          <cell r="H114">
            <v>2016010</v>
          </cell>
          <cell r="I114">
            <v>2248110</v>
          </cell>
          <cell r="J114">
            <v>2050820</v>
          </cell>
          <cell r="K114">
            <v>1972550</v>
          </cell>
          <cell r="L114">
            <v>1932890</v>
          </cell>
          <cell r="M114">
            <v>1942259</v>
          </cell>
          <cell r="N114">
            <v>595060</v>
          </cell>
          <cell r="O114">
            <v>1190130</v>
          </cell>
          <cell r="P114">
            <v>100000</v>
          </cell>
          <cell r="Q114">
            <v>595060</v>
          </cell>
          <cell r="R114">
            <v>1785190</v>
          </cell>
          <cell r="S114">
            <v>4265440</v>
          </cell>
          <cell r="T114">
            <v>710909.16666666663</v>
          </cell>
          <cell r="U114">
            <v>1308412</v>
          </cell>
        </row>
        <row r="115">
          <cell r="B115" t="str">
            <v>공무환경팀</v>
          </cell>
          <cell r="C115" t="str">
            <v>SACM0131</v>
          </cell>
          <cell r="D115" t="str">
            <v>조원</v>
          </cell>
          <cell r="E115" t="str">
            <v>허봉구</v>
          </cell>
          <cell r="F115">
            <v>33989</v>
          </cell>
          <cell r="G115">
            <v>1473140</v>
          </cell>
          <cell r="H115">
            <v>1242510</v>
          </cell>
          <cell r="I115">
            <v>1543570</v>
          </cell>
          <cell r="J115">
            <v>1363110</v>
          </cell>
          <cell r="K115">
            <v>1306000</v>
          </cell>
          <cell r="L115">
            <v>1495530</v>
          </cell>
          <cell r="M115">
            <v>1358035</v>
          </cell>
          <cell r="N115">
            <v>395840</v>
          </cell>
          <cell r="O115">
            <v>791690</v>
          </cell>
          <cell r="P115">
            <v>100000</v>
          </cell>
          <cell r="Q115">
            <v>395840</v>
          </cell>
          <cell r="R115">
            <v>1187530</v>
          </cell>
          <cell r="S115">
            <v>2870900</v>
          </cell>
          <cell r="T115">
            <v>478485.83333333331</v>
          </cell>
          <cell r="U115">
            <v>905682</v>
          </cell>
        </row>
        <row r="116">
          <cell r="B116" t="str">
            <v>공무환경팀</v>
          </cell>
          <cell r="C116" t="str">
            <v>SACM0142</v>
          </cell>
          <cell r="D116" t="str">
            <v>반장보</v>
          </cell>
          <cell r="E116" t="str">
            <v>신관범</v>
          </cell>
          <cell r="F116">
            <v>34095</v>
          </cell>
          <cell r="G116">
            <v>1787380</v>
          </cell>
          <cell r="H116">
            <v>1879060</v>
          </cell>
          <cell r="I116">
            <v>1937230</v>
          </cell>
          <cell r="J116">
            <v>1866170</v>
          </cell>
          <cell r="K116">
            <v>1782610</v>
          </cell>
          <cell r="L116">
            <v>1747360</v>
          </cell>
          <cell r="M116">
            <v>1759611</v>
          </cell>
          <cell r="N116">
            <v>515910</v>
          </cell>
          <cell r="O116">
            <v>1074310</v>
          </cell>
          <cell r="P116">
            <v>100000</v>
          </cell>
          <cell r="Q116">
            <v>537160</v>
          </cell>
          <cell r="R116">
            <v>1611470</v>
          </cell>
          <cell r="S116">
            <v>3838850</v>
          </cell>
          <cell r="T116">
            <v>643347.5</v>
          </cell>
          <cell r="U116">
            <v>1185021</v>
          </cell>
        </row>
        <row r="117">
          <cell r="B117" t="str">
            <v>공무환경팀</v>
          </cell>
          <cell r="C117" t="str">
            <v>SACM0164</v>
          </cell>
          <cell r="D117" t="str">
            <v>조원</v>
          </cell>
          <cell r="E117" t="str">
            <v>장재성</v>
          </cell>
          <cell r="F117">
            <v>34229</v>
          </cell>
          <cell r="G117">
            <v>1020840</v>
          </cell>
          <cell r="H117">
            <v>976160</v>
          </cell>
          <cell r="I117">
            <v>1205740</v>
          </cell>
          <cell r="J117">
            <v>1124860</v>
          </cell>
          <cell r="K117">
            <v>1164270</v>
          </cell>
          <cell r="L117">
            <v>916250</v>
          </cell>
          <cell r="M117">
            <v>1045233</v>
          </cell>
          <cell r="N117">
            <v>396640</v>
          </cell>
          <cell r="O117">
            <v>793280</v>
          </cell>
          <cell r="P117">
            <v>100000</v>
          </cell>
          <cell r="Q117">
            <v>396640</v>
          </cell>
          <cell r="R117">
            <v>1189920</v>
          </cell>
          <cell r="S117">
            <v>2876480</v>
          </cell>
          <cell r="T117">
            <v>479413.33333333337</v>
          </cell>
          <cell r="U117">
            <v>751880</v>
          </cell>
        </row>
        <row r="118">
          <cell r="B118" t="str">
            <v>공무환경팀</v>
          </cell>
          <cell r="C118" t="str">
            <v>SACM0166</v>
          </cell>
          <cell r="D118" t="str">
            <v>조원</v>
          </cell>
          <cell r="E118" t="str">
            <v>정하준</v>
          </cell>
          <cell r="F118">
            <v>34229</v>
          </cell>
          <cell r="G118">
            <v>899840</v>
          </cell>
          <cell r="H118">
            <v>837930</v>
          </cell>
          <cell r="I118">
            <v>919560</v>
          </cell>
          <cell r="J118">
            <v>1187050</v>
          </cell>
          <cell r="K118">
            <v>1177430</v>
          </cell>
          <cell r="L118">
            <v>1069500</v>
          </cell>
          <cell r="M118">
            <v>1119776</v>
          </cell>
          <cell r="N118">
            <v>390270</v>
          </cell>
          <cell r="O118">
            <v>780530</v>
          </cell>
          <cell r="P118">
            <v>100000</v>
          </cell>
          <cell r="Q118">
            <v>390270</v>
          </cell>
          <cell r="R118">
            <v>1170800</v>
          </cell>
          <cell r="S118">
            <v>2831870</v>
          </cell>
          <cell r="T118">
            <v>471975.83333333331</v>
          </cell>
          <cell r="U118">
            <v>784974</v>
          </cell>
        </row>
        <row r="119">
          <cell r="B119" t="str">
            <v>공무환경팀</v>
          </cell>
          <cell r="C119" t="str">
            <v>SACM0187</v>
          </cell>
          <cell r="D119" t="str">
            <v>조장</v>
          </cell>
          <cell r="E119" t="str">
            <v>이형철</v>
          </cell>
          <cell r="F119">
            <v>34449</v>
          </cell>
          <cell r="G119">
            <v>1343880</v>
          </cell>
          <cell r="H119">
            <v>1445400</v>
          </cell>
          <cell r="I119">
            <v>1441320</v>
          </cell>
          <cell r="J119">
            <v>1377370</v>
          </cell>
          <cell r="K119">
            <v>1179800</v>
          </cell>
          <cell r="L119">
            <v>1306060</v>
          </cell>
          <cell r="M119">
            <v>1259749</v>
          </cell>
          <cell r="N119">
            <v>400090</v>
          </cell>
          <cell r="O119">
            <v>800190</v>
          </cell>
          <cell r="P119">
            <v>100000</v>
          </cell>
          <cell r="Q119">
            <v>400090</v>
          </cell>
          <cell r="R119">
            <v>1200280</v>
          </cell>
          <cell r="S119">
            <v>2900650</v>
          </cell>
          <cell r="T119">
            <v>483444.16666666663</v>
          </cell>
          <cell r="U119">
            <v>859657</v>
          </cell>
        </row>
        <row r="120">
          <cell r="B120" t="str">
            <v>공무환경팀</v>
          </cell>
          <cell r="C120" t="str">
            <v>SACM0239</v>
          </cell>
          <cell r="D120" t="str">
            <v>조원</v>
          </cell>
          <cell r="E120" t="str">
            <v>김민규</v>
          </cell>
          <cell r="F120">
            <v>34986</v>
          </cell>
          <cell r="G120">
            <v>1374033</v>
          </cell>
          <cell r="H120">
            <v>1374033</v>
          </cell>
          <cell r="I120">
            <v>1374033</v>
          </cell>
          <cell r="J120">
            <v>1374033</v>
          </cell>
          <cell r="K120">
            <v>1374033</v>
          </cell>
          <cell r="L120">
            <v>1374033</v>
          </cell>
          <cell r="M120">
            <v>1374033</v>
          </cell>
          <cell r="O120" t="str">
            <v>휴      직      자       1년  평균상여(98.7-99.6)</v>
          </cell>
          <cell r="S120">
            <v>0</v>
          </cell>
          <cell r="T120">
            <v>438231</v>
          </cell>
          <cell r="U120">
            <v>893719</v>
          </cell>
        </row>
        <row r="121">
          <cell r="B121" t="str">
            <v>공무환경팀</v>
          </cell>
          <cell r="C121" t="str">
            <v>SACM0270</v>
          </cell>
          <cell r="D121" t="str">
            <v>조원</v>
          </cell>
          <cell r="E121" t="str">
            <v>김경래</v>
          </cell>
          <cell r="F121">
            <v>35205</v>
          </cell>
          <cell r="G121">
            <v>1327390</v>
          </cell>
          <cell r="H121">
            <v>1029520</v>
          </cell>
          <cell r="I121">
            <v>957520</v>
          </cell>
          <cell r="J121">
            <v>1490390</v>
          </cell>
          <cell r="K121">
            <v>1281390</v>
          </cell>
          <cell r="L121">
            <v>1298120</v>
          </cell>
          <cell r="M121">
            <v>1327141</v>
          </cell>
          <cell r="N121">
            <v>381770</v>
          </cell>
          <cell r="O121">
            <v>784780</v>
          </cell>
          <cell r="P121">
            <v>100000</v>
          </cell>
          <cell r="Q121">
            <v>392390</v>
          </cell>
          <cell r="R121">
            <v>1177170</v>
          </cell>
          <cell r="S121">
            <v>2836110</v>
          </cell>
          <cell r="T121">
            <v>474455</v>
          </cell>
          <cell r="U121">
            <v>888458</v>
          </cell>
        </row>
        <row r="122">
          <cell r="B122" t="str">
            <v>공무환경팀</v>
          </cell>
          <cell r="C122" t="str">
            <v>SACM0272</v>
          </cell>
          <cell r="D122" t="str">
            <v>조원</v>
          </cell>
          <cell r="E122" t="str">
            <v>김윤태#</v>
          </cell>
          <cell r="F122">
            <v>35303</v>
          </cell>
          <cell r="G122">
            <v>1590370</v>
          </cell>
          <cell r="H122">
            <v>1584140</v>
          </cell>
          <cell r="I122">
            <v>1803280</v>
          </cell>
          <cell r="J122">
            <v>1297690</v>
          </cell>
          <cell r="K122">
            <v>1351210</v>
          </cell>
          <cell r="L122">
            <v>1507390</v>
          </cell>
          <cell r="M122">
            <v>1355312</v>
          </cell>
          <cell r="N122">
            <v>353080</v>
          </cell>
          <cell r="O122">
            <v>706160</v>
          </cell>
          <cell r="P122">
            <v>100000</v>
          </cell>
          <cell r="Q122">
            <v>353080</v>
          </cell>
          <cell r="R122">
            <v>1059240</v>
          </cell>
          <cell r="S122">
            <v>2571560</v>
          </cell>
          <cell r="T122">
            <v>428593.33333333337</v>
          </cell>
          <cell r="U122">
            <v>879734</v>
          </cell>
        </row>
        <row r="123">
          <cell r="B123" t="str">
            <v>공무환경팀</v>
          </cell>
          <cell r="C123" t="str">
            <v>SACM0273</v>
          </cell>
          <cell r="D123" t="str">
            <v>조원</v>
          </cell>
          <cell r="E123" t="str">
            <v>김영동</v>
          </cell>
          <cell r="F123">
            <v>35317</v>
          </cell>
          <cell r="G123">
            <v>1322380</v>
          </cell>
          <cell r="H123">
            <v>1504800</v>
          </cell>
          <cell r="I123">
            <v>1872270</v>
          </cell>
          <cell r="J123">
            <v>1161710</v>
          </cell>
          <cell r="K123">
            <v>1018020</v>
          </cell>
          <cell r="L123">
            <v>941450</v>
          </cell>
          <cell r="M123">
            <v>1017776</v>
          </cell>
          <cell r="N123">
            <v>368490</v>
          </cell>
          <cell r="O123">
            <v>741220</v>
          </cell>
          <cell r="P123">
            <v>100000</v>
          </cell>
          <cell r="Q123">
            <v>370610</v>
          </cell>
          <cell r="R123">
            <v>1111830</v>
          </cell>
          <cell r="S123">
            <v>2692150</v>
          </cell>
          <cell r="T123">
            <v>449045</v>
          </cell>
          <cell r="U123">
            <v>723364</v>
          </cell>
        </row>
        <row r="124">
          <cell r="B124" t="str">
            <v>공무환경팀</v>
          </cell>
          <cell r="C124" t="str">
            <v>SACM0287</v>
          </cell>
          <cell r="D124" t="str">
            <v>조원</v>
          </cell>
          <cell r="E124" t="str">
            <v>조성배</v>
          </cell>
          <cell r="F124">
            <v>36069</v>
          </cell>
          <cell r="G124">
            <v>1104250</v>
          </cell>
          <cell r="H124">
            <v>1214630</v>
          </cell>
          <cell r="I124">
            <v>891930</v>
          </cell>
          <cell r="J124">
            <v>1225260</v>
          </cell>
          <cell r="K124">
            <v>1263140</v>
          </cell>
          <cell r="L124">
            <v>1247400</v>
          </cell>
          <cell r="M124">
            <v>1218196</v>
          </cell>
          <cell r="N124">
            <v>321200</v>
          </cell>
          <cell r="O124">
            <v>663660</v>
          </cell>
          <cell r="P124">
            <v>100000</v>
          </cell>
          <cell r="Q124">
            <v>344050</v>
          </cell>
          <cell r="R124">
            <v>1032140</v>
          </cell>
          <cell r="S124">
            <v>2461050</v>
          </cell>
          <cell r="T124">
            <v>403801.66666666663</v>
          </cell>
          <cell r="U124">
            <v>799889</v>
          </cell>
        </row>
        <row r="125">
          <cell r="B125" t="str">
            <v>공무환경팀</v>
          </cell>
          <cell r="C125" t="str">
            <v>SACM0308</v>
          </cell>
          <cell r="D125" t="str">
            <v>조원</v>
          </cell>
          <cell r="E125" t="str">
            <v>윤재준</v>
          </cell>
          <cell r="F125">
            <v>36388</v>
          </cell>
          <cell r="H125">
            <v>501230</v>
          </cell>
          <cell r="I125">
            <v>946540</v>
          </cell>
          <cell r="J125">
            <v>1120720</v>
          </cell>
          <cell r="K125">
            <v>933530</v>
          </cell>
          <cell r="L125">
            <v>1191170</v>
          </cell>
          <cell r="M125">
            <v>1058289</v>
          </cell>
          <cell r="P125">
            <v>50000</v>
          </cell>
          <cell r="Q125">
            <v>138040</v>
          </cell>
          <cell r="R125">
            <v>621200</v>
          </cell>
          <cell r="S125">
            <v>809240</v>
          </cell>
          <cell r="T125">
            <v>8333.3333333333339</v>
          </cell>
          <cell r="U125">
            <v>0</v>
          </cell>
        </row>
        <row r="126">
          <cell r="B126" t="str">
            <v>공무환경팀</v>
          </cell>
          <cell r="C126" t="str">
            <v>SACM0312</v>
          </cell>
          <cell r="D126" t="str">
            <v>조원</v>
          </cell>
          <cell r="E126" t="str">
            <v>이영찬</v>
          </cell>
          <cell r="F126">
            <v>36412</v>
          </cell>
          <cell r="I126">
            <v>668340</v>
          </cell>
          <cell r="J126">
            <v>1077290</v>
          </cell>
          <cell r="K126">
            <v>963170</v>
          </cell>
          <cell r="L126">
            <v>956880</v>
          </cell>
          <cell r="M126">
            <v>977393</v>
          </cell>
          <cell r="P126">
            <v>50000</v>
          </cell>
          <cell r="Q126">
            <v>129540</v>
          </cell>
          <cell r="R126">
            <v>582950</v>
          </cell>
          <cell r="S126">
            <v>762490</v>
          </cell>
          <cell r="T126">
            <v>8333.3333333333339</v>
          </cell>
          <cell r="U126">
            <v>0</v>
          </cell>
        </row>
        <row r="127">
          <cell r="B127" t="str">
            <v>생산공통소계</v>
          </cell>
          <cell r="G127">
            <v>43350333</v>
          </cell>
          <cell r="H127">
            <v>42270303</v>
          </cell>
          <cell r="I127">
            <v>46970833</v>
          </cell>
          <cell r="J127">
            <v>47582313</v>
          </cell>
          <cell r="K127">
            <v>44976703</v>
          </cell>
          <cell r="L127">
            <v>45290823</v>
          </cell>
          <cell r="M127">
            <v>44980905</v>
          </cell>
          <cell r="N127">
            <v>12780300</v>
          </cell>
          <cell r="O127">
            <v>25936470</v>
          </cell>
          <cell r="P127">
            <v>3350000</v>
          </cell>
          <cell r="Q127">
            <v>13734340</v>
          </cell>
          <cell r="R127">
            <v>41948540</v>
          </cell>
          <cell r="S127">
            <v>97749650</v>
          </cell>
          <cell r="T127">
            <v>16126171.83333334</v>
          </cell>
          <cell r="U127">
            <v>26937090</v>
          </cell>
        </row>
        <row r="128">
          <cell r="A128" t="str">
            <v>소결개발</v>
          </cell>
          <cell r="B128" t="str">
            <v>소결영업팀</v>
          </cell>
          <cell r="C128" t="str">
            <v>SACM0107</v>
          </cell>
          <cell r="D128" t="str">
            <v>반장</v>
          </cell>
          <cell r="E128" t="str">
            <v>모병주</v>
          </cell>
          <cell r="F128">
            <v>29999</v>
          </cell>
          <cell r="G128">
            <v>2002150</v>
          </cell>
          <cell r="H128">
            <v>1912600</v>
          </cell>
          <cell r="I128">
            <v>1846830</v>
          </cell>
          <cell r="J128">
            <v>2081830</v>
          </cell>
          <cell r="K128">
            <v>1829290</v>
          </cell>
          <cell r="L128">
            <v>1889800</v>
          </cell>
          <cell r="M128">
            <v>1891604</v>
          </cell>
          <cell r="N128">
            <v>579060</v>
          </cell>
          <cell r="O128">
            <v>1158120</v>
          </cell>
          <cell r="P128">
            <v>100000</v>
          </cell>
          <cell r="Q128">
            <v>579060</v>
          </cell>
          <cell r="R128">
            <v>1737180</v>
          </cell>
          <cell r="S128">
            <v>4153420</v>
          </cell>
          <cell r="T128">
            <v>692236.66666666663</v>
          </cell>
          <cell r="U128">
            <v>1274223</v>
          </cell>
        </row>
        <row r="129">
          <cell r="A129" t="str">
            <v>소결영업</v>
          </cell>
          <cell r="B129" t="str">
            <v>소결영업팀</v>
          </cell>
          <cell r="C129" t="str">
            <v>SACM0165</v>
          </cell>
          <cell r="D129" t="str">
            <v>조원</v>
          </cell>
          <cell r="E129" t="str">
            <v>오병수</v>
          </cell>
          <cell r="F129">
            <v>34229</v>
          </cell>
          <cell r="G129">
            <v>1027990</v>
          </cell>
          <cell r="H129">
            <v>933770</v>
          </cell>
          <cell r="I129">
            <v>899930</v>
          </cell>
          <cell r="J129">
            <v>1024790</v>
          </cell>
          <cell r="K129">
            <v>1040840</v>
          </cell>
          <cell r="L129">
            <v>976310</v>
          </cell>
          <cell r="M129">
            <v>991937</v>
          </cell>
          <cell r="N129">
            <v>384090</v>
          </cell>
          <cell r="O129">
            <v>768180</v>
          </cell>
          <cell r="P129">
            <v>100000</v>
          </cell>
          <cell r="Q129">
            <v>384090</v>
          </cell>
          <cell r="R129">
            <v>1152270</v>
          </cell>
          <cell r="S129">
            <v>2788630</v>
          </cell>
          <cell r="T129">
            <v>464771.66666666669</v>
          </cell>
          <cell r="U129">
            <v>718377</v>
          </cell>
        </row>
        <row r="130">
          <cell r="B130" t="str">
            <v>소결영업소계</v>
          </cell>
          <cell r="G130">
            <v>3030140</v>
          </cell>
          <cell r="H130">
            <v>2846370</v>
          </cell>
          <cell r="I130">
            <v>2746760</v>
          </cell>
          <cell r="J130">
            <v>3106620</v>
          </cell>
          <cell r="K130">
            <v>2870130</v>
          </cell>
          <cell r="L130">
            <v>2866110</v>
          </cell>
          <cell r="M130">
            <v>2883541</v>
          </cell>
          <cell r="N130">
            <v>963150</v>
          </cell>
          <cell r="O130">
            <v>1926300</v>
          </cell>
          <cell r="P130">
            <v>200000</v>
          </cell>
          <cell r="Q130">
            <v>963150</v>
          </cell>
          <cell r="R130">
            <v>2889450</v>
          </cell>
          <cell r="S130">
            <v>6942050</v>
          </cell>
          <cell r="T130">
            <v>1157008.3333333333</v>
          </cell>
          <cell r="U130">
            <v>1992600</v>
          </cell>
        </row>
        <row r="131">
          <cell r="A131" t="str">
            <v>마찰영업</v>
          </cell>
          <cell r="B131" t="str">
            <v>마찰영업팀</v>
          </cell>
          <cell r="C131" t="str">
            <v>SACM0153</v>
          </cell>
          <cell r="D131" t="str">
            <v>조장</v>
          </cell>
          <cell r="E131" t="str">
            <v>김태관</v>
          </cell>
          <cell r="F131">
            <v>34155</v>
          </cell>
          <cell r="G131">
            <v>1202760</v>
          </cell>
          <cell r="H131">
            <v>1357910</v>
          </cell>
          <cell r="I131">
            <v>1078180</v>
          </cell>
          <cell r="J131">
            <v>1401450</v>
          </cell>
          <cell r="K131">
            <v>1162260</v>
          </cell>
          <cell r="L131">
            <v>1255940</v>
          </cell>
          <cell r="M131">
            <v>1245538</v>
          </cell>
          <cell r="N131">
            <v>419420</v>
          </cell>
          <cell r="O131">
            <v>838840</v>
          </cell>
          <cell r="P131">
            <v>100000</v>
          </cell>
          <cell r="Q131">
            <v>419420</v>
          </cell>
          <cell r="R131">
            <v>1258260</v>
          </cell>
          <cell r="S131">
            <v>3035940</v>
          </cell>
          <cell r="T131">
            <v>505989.99999999994</v>
          </cell>
          <cell r="U131">
            <v>863767</v>
          </cell>
        </row>
        <row r="132">
          <cell r="B132" t="str">
            <v>마찰영업소계</v>
          </cell>
          <cell r="G132">
            <v>1202760</v>
          </cell>
          <cell r="H132">
            <v>1357910</v>
          </cell>
          <cell r="I132">
            <v>1078180</v>
          </cell>
          <cell r="J132">
            <v>1401450</v>
          </cell>
          <cell r="K132">
            <v>1162260</v>
          </cell>
          <cell r="L132">
            <v>1255940</v>
          </cell>
          <cell r="M132">
            <v>1245538</v>
          </cell>
          <cell r="N132">
            <v>419420</v>
          </cell>
          <cell r="O132">
            <v>838840</v>
          </cell>
          <cell r="P132">
            <v>100000</v>
          </cell>
          <cell r="Q132">
            <v>419420</v>
          </cell>
          <cell r="R132">
            <v>1258260</v>
          </cell>
          <cell r="S132">
            <v>3035940</v>
          </cell>
          <cell r="T132">
            <v>505989.99999999994</v>
          </cell>
          <cell r="U132">
            <v>863767</v>
          </cell>
        </row>
        <row r="133">
          <cell r="A133" t="str">
            <v>마찰개발</v>
          </cell>
          <cell r="B133" t="str">
            <v>마찰재개발팀</v>
          </cell>
          <cell r="C133" t="str">
            <v>SACM0002</v>
          </cell>
          <cell r="D133" t="str">
            <v>반장보</v>
          </cell>
          <cell r="E133" t="str">
            <v>임규보</v>
          </cell>
          <cell r="F133">
            <v>33336</v>
          </cell>
          <cell r="G133">
            <v>1147540</v>
          </cell>
          <cell r="H133">
            <v>1172330</v>
          </cell>
          <cell r="I133">
            <v>1377600</v>
          </cell>
          <cell r="J133">
            <v>1412140</v>
          </cell>
          <cell r="K133">
            <v>1273020</v>
          </cell>
          <cell r="L133">
            <v>1405760</v>
          </cell>
          <cell r="M133">
            <v>1333996</v>
          </cell>
          <cell r="N133">
            <v>451090</v>
          </cell>
          <cell r="O133">
            <v>902190</v>
          </cell>
          <cell r="P133">
            <v>100000</v>
          </cell>
          <cell r="Q133">
            <v>451090</v>
          </cell>
          <cell r="R133">
            <v>1353280</v>
          </cell>
          <cell r="S133">
            <v>3257650</v>
          </cell>
          <cell r="T133">
            <v>542944.16666666674</v>
          </cell>
          <cell r="U133">
            <v>925614</v>
          </cell>
        </row>
        <row r="134">
          <cell r="B134" t="str">
            <v>마찰재개발팀</v>
          </cell>
          <cell r="C134" t="str">
            <v>SACM0175</v>
          </cell>
          <cell r="D134" t="str">
            <v>조장</v>
          </cell>
          <cell r="E134" t="str">
            <v>박준경</v>
          </cell>
          <cell r="F134">
            <v>34381</v>
          </cell>
          <cell r="G134">
            <v>1063320</v>
          </cell>
          <cell r="H134">
            <v>1082100</v>
          </cell>
          <cell r="I134">
            <v>1216670</v>
          </cell>
          <cell r="J134">
            <v>1110880</v>
          </cell>
          <cell r="K134">
            <v>1047200</v>
          </cell>
          <cell r="L134">
            <v>1006380</v>
          </cell>
          <cell r="M134">
            <v>1031889</v>
          </cell>
          <cell r="N134">
            <v>401690</v>
          </cell>
          <cell r="O134">
            <v>803380</v>
          </cell>
          <cell r="P134">
            <v>100000</v>
          </cell>
          <cell r="Q134">
            <v>401690</v>
          </cell>
          <cell r="R134">
            <v>1205070</v>
          </cell>
          <cell r="S134">
            <v>2911830</v>
          </cell>
          <cell r="T134">
            <v>485305</v>
          </cell>
          <cell r="U134">
            <v>748205</v>
          </cell>
        </row>
        <row r="135">
          <cell r="B135" t="str">
            <v>마찰재개발팀</v>
          </cell>
          <cell r="C135" t="str">
            <v>SACM0199</v>
          </cell>
          <cell r="D135" t="str">
            <v>조장</v>
          </cell>
          <cell r="E135" t="str">
            <v>박  윤</v>
          </cell>
          <cell r="F135">
            <v>34582</v>
          </cell>
          <cell r="G135">
            <v>1131870</v>
          </cell>
          <cell r="H135">
            <v>1112050</v>
          </cell>
          <cell r="I135">
            <v>1080320</v>
          </cell>
          <cell r="J135">
            <v>1083440</v>
          </cell>
          <cell r="K135">
            <v>1074820</v>
          </cell>
          <cell r="L135">
            <v>1061400</v>
          </cell>
          <cell r="M135">
            <v>1049889</v>
          </cell>
          <cell r="N135">
            <v>401950</v>
          </cell>
          <cell r="O135">
            <v>811340</v>
          </cell>
          <cell r="P135">
            <v>100000</v>
          </cell>
          <cell r="Q135">
            <v>405670</v>
          </cell>
          <cell r="R135">
            <v>1217010</v>
          </cell>
          <cell r="S135">
            <v>2935970</v>
          </cell>
          <cell r="T135">
            <v>489948.33333333331</v>
          </cell>
          <cell r="U135">
            <v>759372</v>
          </cell>
        </row>
        <row r="136">
          <cell r="B136" t="str">
            <v>마찰재개발팀</v>
          </cell>
          <cell r="C136" t="str">
            <v>SACM0225</v>
          </cell>
          <cell r="D136" t="str">
            <v>조원</v>
          </cell>
          <cell r="E136" t="str">
            <v>윤재덕</v>
          </cell>
          <cell r="F136">
            <v>34827</v>
          </cell>
          <cell r="G136">
            <v>885160</v>
          </cell>
          <cell r="H136">
            <v>915320</v>
          </cell>
          <cell r="I136">
            <v>963230</v>
          </cell>
          <cell r="J136">
            <v>941340</v>
          </cell>
          <cell r="K136">
            <v>928920</v>
          </cell>
          <cell r="L136">
            <v>1051840</v>
          </cell>
          <cell r="M136">
            <v>952859</v>
          </cell>
          <cell r="N136">
            <v>360250</v>
          </cell>
          <cell r="O136">
            <v>720500</v>
          </cell>
          <cell r="P136">
            <v>100000</v>
          </cell>
          <cell r="Q136">
            <v>360250</v>
          </cell>
          <cell r="R136">
            <v>1080750</v>
          </cell>
          <cell r="S136">
            <v>2621750</v>
          </cell>
          <cell r="T136">
            <v>436958.33333333331</v>
          </cell>
          <cell r="U136">
            <v>685389</v>
          </cell>
        </row>
        <row r="137">
          <cell r="B137" t="str">
            <v>마찰재개발팀</v>
          </cell>
          <cell r="C137" t="str">
            <v>SACM0238</v>
          </cell>
          <cell r="D137" t="str">
            <v>조원</v>
          </cell>
          <cell r="E137" t="str">
            <v>변용수</v>
          </cell>
          <cell r="F137">
            <v>34918</v>
          </cell>
          <cell r="G137">
            <v>964820</v>
          </cell>
          <cell r="H137">
            <v>1087890</v>
          </cell>
          <cell r="I137">
            <v>1077940</v>
          </cell>
          <cell r="J137">
            <v>1257240</v>
          </cell>
          <cell r="K137">
            <v>1033040</v>
          </cell>
          <cell r="L137">
            <v>823580</v>
          </cell>
          <cell r="M137">
            <v>1015389</v>
          </cell>
          <cell r="N137">
            <v>363440</v>
          </cell>
          <cell r="O137">
            <v>726880</v>
          </cell>
          <cell r="P137">
            <v>100000</v>
          </cell>
          <cell r="Q137">
            <v>363440</v>
          </cell>
          <cell r="R137">
            <v>1090320</v>
          </cell>
          <cell r="S137">
            <v>2644080</v>
          </cell>
          <cell r="T137">
            <v>440680</v>
          </cell>
          <cell r="U137">
            <v>718061</v>
          </cell>
        </row>
        <row r="138">
          <cell r="B138" t="str">
            <v>마찰재개발팀</v>
          </cell>
          <cell r="C138" t="str">
            <v>SACM0297</v>
          </cell>
          <cell r="D138" t="str">
            <v>조원</v>
          </cell>
          <cell r="E138" t="str">
            <v>박학칠</v>
          </cell>
          <cell r="F138">
            <v>36292</v>
          </cell>
          <cell r="G138">
            <v>872450</v>
          </cell>
          <cell r="H138">
            <v>803350</v>
          </cell>
          <cell r="I138">
            <v>890250</v>
          </cell>
          <cell r="J138">
            <v>1090480</v>
          </cell>
          <cell r="K138">
            <v>948340</v>
          </cell>
          <cell r="L138">
            <v>960650</v>
          </cell>
          <cell r="M138">
            <v>978088</v>
          </cell>
          <cell r="N138">
            <v>129540</v>
          </cell>
          <cell r="O138">
            <v>276090</v>
          </cell>
          <cell r="P138">
            <v>100000</v>
          </cell>
          <cell r="Q138">
            <v>207070</v>
          </cell>
          <cell r="R138">
            <v>759240</v>
          </cell>
          <cell r="S138">
            <v>1471940</v>
          </cell>
          <cell r="T138">
            <v>177719.16666666669</v>
          </cell>
          <cell r="U138">
            <v>0</v>
          </cell>
        </row>
        <row r="139">
          <cell r="B139" t="str">
            <v>마찰재개발팀</v>
          </cell>
          <cell r="C139" t="str">
            <v>SACM0304</v>
          </cell>
          <cell r="D139" t="str">
            <v>조원</v>
          </cell>
          <cell r="E139" t="str">
            <v>박순태</v>
          </cell>
          <cell r="F139">
            <v>36362</v>
          </cell>
          <cell r="G139">
            <v>228580</v>
          </cell>
          <cell r="H139">
            <v>908860</v>
          </cell>
          <cell r="I139">
            <v>1113470</v>
          </cell>
          <cell r="J139">
            <v>1045460</v>
          </cell>
          <cell r="K139">
            <v>876560</v>
          </cell>
          <cell r="L139">
            <v>930380</v>
          </cell>
          <cell r="M139">
            <v>930130</v>
          </cell>
          <cell r="P139">
            <v>50000</v>
          </cell>
          <cell r="Q139">
            <v>130080</v>
          </cell>
          <cell r="R139">
            <v>585340</v>
          </cell>
          <cell r="S139">
            <v>765420</v>
          </cell>
          <cell r="T139">
            <v>8333.3333333333339</v>
          </cell>
          <cell r="U139">
            <v>0</v>
          </cell>
        </row>
      </sheetData>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Set>
  </externalBook>
</externalLink>
</file>

<file path=xl/externalLinks/externalLink6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heet1"/>
      <sheetName val="Sheet2"/>
      <sheetName val="원가계산서"/>
      <sheetName val="실행철강하도"/>
      <sheetName val="경상비"/>
      <sheetName val="회사정보"/>
      <sheetName val="단가"/>
      <sheetName val="첨"/>
      <sheetName val="내역서"/>
    </sheetNames>
    <sheetDataSet>
      <sheetData sheetId="0"/>
      <sheetData sheetId="1"/>
      <sheetData sheetId="2"/>
      <sheetData sheetId="3" refreshError="1"/>
      <sheetData sheetId="4" refreshError="1"/>
      <sheetData sheetId="5" refreshError="1"/>
      <sheetData sheetId="6" refreshError="1"/>
      <sheetData sheetId="7" refreshError="1"/>
      <sheetData sheetId="8" refreshError="1"/>
    </sheetDataSet>
  </externalBook>
</externalLink>
</file>

<file path=xl/externalLinks/externalLink6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입찰안"/>
      <sheetName val="적격"/>
      <sheetName val="평가"/>
      <sheetName val="적정"/>
      <sheetName val="관리"/>
      <sheetName val="표지"/>
      <sheetName val="총괄"/>
      <sheetName val="내역"/>
      <sheetName val="하도"/>
      <sheetName val="별지"/>
      <sheetName val="견적"/>
      <sheetName val="조사"/>
      <sheetName val="합의서"/>
      <sheetName val="5호광장(낙찰)"/>
      <sheetName val="5호광장"/>
      <sheetName val="5호광장 (만점)"/>
      <sheetName val="인천국제 (만점) (2)"/>
      <sheetName val="선거교가설공사"/>
      <sheetName val="선거교가설공사(만점)"/>
      <sheetName val="낙동강하구둑"/>
      <sheetName val="낙동강하구둑(만점)"/>
      <sheetName val="공원로-우남로"/>
      <sheetName val="공원로-우남로(만점)"/>
      <sheetName val="보림사우회도로"/>
      <sheetName val="보림사우회도로(만점)"/>
      <sheetName val="2000년1차"/>
      <sheetName val="2000전체분"/>
      <sheetName val="교통대책내역"/>
      <sheetName val="집계표"/>
      <sheetName val="조명율표"/>
      <sheetName val="투찰내역"/>
      <sheetName val="조경일람"/>
      <sheetName val="조명일위"/>
      <sheetName val="단가일람"/>
      <sheetName val="약품공급2"/>
      <sheetName val="부대공사비"/>
      <sheetName val="내역서"/>
      <sheetName val="BID"/>
      <sheetName val="차액보증"/>
      <sheetName val="SLAB데이터"/>
      <sheetName val="#REF"/>
      <sheetName val="간접1"/>
      <sheetName val="99총공사내역서"/>
      <sheetName val="퍼스트"/>
      <sheetName val="지질조사"/>
      <sheetName val="C1ㅇ"/>
      <sheetName val="제경비"/>
      <sheetName val="정부노임단가"/>
      <sheetName val="Total 단위경유량집계"/>
      <sheetName val="실행내역"/>
      <sheetName val="접지수량"/>
      <sheetName val="CALCULATION"/>
      <sheetName val="노임"/>
      <sheetName val="RE9604"/>
      <sheetName val="MOTOR"/>
      <sheetName val="원가계산서"/>
      <sheetName val="전체제잡비"/>
      <sheetName val="마산월령동골조물량변경"/>
      <sheetName val="산근"/>
      <sheetName val="DB"/>
      <sheetName val="sheet1"/>
      <sheetName val="토공A"/>
      <sheetName val="실행철강하도"/>
      <sheetName val="기본단가표"/>
      <sheetName val="재료집계표"/>
      <sheetName val="1,2공구원가계산서"/>
      <sheetName val="2공구산출내역"/>
      <sheetName val="1공구산출내역서"/>
      <sheetName val="금액내역서"/>
      <sheetName val="1.수인터널"/>
      <sheetName val="준검 내역서"/>
      <sheetName val="품셈TABLE"/>
      <sheetName val="DANGA"/>
      <sheetName val="일위대가"/>
      <sheetName val="설계조건"/>
      <sheetName val="건축내역"/>
      <sheetName val="기계경비일람"/>
      <sheetName val="내역(원안-대안)"/>
      <sheetName val="단가"/>
      <sheetName val="기계경비(시간당)"/>
      <sheetName val="조명시설"/>
      <sheetName val="항목(1)"/>
      <sheetName val="총괄표"/>
      <sheetName val="교각1"/>
      <sheetName val="내역서(전기)"/>
      <sheetName val="SIL98"/>
      <sheetName val="구조물공"/>
      <sheetName val="부대공"/>
      <sheetName val="배수공"/>
      <sheetName val="토공"/>
      <sheetName val="포장공"/>
      <sheetName val="토공유동표(전체.당초)"/>
      <sheetName val="노임단가"/>
      <sheetName val="단위단가"/>
      <sheetName val="수량산출서"/>
      <sheetName val="총공사내역서"/>
      <sheetName val="공사비예산서(토목분)"/>
      <sheetName val="적점"/>
      <sheetName val="당진1,2호기전선관설치및접지4차공사내역서-을지"/>
      <sheetName val="기계내역서"/>
      <sheetName val="1001"/>
      <sheetName val="공사개요"/>
      <sheetName val="매입세율"/>
      <sheetName val="5회토적"/>
      <sheetName val="001"/>
      <sheetName val="날개벽수량표"/>
      <sheetName val="hvac(제어동)"/>
      <sheetName val="BH-1 (2)"/>
      <sheetName val="일반공사"/>
      <sheetName val="자재일람"/>
      <sheetName val="하남내역"/>
      <sheetName val="N賃率-職"/>
      <sheetName val="NYS"/>
      <sheetName val="일위목록"/>
      <sheetName val="요율"/>
      <sheetName val="현장설명"/>
      <sheetName val="잡철물"/>
      <sheetName val="대포2교접속"/>
      <sheetName val="천방교접속"/>
      <sheetName val="관급"/>
      <sheetName val="ABUT수량-A1"/>
      <sheetName val="제안서"/>
      <sheetName val="행정표준(1)"/>
      <sheetName val="행정표준(2)"/>
      <sheetName val="산출근거"/>
      <sheetName val="내역(중앙)"/>
      <sheetName val="관리비비계상"/>
      <sheetName val="예가내역서"/>
      <sheetName val="경비2내역"/>
      <sheetName val="작성방법"/>
      <sheetName val="예산서"/>
      <sheetName val="I.설계조건"/>
      <sheetName val="표  지"/>
      <sheetName val="설비2차"/>
      <sheetName val="참조-(1)"/>
      <sheetName val="원가계산서구조조정"/>
      <sheetName val="도급"/>
      <sheetName val="현장지지물물량"/>
      <sheetName val="터파기및재료"/>
      <sheetName val="초기화면"/>
      <sheetName val="폐기물"/>
      <sheetName val="인원계획"/>
      <sheetName val="DATA"/>
      <sheetName val="타공종이기"/>
      <sheetName val="데이타"/>
      <sheetName val="ITEM"/>
      <sheetName val="INPUT"/>
      <sheetName val="문학간접"/>
      <sheetName val="1.설계조건"/>
      <sheetName val="조도계산서 (도서)"/>
      <sheetName val="4.전기"/>
      <sheetName val="노원열병합  건축공사기성내역서"/>
      <sheetName val="운반"/>
      <sheetName val="도급-집계"/>
      <sheetName val="여수토토적"/>
      <sheetName val="구조물수량집계표"/>
      <sheetName val="증감내역서"/>
      <sheetName val="보증수수료산출"/>
      <sheetName val="신호등일위대가"/>
      <sheetName val="을"/>
      <sheetName val="자료"/>
      <sheetName val="사업전망"/>
      <sheetName val="현장업무"/>
      <sheetName val="PIPING"/>
      <sheetName val="MSS 2"/>
      <sheetName val="전주2本1"/>
      <sheetName val="프로젝트"/>
      <sheetName val="공문"/>
      <sheetName val="일반부표"/>
      <sheetName val="ancillary"/>
      <sheetName val="금융비용"/>
      <sheetName val="이형관"/>
      <sheetName val="세부내역"/>
      <sheetName val="총괄내역서"/>
      <sheetName val="산출내역서"/>
      <sheetName val="을-ATYPE"/>
      <sheetName val="제1호단위수량"/>
      <sheetName val="자재단가비교표"/>
      <sheetName val="전기"/>
      <sheetName val="결재갑지"/>
      <sheetName val="대전21토목내역서"/>
      <sheetName val="말뚝지지력산정"/>
      <sheetName val="오저간내역서"/>
      <sheetName val="직노"/>
      <sheetName val="앉음벽 (2)"/>
      <sheetName val="6호기"/>
      <sheetName val="직공비"/>
      <sheetName val="인부노임"/>
      <sheetName val="간접비계산"/>
      <sheetName val="plan&amp;section of foundation"/>
      <sheetName val="pile bearing capa &amp; arrenge"/>
      <sheetName val="working load at the btm ft."/>
      <sheetName val="stability check"/>
      <sheetName val="design criteria"/>
      <sheetName val="일위대가표"/>
      <sheetName val="98지급계획"/>
      <sheetName val="적용단가"/>
      <sheetName val="분뇨"/>
      <sheetName val="코드표"/>
      <sheetName val="2.1  노무비 평균단가산출"/>
      <sheetName val="경비"/>
      <sheetName val="우수관매설및 우수받이"/>
      <sheetName val="접지1종"/>
      <sheetName val="조경"/>
      <sheetName val="명세서"/>
      <sheetName val="A-4"/>
      <sheetName val="대비"/>
      <sheetName val="제출내역 (2)"/>
      <sheetName val="전체"/>
      <sheetName val="I一般比"/>
      <sheetName val="Sheet3"/>
      <sheetName val="단가산출"/>
      <sheetName val="품셈"/>
      <sheetName val="예산변경원인분석"/>
      <sheetName val="내역_ver1.0"/>
      <sheetName val="적용표"/>
      <sheetName val="운반비"/>
      <sheetName val="2000양배"/>
      <sheetName val="단가대비표"/>
      <sheetName val="기초일위"/>
      <sheetName val="시설일위"/>
      <sheetName val="보고서 기기리스트"/>
      <sheetName val="현장관리비"/>
      <sheetName val="상-교대(A1-A2)"/>
      <sheetName val="설계내역서"/>
      <sheetName val="Resource2"/>
      <sheetName val="일위대가(1)"/>
      <sheetName val="마산방향"/>
      <sheetName val="진주방향"/>
      <sheetName val="토목내역"/>
      <sheetName val="사급자재"/>
      <sheetName val="기계공사"/>
      <sheetName val="간접(90)"/>
      <sheetName val="참조"/>
      <sheetName val="7. 현장관리비 "/>
      <sheetName val="6. 안전관리비"/>
      <sheetName val="봉양~조차장간고하개명(신설)"/>
      <sheetName val="소야공정계획표"/>
      <sheetName val="견적조건"/>
      <sheetName val="구조물견적서"/>
      <sheetName val="설계서(7)"/>
      <sheetName val="예산서(6)"/>
      <sheetName val="3련 BOX"/>
      <sheetName val="역T형옹벽단위수량"/>
      <sheetName val="실행(1)"/>
      <sheetName val="재료비"/>
      <sheetName val="토목주소"/>
      <sheetName val="결과조달"/>
      <sheetName val="할증"/>
      <sheetName val="전기내역서(총계)"/>
      <sheetName val="내역원본"/>
      <sheetName val="입력데이타"/>
      <sheetName val="내역(창신)"/>
      <sheetName val="연결임시"/>
      <sheetName val="11.우각부 보강"/>
      <sheetName val="분전반"/>
      <sheetName val="간이영수증"/>
      <sheetName val="소포내역 (2)"/>
      <sheetName val="횡배위치"/>
      <sheetName val="11.산출(전열)"/>
      <sheetName val="6.산출(동력)"/>
      <sheetName val="7.산출(TRAY)"/>
      <sheetName val="신림자금"/>
      <sheetName val="부재예실1월"/>
      <sheetName val="Total"/>
      <sheetName val="여과지동"/>
      <sheetName val="기초자료"/>
      <sheetName val="WORK"/>
      <sheetName val="5호광장_(만점)"/>
      <sheetName val="인천국제_(만점)_(2)"/>
      <sheetName val="Total_단위경유량집계"/>
      <sheetName val="준검_내역서"/>
      <sheetName val="토공유동표(전체_당초)"/>
      <sheetName val="1_수인터널"/>
      <sheetName val="제품원재"/>
      <sheetName val="단가조사-2"/>
      <sheetName val="건설성적"/>
      <sheetName val="자재단가"/>
      <sheetName val="13LPMCC"/>
      <sheetName val="시멘트"/>
      <sheetName val="단가조건(02년)"/>
      <sheetName val="_HIT__HMC 견적_3900_"/>
      <sheetName val="금호"/>
      <sheetName val="원가"/>
      <sheetName val="설계예산서"/>
      <sheetName val="ilch"/>
      <sheetName val="bearing"/>
      <sheetName val="가격조사서"/>
      <sheetName val="검암내역"/>
      <sheetName val="EUPDAT2"/>
      <sheetName val="배수내역"/>
      <sheetName val="배수내역 (2)"/>
      <sheetName val="측구터파기공수량집계"/>
      <sheetName val="배수공 시멘트 및 골재량 산출"/>
      <sheetName val="일위대가(가설)"/>
      <sheetName val="내   역"/>
      <sheetName val="전라자금"/>
      <sheetName val="기기리스트"/>
      <sheetName val="노임단가표"/>
      <sheetName val="5.산출(전력)"/>
      <sheetName val="수량산출서(전력간선_지하1)"/>
      <sheetName val="수량산출서(전력간선_지하발전)"/>
      <sheetName val="수량산출서(전력간선_지하D.C)"/>
      <sheetName val="수량산출서(전력간선_동관)"/>
      <sheetName val="수량산출서(전력간선_서관)"/>
      <sheetName val="수량산출서(전력간선_TRAY)"/>
      <sheetName val="수량산출서(특고압케이블)"/>
      <sheetName val="수량산출서(전열)"/>
      <sheetName val="lee"/>
      <sheetName val="집계표소트"/>
      <sheetName val="8설7발"/>
      <sheetName val="A 견적"/>
      <sheetName val="조건표"/>
      <sheetName val="전기일위대가"/>
      <sheetName val=" HIT-&gt;HMC 견적(3900)"/>
      <sheetName val="투찰추정"/>
      <sheetName val="검토"/>
      <sheetName val="갑지"/>
      <sheetName val="INPUT-DATA"/>
      <sheetName val="용소리교"/>
      <sheetName val="총괄-1"/>
      <sheetName val="COVER"/>
      <sheetName val="교량"/>
      <sheetName val="단가조사표"/>
      <sheetName val="추가예산"/>
      <sheetName val="Macro1"/>
      <sheetName val="일위대가목록"/>
      <sheetName val="기성내역"/>
      <sheetName val="내역(가지)"/>
      <sheetName val="산출내역서집계표"/>
      <sheetName val="토목"/>
      <sheetName val="시설물일위"/>
      <sheetName val="일위집계(기존)"/>
      <sheetName val="기초수량집"/>
      <sheetName val="입력"/>
      <sheetName val="예산총괄"/>
      <sheetName val="공사원가계산서"/>
      <sheetName val="설계"/>
      <sheetName val="TYPE-A"/>
      <sheetName val="소비자가"/>
      <sheetName val="원가+내역"/>
      <sheetName val="JUCKEYK"/>
      <sheetName val="전기일위목록"/>
      <sheetName val="type-F"/>
      <sheetName val="99월별경비계획"/>
      <sheetName val="70%"/>
      <sheetName val="01AC"/>
      <sheetName val="정화조내역"/>
      <sheetName val="물량표S"/>
      <sheetName val="Macro(차단기)"/>
      <sheetName val="중기일위대가"/>
      <sheetName val="플랜트 설치"/>
      <sheetName val="광산내역"/>
      <sheetName val="단가집"/>
      <sheetName val="99-0002"/>
      <sheetName val="EBSDATA"/>
      <sheetName val="원계약고시공및준비구분"/>
      <sheetName val="Y-WORK"/>
      <sheetName val="기초코드"/>
      <sheetName val="관경별내역서"/>
      <sheetName val="현금흐름"/>
      <sheetName val="별첨1-임식"/>
      <sheetName val="기본자료"/>
      <sheetName val="부속동"/>
      <sheetName val="APT"/>
      <sheetName val="구간별관경"/>
      <sheetName val="부대내역"/>
      <sheetName val="인사자료총집계"/>
      <sheetName val="전기실-1"/>
      <sheetName val="일용노임단가"/>
      <sheetName val="자재단가표"/>
      <sheetName val="spc 배관견적"/>
      <sheetName val="C97상"/>
      <sheetName val="편입토지조서"/>
      <sheetName val="배수통관(좌)"/>
      <sheetName val="건축공사"/>
      <sheetName val="6PILE  (돌출)"/>
      <sheetName val="백암비스타내역"/>
      <sheetName val="#2_일위대가목록"/>
      <sheetName val="전 기"/>
      <sheetName val="CORE#2"/>
      <sheetName val="관급자재"/>
      <sheetName val="내역표지"/>
      <sheetName val="SHEET PILE단가"/>
      <sheetName val="수정2"/>
      <sheetName val="unit 4"/>
      <sheetName val="견적서"/>
      <sheetName val="소방사항"/>
      <sheetName val="목차 "/>
      <sheetName val="200"/>
      <sheetName val="SLAB"/>
      <sheetName val="퇴직금(울산천상)"/>
      <sheetName val="asd"/>
      <sheetName val="직재"/>
      <sheetName val="WING3"/>
      <sheetName val="전동기"/>
      <sheetName val="일위대가(집계)"/>
      <sheetName val="FM"/>
      <sheetName val="내역서1"/>
      <sheetName val="주관사업"/>
      <sheetName val="데리네이타현황"/>
      <sheetName val="중기"/>
      <sheetName val="1"/>
      <sheetName val="일위"/>
      <sheetName val="장비단가표"/>
      <sheetName val="Customer Databas"/>
      <sheetName val="공통가설"/>
      <sheetName val="d118"/>
      <sheetName val="공사비총괄"/>
      <sheetName val="화재 탐지 설비"/>
      <sheetName val="계약전체내역서"/>
      <sheetName val="예정공정(2차분)"/>
      <sheetName val="총괄간지"/>
      <sheetName val="발주간지"/>
      <sheetName val="1차전체변경"/>
      <sheetName val="2차전체변경예정"/>
      <sheetName val="2차전체변경예정 (2)"/>
      <sheetName val="전체변경p"/>
      <sheetName val="04계약"/>
      <sheetName val="사용계획서"/>
      <sheetName val="04착공계약내역서"/>
      <sheetName val="04변경-상하p"/>
      <sheetName val="전체증감"/>
      <sheetName val="1차분증감"/>
      <sheetName val="잔여분증감"/>
      <sheetName val="1차사용계획서"/>
      <sheetName val="1차간지"/>
      <sheetName val="1차분계약내역서"/>
      <sheetName val="이정표토공"/>
      <sheetName val="계수시트"/>
      <sheetName val="공정증감대ㅈ표"/>
      <sheetName val="SG"/>
      <sheetName val="투입내역"/>
      <sheetName val="시설물기초"/>
      <sheetName val="예가표"/>
      <sheetName val="1유리"/>
      <sheetName val="3.1공사현황 공정표"/>
      <sheetName val="동방설계서"/>
      <sheetName val="1.취수장"/>
      <sheetName val="신천3호용수로"/>
      <sheetName val="중기비"/>
      <sheetName val="공통단가"/>
      <sheetName val="입찰"/>
      <sheetName val="현경"/>
      <sheetName val="바닥판"/>
      <sheetName val="입력DATA"/>
      <sheetName val="일위대가목차"/>
      <sheetName val="갑지(추정)"/>
      <sheetName val="접속도로1"/>
      <sheetName val="BH_1 _2_"/>
      <sheetName val="1,2,3,4,5단위수량"/>
      <sheetName val="b_balju"/>
      <sheetName val="물량표"/>
      <sheetName val="덕전리"/>
      <sheetName val="POL6차-PIPING"/>
      <sheetName val="정렬"/>
      <sheetName val="EQT-ESTN"/>
      <sheetName val="현장관리비참조"/>
      <sheetName val="전체_1설계"/>
      <sheetName val="1월"/>
      <sheetName val="전입"/>
      <sheetName val="원가총괄"/>
      <sheetName val="귀래 설계 공내역서"/>
      <sheetName val="파일구성"/>
      <sheetName val="유입량"/>
      <sheetName val="지불내역(자재외)"/>
      <sheetName val="설계서(본관)"/>
      <sheetName val="기본일위"/>
      <sheetName val="모델명"/>
      <sheetName val="수량산출"/>
      <sheetName val="재집"/>
      <sheetName val="총"/>
      <sheetName val="오산갈곳"/>
      <sheetName val="설치"/>
      <sheetName val="1안"/>
      <sheetName val="BQ"/>
      <sheetName val="집계및폼"/>
      <sheetName val="04_10_11"/>
      <sheetName val="8.현장관리비"/>
      <sheetName val="7.안전관리비"/>
      <sheetName val="1.설계기준"/>
      <sheetName val="PAINT"/>
      <sheetName val="SUMMARY(S)"/>
      <sheetName val="중기사용료산출근거"/>
      <sheetName val="단가산출1"/>
      <sheetName val="협력업체"/>
      <sheetName val="코드1"/>
      <sheetName val="코드2"/>
      <sheetName val="원가서"/>
      <sheetName val="도담구내 개소별 명세"/>
      <sheetName val="공기압축기실"/>
      <sheetName val="101동"/>
      <sheetName val="인건비"/>
      <sheetName val="합계"/>
      <sheetName val="세골재  T2 변경 현황"/>
      <sheetName val="암거"/>
      <sheetName val="Sheet2"/>
      <sheetName val="계산표지"/>
      <sheetName val="노임변동률"/>
      <sheetName val="실행(ALT1)"/>
      <sheetName val="개인별 순위표"/>
      <sheetName val="INDEX"/>
      <sheetName val="프랜트면허"/>
      <sheetName val="냉천부속동"/>
      <sheetName val="네고율"/>
      <sheetName val="실행"/>
      <sheetName val="노임이"/>
      <sheetName val="부서코드표"/>
      <sheetName val="내역서 "/>
      <sheetName val="안정계산"/>
      <sheetName val="단면검토"/>
      <sheetName val="장비"/>
      <sheetName val="노무"/>
      <sheetName val="재개발"/>
      <sheetName val="저장소"/>
      <sheetName val="내역집계"/>
      <sheetName val="노임 단가"/>
      <sheetName val="정산내역"/>
      <sheetName val="Cash Flow-1"/>
      <sheetName val="단가(적용)"/>
      <sheetName val="조경수목"/>
      <sheetName val="퇴직공제부금"/>
      <sheetName val="평균노임"/>
      <sheetName val="분석"/>
      <sheetName val="시운전연료비"/>
      <sheetName val="골조시행"/>
      <sheetName val="시운전연료"/>
      <sheetName val="입찰보고"/>
      <sheetName val="현금예금"/>
      <sheetName val="유림골조"/>
      <sheetName val="정리계획CF평가"/>
      <sheetName val="설 계"/>
      <sheetName val="원도급"/>
      <sheetName val="하도급"/>
      <sheetName val="증감분석"/>
      <sheetName val="전기공사"/>
      <sheetName val="청천내"/>
      <sheetName val="Sheet5"/>
      <sheetName val="재료값"/>
      <sheetName val="환율change"/>
      <sheetName val="당초"/>
      <sheetName val="단가표"/>
      <sheetName val="시화점실행"/>
      <sheetName val="기별(종합)"/>
      <sheetName val="손익차9월2"/>
      <sheetName val="득점현황"/>
      <sheetName val="품목납기"/>
      <sheetName val="손익분석"/>
      <sheetName val="대림경상68억"/>
      <sheetName val="2000년하반기"/>
      <sheetName val="수량산출서집계(1-4차)"/>
      <sheetName val="PAY"/>
      <sheetName val="수지예산"/>
      <sheetName val="연습"/>
      <sheetName val="장비단가"/>
      <sheetName val="ELEC"/>
      <sheetName val="단가산출서"/>
      <sheetName val="3.공통공사대비"/>
      <sheetName val="재료"/>
      <sheetName val="직접경비호표"/>
      <sheetName val="TOT"/>
      <sheetName val="6공구(당초)"/>
      <sheetName val="TCDB"/>
      <sheetName val="중사"/>
      <sheetName val="한전일위"/>
      <sheetName val="자료입력"/>
      <sheetName val="적용단위길이"/>
      <sheetName val="전기혼잡제경비(45)"/>
      <sheetName val="재료비단가"/>
      <sheetName val="코드"/>
      <sheetName val="공사비집계"/>
      <sheetName val="토공계산서(부체도로)"/>
      <sheetName val="제경비산출서"/>
      <sheetName val="건축"/>
      <sheetName val="분전반일위대가"/>
      <sheetName val="DATE"/>
      <sheetName val="BH-1_(2)"/>
      <sheetName val="표__지"/>
      <sheetName val="4_전기"/>
      <sheetName val="I_설계조건"/>
      <sheetName val="앉음벽_(2)"/>
      <sheetName val="1_설계조건"/>
      <sheetName val="조도계산서_(도서)"/>
      <sheetName val="노원열병합__건축공사기성내역서"/>
      <sheetName val="내역_ver1_0"/>
      <sheetName val="11_우각부_보강"/>
      <sheetName val="제출내역_(2)"/>
      <sheetName val="우수관매설및_우수받이"/>
      <sheetName val="11_산출(전열)"/>
      <sheetName val="6_산출(동력)"/>
      <sheetName val="7_산출(TRAY)"/>
      <sheetName val="plan&amp;section_of_foundation"/>
      <sheetName val="pile_bearing_capa_&amp;_arrenge"/>
      <sheetName val="working_load_at_the_btm_ft_"/>
      <sheetName val="stability_check"/>
      <sheetName val="design_criteria"/>
      <sheetName val="7__현장관리비_"/>
      <sheetName val="6__안전관리비"/>
      <sheetName val="_HIT__HMC_견적_3900_"/>
      <sheetName val="소포내역_(2)"/>
      <sheetName val="3련_BOX"/>
      <sheetName val="대공종"/>
      <sheetName val="집 계 표"/>
      <sheetName val="CC16-내역서"/>
      <sheetName val="목차"/>
      <sheetName val="개산공사비"/>
      <sheetName val="(1)본선수량집계"/>
      <sheetName val="업체자료"/>
      <sheetName val="MILL"/>
      <sheetName val="9GNG운반"/>
      <sheetName val="간접비(1)"/>
      <sheetName val="인천제철"/>
      <sheetName val="자재co"/>
      <sheetName val="공사비총괄표"/>
      <sheetName val="Macro(전선)"/>
      <sheetName val="결재란"/>
      <sheetName val="집계장(대목_실행)"/>
      <sheetName val="제노임"/>
      <sheetName val="별표 "/>
      <sheetName val="10공구일위"/>
      <sheetName val="원형1호맨홀토공수량"/>
      <sheetName val="미드수량"/>
      <sheetName val="단중표"/>
      <sheetName val="7"/>
      <sheetName val="投标材料清单 "/>
      <sheetName val="부대공(BOQ)"/>
      <sheetName val="자동제어"/>
      <sheetName val="철거산출근거"/>
      <sheetName val="sub"/>
      <sheetName val="자금청구"/>
      <sheetName val="관공일위대가"/>
      <sheetName val="관자재"/>
      <sheetName val="단가 및 재료비"/>
      <sheetName val="관접합및자재집계표"/>
      <sheetName val="검색방"/>
      <sheetName val="공량산출서"/>
      <sheetName val="98수문일위"/>
      <sheetName val="내역서비교"/>
      <sheetName val="지구단위계획"/>
      <sheetName val="남양내역"/>
      <sheetName val="MAIN_TABLE"/>
      <sheetName val="CODE"/>
      <sheetName val="입찰견적보고서"/>
      <sheetName val="비주거용"/>
      <sheetName val="교각계산"/>
      <sheetName val="AS복구"/>
      <sheetName val="중기터파기"/>
      <sheetName val="변수값"/>
      <sheetName val="중기상차"/>
      <sheetName val="인원"/>
      <sheetName val="가설건물"/>
      <sheetName val="96수출"/>
      <sheetName val="장비비 명세서1"/>
      <sheetName val="소화실적"/>
      <sheetName val="제잡비"/>
      <sheetName val="개요"/>
      <sheetName val="기본단가"/>
      <sheetName val="투찰가"/>
      <sheetName val="내역서을지"/>
      <sheetName val="세부추진"/>
      <sheetName val="상용보강"/>
      <sheetName val="코드일람표2001년10월"/>
      <sheetName val="횡배수관토공수량"/>
      <sheetName val="사유서제출현황-2"/>
      <sheetName val="-배수구조총재료"/>
      <sheetName val="MSS_2"/>
      <sheetName val="평3"/>
      <sheetName val="옥내소화전계산서"/>
      <sheetName val="공사비산출내역"/>
      <sheetName val="단면가정"/>
      <sheetName val="2.대외공문"/>
      <sheetName val="월별수입"/>
      <sheetName val="직접비"/>
      <sheetName val="INSTR"/>
      <sheetName val="#3_일위대가목록"/>
      <sheetName val="DHEQSUPT"/>
      <sheetName val="토사(PE)"/>
      <sheetName val="2련간지"/>
      <sheetName val="상수도토공집계표"/>
      <sheetName val="SHL"/>
      <sheetName val="단가조사서"/>
      <sheetName val="준공정산"/>
      <sheetName val="RETAIL (ABOVE)"/>
      <sheetName val="5. 현장관리비(new) "/>
      <sheetName val="원본"/>
      <sheetName val="건축내역서"/>
      <sheetName val="일위대가표48"/>
      <sheetName val="장비 (2)"/>
      <sheetName val="청주(철골발주의뢰서)"/>
      <sheetName val="VE절감"/>
      <sheetName val="분전함신설"/>
      <sheetName val="차수"/>
      <sheetName val="수문일1"/>
      <sheetName val="95MAKER"/>
      <sheetName val="계정"/>
      <sheetName val="구성비"/>
      <sheetName val="단가적용"/>
      <sheetName val="수량집계"/>
      <sheetName val="신고조서"/>
      <sheetName val="EJ"/>
      <sheetName val="일정"/>
      <sheetName val="대치판정"/>
      <sheetName val="일위단가"/>
      <sheetName val="7.공정표"/>
      <sheetName val="단면 (2)"/>
      <sheetName val="현장별"/>
      <sheetName val="1단계"/>
      <sheetName val="시중노임단가"/>
      <sheetName val="단   산"/>
      <sheetName val="실    단"/>
      <sheetName val="2000노임기준"/>
      <sheetName val="점수계산1-2"/>
      <sheetName val="실행(표지,갑,을)"/>
      <sheetName val="도급FORM"/>
      <sheetName val="단위수량"/>
      <sheetName val="대운반(철재)"/>
      <sheetName val="암거 제원표"/>
      <sheetName val="단가(반정1교-원주)"/>
      <sheetName val="옥외외등집계표"/>
      <sheetName val="제품목록"/>
      <sheetName val="노임단가 (2)"/>
      <sheetName val="하중계산"/>
      <sheetName val="중기사용료"/>
      <sheetName val="재정비내역"/>
      <sheetName val="지적고시내역"/>
      <sheetName val="48평단가"/>
      <sheetName val="57단가"/>
      <sheetName val="54평단가"/>
      <sheetName val="66평단가"/>
      <sheetName val="61단가"/>
      <sheetName val="89평단가"/>
      <sheetName val="84평단가"/>
      <sheetName val="현장관리비데이타"/>
      <sheetName val="식재인부"/>
      <sheetName val="일위총괄"/>
      <sheetName val="김해토지조서"/>
      <sheetName val="실지수기호표"/>
      <sheetName val="Baby일위대가"/>
      <sheetName val="Eq. Mobilization"/>
      <sheetName val="기본"/>
      <sheetName val="SHEET"/>
      <sheetName val="Sheet4"/>
      <sheetName val="심사물량"/>
      <sheetName val="제수변 수량집계표(보통)"/>
      <sheetName val="울산자금"/>
      <sheetName val="1공구(입찰내역)"/>
      <sheetName val="몰탈"/>
      <sheetName val="구의33고"/>
      <sheetName val="유림총괄"/>
      <sheetName val="N賃率_職"/>
      <sheetName val="guard(mac)"/>
      <sheetName val="표준건축비"/>
      <sheetName val="효율표"/>
      <sheetName val="참조 (2)"/>
      <sheetName val="BJJIN"/>
      <sheetName val="인부신상자료"/>
      <sheetName val="관리,공감"/>
      <sheetName val="Sheet6"/>
      <sheetName val="인력터파기"/>
      <sheetName val="정산을지"/>
      <sheetName val="6. 수량산출서"/>
      <sheetName val="B"/>
      <sheetName val="HVAC"/>
      <sheetName val="CODE1"/>
      <sheetName val="일위(시설)"/>
      <sheetName val="노무비 근거"/>
      <sheetName val="조작대(1연)"/>
      <sheetName val="위치조서"/>
      <sheetName val="통신물량"/>
      <sheetName val="용수간선"/>
      <sheetName val="금리계산"/>
      <sheetName val="콘크리트타설집계표"/>
      <sheetName val="주beam"/>
      <sheetName val="일위_파일"/>
      <sheetName val="이토변실(A3-LINE)"/>
      <sheetName val="실행대비"/>
      <sheetName val=""/>
      <sheetName val="공사수행방안"/>
      <sheetName val="A1"/>
      <sheetName val="양식_자재단가조사표"/>
      <sheetName val="가설식당"/>
      <sheetName val="자동세륜기"/>
      <sheetName val="5.동별횡주관경"/>
      <sheetName val="적용환율"/>
      <sheetName val="LF자재단가"/>
      <sheetName val="철근량"/>
      <sheetName val="동물이동통로"/>
      <sheetName val="기계실냉난방"/>
      <sheetName val="장비집계"/>
      <sheetName val="확정분요약"/>
      <sheetName val="확정분세부"/>
      <sheetName val="기안"/>
      <sheetName val="현관"/>
      <sheetName val="재료비노무비"/>
      <sheetName val="부총"/>
      <sheetName val="Macro3"/>
      <sheetName val="공통(20-91)"/>
      <sheetName val="건축2"/>
      <sheetName val="가시설단위수량"/>
      <sheetName val="투찰"/>
      <sheetName val="입력정보"/>
      <sheetName val="범례표"/>
      <sheetName val="기준"/>
      <sheetName val="일위CODE"/>
      <sheetName val="비교1"/>
      <sheetName val="단가조사"/>
      <sheetName val="현장경비"/>
      <sheetName val="위치"/>
      <sheetName val="맨홀토공"/>
      <sheetName val="맨홀수량산출"/>
      <sheetName val="Sheet1 (2)"/>
      <sheetName val="도수로현황"/>
      <sheetName val="본사공가현황"/>
      <sheetName val="산식3"/>
      <sheetName val="도실건시"/>
      <sheetName val="본사인상전"/>
      <sheetName val=" 갑지"/>
      <sheetName val="학생내역"/>
      <sheetName val="전산망"/>
      <sheetName val="CM 1"/>
      <sheetName val="콘_재료분리(1)"/>
      <sheetName val="1.CB"/>
      <sheetName val="변수"/>
      <sheetName val="기계실"/>
      <sheetName val="간접"/>
      <sheetName val="형상"/>
      <sheetName val="공정코드"/>
      <sheetName val="동해title"/>
      <sheetName val="실적공사비"/>
      <sheetName val="5호광장_(만점)1"/>
      <sheetName val="인천국제_(만점)_(2)1"/>
      <sheetName val="Total_단위경유량집계1"/>
      <sheetName val="준검_내역서1"/>
      <sheetName val="토공유동표(전체_당초)1"/>
      <sheetName val="1_수인터널1"/>
      <sheetName val="표__지1"/>
      <sheetName val="1_설계조건1"/>
      <sheetName val="조도계산서_(도서)1"/>
      <sheetName val="I_설계조건1"/>
      <sheetName val="BH-1_(2)1"/>
      <sheetName val="4_전기1"/>
      <sheetName val="11_우각부_보강1"/>
      <sheetName val="제출내역_(2)1"/>
      <sheetName val="우수관매설및_우수받이1"/>
      <sheetName val="11_산출(전열)1"/>
      <sheetName val="6_산출(동력)1"/>
      <sheetName val="7_산출(TRAY)1"/>
      <sheetName val="노원열병합__건축공사기성내역서1"/>
      <sheetName val="3련_BOX1"/>
      <sheetName val="앉음벽_(2)1"/>
      <sheetName val="2_1__노무비_평균단가산출"/>
      <sheetName val="내역_ver1_01"/>
      <sheetName val="보고서_기기리스트"/>
      <sheetName val="소포내역_(2)1"/>
      <sheetName val="plan&amp;section_of_foundation1"/>
      <sheetName val="pile_bearing_capa_&amp;_arrenge1"/>
      <sheetName val="working_load_at_the_btm_ft_1"/>
      <sheetName val="stability_check1"/>
      <sheetName val="design_criteria1"/>
      <sheetName val="배수내역_(2)"/>
      <sheetName val="배수공_시멘트_및_골재량_산출"/>
      <sheetName val="_HIT__HMC_견적_3900_1"/>
      <sheetName val="7__현장관리비_1"/>
      <sheetName val="6__안전관리비1"/>
      <sheetName val="5_산출(전력)"/>
      <sheetName val="수량산출서(전력간선_지하D_C)"/>
      <sheetName val="내___역"/>
      <sheetName val="A_견적"/>
      <sheetName val="_HIT-&gt;HMC_견적(3900)"/>
      <sheetName val="플랜트_설치"/>
      <sheetName val="unit_4"/>
      <sheetName val="전_기"/>
      <sheetName val="6PILE__(돌출)"/>
      <sheetName val="목차_"/>
      <sheetName val="화재_탐지_설비"/>
      <sheetName val="SHEET_PILE단가"/>
      <sheetName val="귀래_설계_공내역서"/>
      <sheetName val="Customer_Databas"/>
      <sheetName val="2차전체변경예정_(2)"/>
      <sheetName val="spc_배관견적"/>
      <sheetName val="1_취수장"/>
      <sheetName val="노임_단가"/>
      <sheetName val="설_계"/>
      <sheetName val="개인별_순위표"/>
      <sheetName val="BH_1__2_"/>
      <sheetName val="3_1공사현황_공정표"/>
      <sheetName val="Cash_Flow-1"/>
      <sheetName val="3_공통공사대비"/>
      <sheetName val="세골재__T2_변경_현황"/>
      <sheetName val="목록"/>
      <sheetName val="수량산출서 (2)"/>
      <sheetName val="1회"/>
      <sheetName val="입력데이타(비인쇄용)"/>
      <sheetName val="자재"/>
      <sheetName val="산근1"/>
      <sheetName val="조립1부실적"/>
      <sheetName val="이월"/>
      <sheetName val="단가비교"/>
      <sheetName val="MSS_21"/>
      <sheetName val="1_설계기준"/>
      <sheetName val="집_계_표"/>
      <sheetName val="8_현장관리비"/>
      <sheetName val="7_안전관리비"/>
      <sheetName val="별표_"/>
      <sheetName val="Eq__Mobilization"/>
      <sheetName val="내역서_"/>
      <sheetName val="도담구내_개소별_명세"/>
      <sheetName val="投标材料清单_"/>
      <sheetName val="단가_및_재료비"/>
      <sheetName val="장비비_명세서1"/>
      <sheetName val="7_공정표"/>
      <sheetName val="단면_(2)"/>
      <sheetName val="5__현장관리비(new)_"/>
      <sheetName val="2_대외공문"/>
      <sheetName val="노임단가_(2)"/>
      <sheetName val="RETAIL_(ABOVE)"/>
      <sheetName val="건축기술부대조건"/>
      <sheetName val="산출"/>
      <sheetName val="소방"/>
      <sheetName val="예산코드"/>
      <sheetName val="원가입력"/>
      <sheetName val="COST"/>
      <sheetName val="3BL공동구 수량"/>
      <sheetName val="전선 및 전선관"/>
      <sheetName val="공조기"/>
      <sheetName val="내역서1999.8최종"/>
      <sheetName val="Sheet17"/>
      <sheetName val="APT내역"/>
      <sheetName val="부대시설"/>
      <sheetName val="기성(1차) "/>
      <sheetName val="NOMUBI"/>
      <sheetName val="sw1"/>
      <sheetName val="일위대가1"/>
      <sheetName val="환경평가"/>
      <sheetName val="송전기본"/>
      <sheetName val="일위대_x0000__x0000_Ԁ_x0000_䀀"/>
      <sheetName val="울산자동제어"/>
      <sheetName val="wall"/>
      <sheetName val="물류최종8월7"/>
      <sheetName val="I_설계조_x0000_"/>
      <sheetName val="수량명세서"/>
      <sheetName val="일위대㐀븁_x0000__x0000_退"/>
      <sheetName val="단위중량"/>
      <sheetName val="15100"/>
      <sheetName val="부대대비"/>
      <sheetName val="냉연집계"/>
      <sheetName val="내역서(100%)"/>
      <sheetName val="자갈,시멘트,모래산출"/>
      <sheetName val="월별손익"/>
      <sheetName val="PI"/>
      <sheetName val="토공 total"/>
      <sheetName val="공기압舓⿫_x0005_"/>
      <sheetName val="공기압妐&quot;姜"/>
      <sheetName val="집계표(육상)"/>
      <sheetName val="5사남"/>
      <sheetName val="제품정보"/>
      <sheetName val="상품수불(합산)"/>
      <sheetName val="변경명신물량 (2)"/>
      <sheetName val="일위대가집계"/>
      <sheetName val="노무비"/>
      <sheetName val="재적표"/>
      <sheetName val="전철"/>
      <sheetName val="MSS"/>
      <sheetName val="정화조"/>
      <sheetName val="포장(수량)-관로부"/>
      <sheetName val="수우미양가(Vlookup)"/>
      <sheetName val="안정검토"/>
      <sheetName val="현장조사"/>
      <sheetName val="설계명세서"/>
      <sheetName val="목록표"/>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refreshError="1"/>
      <sheetData sheetId="307" refreshError="1"/>
      <sheetData sheetId="308" refreshError="1"/>
      <sheetData sheetId="309" refreshError="1"/>
      <sheetData sheetId="310" refreshError="1"/>
      <sheetData sheetId="311" refreshError="1"/>
      <sheetData sheetId="312" refreshError="1"/>
      <sheetData sheetId="313" refreshError="1"/>
      <sheetData sheetId="314" refreshError="1"/>
      <sheetData sheetId="315" refreshError="1"/>
      <sheetData sheetId="316" refreshError="1"/>
      <sheetData sheetId="317" refreshError="1"/>
      <sheetData sheetId="318" refreshError="1"/>
      <sheetData sheetId="319" refreshError="1"/>
      <sheetData sheetId="320" refreshError="1"/>
      <sheetData sheetId="321" refreshError="1"/>
      <sheetData sheetId="322" refreshError="1"/>
      <sheetData sheetId="323" refreshError="1"/>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refreshError="1"/>
      <sheetData sheetId="410" refreshError="1"/>
      <sheetData sheetId="411" refreshError="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refreshError="1"/>
      <sheetData sheetId="421" refreshError="1"/>
      <sheetData sheetId="422" refreshError="1"/>
      <sheetData sheetId="423" refreshError="1"/>
      <sheetData sheetId="424" refreshError="1"/>
      <sheetData sheetId="425" refreshError="1"/>
      <sheetData sheetId="426" refreshError="1"/>
      <sheetData sheetId="427" refreshError="1"/>
      <sheetData sheetId="428" refreshError="1"/>
      <sheetData sheetId="429" refreshError="1"/>
      <sheetData sheetId="430" refreshError="1"/>
      <sheetData sheetId="431" refreshError="1"/>
      <sheetData sheetId="432" refreshError="1"/>
      <sheetData sheetId="433" refreshError="1"/>
      <sheetData sheetId="434" refreshError="1"/>
      <sheetData sheetId="435" refreshError="1"/>
      <sheetData sheetId="436" refreshError="1"/>
      <sheetData sheetId="437" refreshError="1"/>
      <sheetData sheetId="438" refreshError="1"/>
      <sheetData sheetId="439" refreshError="1"/>
      <sheetData sheetId="440" refreshError="1"/>
      <sheetData sheetId="441" refreshError="1"/>
      <sheetData sheetId="442" refreshError="1"/>
      <sheetData sheetId="443" refreshError="1"/>
      <sheetData sheetId="444" refreshError="1"/>
      <sheetData sheetId="445" refreshError="1"/>
      <sheetData sheetId="446" refreshError="1"/>
      <sheetData sheetId="447" refreshError="1"/>
      <sheetData sheetId="448" refreshError="1"/>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refreshError="1"/>
      <sheetData sheetId="517" refreshError="1"/>
      <sheetData sheetId="518" refreshError="1"/>
      <sheetData sheetId="519" refreshError="1"/>
      <sheetData sheetId="520" refreshError="1"/>
      <sheetData sheetId="521" refreshError="1"/>
      <sheetData sheetId="522" refreshError="1"/>
      <sheetData sheetId="523" refreshError="1"/>
      <sheetData sheetId="524" refreshError="1"/>
      <sheetData sheetId="525" refreshError="1"/>
      <sheetData sheetId="526" refreshError="1"/>
      <sheetData sheetId="527" refreshError="1"/>
      <sheetData sheetId="528" refreshError="1"/>
      <sheetData sheetId="529" refreshError="1"/>
      <sheetData sheetId="530" refreshError="1"/>
      <sheetData sheetId="531" refreshError="1"/>
      <sheetData sheetId="532" refreshError="1"/>
      <sheetData sheetId="533" refreshError="1"/>
      <sheetData sheetId="534" refreshError="1"/>
      <sheetData sheetId="535" refreshError="1"/>
      <sheetData sheetId="536" refreshError="1"/>
      <sheetData sheetId="537" refreshError="1"/>
      <sheetData sheetId="538" refreshError="1"/>
      <sheetData sheetId="539" refreshError="1"/>
      <sheetData sheetId="540" refreshError="1"/>
      <sheetData sheetId="541" refreshError="1"/>
      <sheetData sheetId="542" refreshError="1"/>
      <sheetData sheetId="543" refreshError="1"/>
      <sheetData sheetId="544" refreshError="1"/>
      <sheetData sheetId="545" refreshError="1"/>
      <sheetData sheetId="546" refreshError="1"/>
      <sheetData sheetId="547" refreshError="1"/>
      <sheetData sheetId="548" refreshError="1"/>
      <sheetData sheetId="549" refreshError="1"/>
      <sheetData sheetId="550" refreshError="1"/>
      <sheetData sheetId="551" refreshError="1"/>
      <sheetData sheetId="552" refreshError="1"/>
      <sheetData sheetId="553" refreshError="1"/>
      <sheetData sheetId="554" refreshError="1"/>
      <sheetData sheetId="555" refreshError="1"/>
      <sheetData sheetId="556" refreshError="1"/>
      <sheetData sheetId="557" refreshError="1"/>
      <sheetData sheetId="558" refreshError="1"/>
      <sheetData sheetId="559" refreshError="1"/>
      <sheetData sheetId="560" refreshError="1"/>
      <sheetData sheetId="561" refreshError="1"/>
      <sheetData sheetId="562" refreshError="1"/>
      <sheetData sheetId="563" refreshError="1"/>
      <sheetData sheetId="564" refreshError="1"/>
      <sheetData sheetId="565" refreshError="1"/>
      <sheetData sheetId="566" refreshError="1"/>
      <sheetData sheetId="567" refreshError="1"/>
      <sheetData sheetId="568" refreshError="1"/>
      <sheetData sheetId="569" refreshError="1"/>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refreshError="1"/>
      <sheetData sheetId="584" refreshError="1"/>
      <sheetData sheetId="585" refreshError="1"/>
      <sheetData sheetId="586" refreshError="1"/>
      <sheetData sheetId="587" refreshError="1"/>
      <sheetData sheetId="588" refreshError="1"/>
      <sheetData sheetId="589" refreshError="1"/>
      <sheetData sheetId="590" refreshError="1"/>
      <sheetData sheetId="591" refreshError="1"/>
      <sheetData sheetId="592" refreshError="1"/>
      <sheetData sheetId="593" refreshError="1"/>
      <sheetData sheetId="594" refreshError="1"/>
      <sheetData sheetId="595" refreshError="1"/>
      <sheetData sheetId="596" refreshError="1"/>
      <sheetData sheetId="597" refreshError="1"/>
      <sheetData sheetId="598" refreshError="1"/>
      <sheetData sheetId="599" refreshError="1"/>
      <sheetData sheetId="600" refreshError="1"/>
      <sheetData sheetId="601" refreshError="1"/>
      <sheetData sheetId="602" refreshError="1"/>
      <sheetData sheetId="603" refreshError="1"/>
      <sheetData sheetId="604" refreshError="1"/>
      <sheetData sheetId="605" refreshError="1"/>
      <sheetData sheetId="606" refreshError="1"/>
      <sheetData sheetId="607" refreshError="1"/>
      <sheetData sheetId="608" refreshError="1"/>
      <sheetData sheetId="609" refreshError="1"/>
      <sheetData sheetId="610" refreshError="1"/>
      <sheetData sheetId="611" refreshError="1"/>
      <sheetData sheetId="612" refreshError="1"/>
      <sheetData sheetId="613" refreshError="1"/>
      <sheetData sheetId="614" refreshError="1"/>
      <sheetData sheetId="615" refreshError="1"/>
      <sheetData sheetId="616" refreshError="1"/>
      <sheetData sheetId="617" refreshError="1"/>
      <sheetData sheetId="618" refreshError="1"/>
      <sheetData sheetId="619" refreshError="1"/>
      <sheetData sheetId="620" refreshError="1"/>
      <sheetData sheetId="621" refreshError="1"/>
      <sheetData sheetId="622" refreshError="1"/>
      <sheetData sheetId="623" refreshError="1"/>
      <sheetData sheetId="624" refreshError="1"/>
      <sheetData sheetId="625" refreshError="1"/>
      <sheetData sheetId="626" refreshError="1"/>
      <sheetData sheetId="627" refreshError="1"/>
      <sheetData sheetId="628" refreshError="1"/>
      <sheetData sheetId="629" refreshError="1"/>
      <sheetData sheetId="630" refreshError="1"/>
      <sheetData sheetId="631" refreshError="1"/>
      <sheetData sheetId="632" refreshError="1"/>
      <sheetData sheetId="633" refreshError="1"/>
      <sheetData sheetId="634" refreshError="1"/>
      <sheetData sheetId="635" refreshError="1"/>
      <sheetData sheetId="636" refreshError="1"/>
      <sheetData sheetId="637" refreshError="1"/>
      <sheetData sheetId="638" refreshError="1"/>
      <sheetData sheetId="639" refreshError="1"/>
      <sheetData sheetId="640" refreshError="1"/>
      <sheetData sheetId="641" refreshError="1"/>
      <sheetData sheetId="642" refreshError="1"/>
      <sheetData sheetId="643" refreshError="1"/>
      <sheetData sheetId="644" refreshError="1"/>
      <sheetData sheetId="645" refreshError="1"/>
      <sheetData sheetId="646" refreshError="1"/>
      <sheetData sheetId="647" refreshError="1"/>
      <sheetData sheetId="648" refreshError="1"/>
      <sheetData sheetId="649" refreshError="1"/>
      <sheetData sheetId="650" refreshError="1"/>
      <sheetData sheetId="651" refreshError="1"/>
      <sheetData sheetId="652" refreshError="1"/>
      <sheetData sheetId="653" refreshError="1"/>
      <sheetData sheetId="654" refreshError="1"/>
      <sheetData sheetId="655" refreshError="1"/>
      <sheetData sheetId="656" refreshError="1"/>
      <sheetData sheetId="657" refreshError="1"/>
      <sheetData sheetId="658" refreshError="1"/>
      <sheetData sheetId="659" refreshError="1"/>
      <sheetData sheetId="660" refreshError="1"/>
      <sheetData sheetId="661" refreshError="1"/>
      <sheetData sheetId="662" refreshError="1"/>
      <sheetData sheetId="663" refreshError="1"/>
      <sheetData sheetId="664" refreshError="1"/>
      <sheetData sheetId="665" refreshError="1"/>
      <sheetData sheetId="666" refreshError="1"/>
      <sheetData sheetId="667" refreshError="1"/>
      <sheetData sheetId="668" refreshError="1"/>
      <sheetData sheetId="669" refreshError="1"/>
      <sheetData sheetId="670" refreshError="1"/>
      <sheetData sheetId="671" refreshError="1"/>
      <sheetData sheetId="672" refreshError="1"/>
      <sheetData sheetId="673" refreshError="1"/>
      <sheetData sheetId="674" refreshError="1"/>
      <sheetData sheetId="675" refreshError="1"/>
      <sheetData sheetId="676" refreshError="1"/>
      <sheetData sheetId="677" refreshError="1"/>
      <sheetData sheetId="678" refreshError="1"/>
      <sheetData sheetId="679" refreshError="1"/>
      <sheetData sheetId="680" refreshError="1"/>
      <sheetData sheetId="681" refreshError="1"/>
      <sheetData sheetId="682" refreshError="1"/>
      <sheetData sheetId="683" refreshError="1"/>
      <sheetData sheetId="684" refreshError="1"/>
      <sheetData sheetId="685" refreshError="1"/>
      <sheetData sheetId="686" refreshError="1"/>
      <sheetData sheetId="687" refreshError="1"/>
      <sheetData sheetId="688" refreshError="1"/>
      <sheetData sheetId="689" refreshError="1"/>
      <sheetData sheetId="690" refreshError="1"/>
      <sheetData sheetId="691" refreshError="1"/>
      <sheetData sheetId="692" refreshError="1"/>
      <sheetData sheetId="693" refreshError="1"/>
      <sheetData sheetId="694" refreshError="1"/>
      <sheetData sheetId="695" refreshError="1"/>
      <sheetData sheetId="696" refreshError="1"/>
      <sheetData sheetId="697" refreshError="1"/>
      <sheetData sheetId="698" refreshError="1"/>
      <sheetData sheetId="699" refreshError="1"/>
      <sheetData sheetId="700" refreshError="1"/>
      <sheetData sheetId="701" refreshError="1"/>
      <sheetData sheetId="702" refreshError="1"/>
      <sheetData sheetId="703" refreshError="1"/>
      <sheetData sheetId="704" refreshError="1"/>
      <sheetData sheetId="705" refreshError="1"/>
      <sheetData sheetId="706" refreshError="1"/>
      <sheetData sheetId="707" refreshError="1"/>
      <sheetData sheetId="708" refreshError="1"/>
      <sheetData sheetId="709" refreshError="1"/>
      <sheetData sheetId="710" refreshError="1"/>
      <sheetData sheetId="711" refreshError="1"/>
      <sheetData sheetId="712" refreshError="1"/>
      <sheetData sheetId="713" refreshError="1"/>
      <sheetData sheetId="714" refreshError="1"/>
      <sheetData sheetId="715" refreshError="1"/>
      <sheetData sheetId="716" refreshError="1"/>
      <sheetData sheetId="717" refreshError="1"/>
      <sheetData sheetId="718" refreshError="1"/>
      <sheetData sheetId="719" refreshError="1"/>
      <sheetData sheetId="720" refreshError="1"/>
      <sheetData sheetId="721" refreshError="1"/>
      <sheetData sheetId="722" refreshError="1"/>
      <sheetData sheetId="723" refreshError="1"/>
      <sheetData sheetId="724" refreshError="1"/>
      <sheetData sheetId="725" refreshError="1"/>
      <sheetData sheetId="726" refreshError="1"/>
      <sheetData sheetId="727" refreshError="1"/>
      <sheetData sheetId="728" refreshError="1"/>
      <sheetData sheetId="729" refreshError="1"/>
      <sheetData sheetId="730" refreshError="1"/>
      <sheetData sheetId="731" refreshError="1"/>
      <sheetData sheetId="732" refreshError="1"/>
      <sheetData sheetId="733" refreshError="1"/>
      <sheetData sheetId="734" refreshError="1"/>
      <sheetData sheetId="735" refreshError="1"/>
      <sheetData sheetId="736" refreshError="1"/>
      <sheetData sheetId="737" refreshError="1"/>
      <sheetData sheetId="738" refreshError="1"/>
      <sheetData sheetId="739" refreshError="1"/>
      <sheetData sheetId="740" refreshError="1"/>
      <sheetData sheetId="741" refreshError="1"/>
      <sheetData sheetId="742" refreshError="1"/>
      <sheetData sheetId="743" refreshError="1"/>
      <sheetData sheetId="744" refreshError="1"/>
      <sheetData sheetId="745" refreshError="1"/>
      <sheetData sheetId="746" refreshError="1"/>
      <sheetData sheetId="747" refreshError="1"/>
      <sheetData sheetId="748" refreshError="1"/>
      <sheetData sheetId="749" refreshError="1"/>
      <sheetData sheetId="750" refreshError="1"/>
      <sheetData sheetId="751" refreshError="1"/>
      <sheetData sheetId="752" refreshError="1"/>
      <sheetData sheetId="753" refreshError="1"/>
      <sheetData sheetId="754" refreshError="1"/>
      <sheetData sheetId="755" refreshError="1"/>
      <sheetData sheetId="756" refreshError="1"/>
      <sheetData sheetId="757" refreshError="1"/>
      <sheetData sheetId="758" refreshError="1"/>
      <sheetData sheetId="759" refreshError="1"/>
      <sheetData sheetId="760" refreshError="1"/>
      <sheetData sheetId="761" refreshError="1"/>
      <sheetData sheetId="762" refreshError="1"/>
      <sheetData sheetId="763" refreshError="1"/>
      <sheetData sheetId="764" refreshError="1"/>
      <sheetData sheetId="765" refreshError="1"/>
      <sheetData sheetId="766" refreshError="1"/>
      <sheetData sheetId="767" refreshError="1"/>
      <sheetData sheetId="768" refreshError="1"/>
      <sheetData sheetId="769" refreshError="1"/>
      <sheetData sheetId="770" refreshError="1"/>
      <sheetData sheetId="771" refreshError="1"/>
      <sheetData sheetId="772" refreshError="1"/>
      <sheetData sheetId="773" refreshError="1"/>
      <sheetData sheetId="774" refreshError="1"/>
      <sheetData sheetId="775" refreshError="1"/>
      <sheetData sheetId="776" refreshError="1"/>
      <sheetData sheetId="777" refreshError="1"/>
      <sheetData sheetId="778" refreshError="1"/>
      <sheetData sheetId="779" refreshError="1"/>
      <sheetData sheetId="780" refreshError="1"/>
      <sheetData sheetId="781" refreshError="1"/>
      <sheetData sheetId="782" refreshError="1"/>
      <sheetData sheetId="783" refreshError="1"/>
      <sheetData sheetId="784" refreshError="1"/>
      <sheetData sheetId="785" refreshError="1"/>
      <sheetData sheetId="786" refreshError="1"/>
      <sheetData sheetId="787" refreshError="1"/>
      <sheetData sheetId="788" refreshError="1"/>
      <sheetData sheetId="789" refreshError="1"/>
      <sheetData sheetId="790" refreshError="1"/>
      <sheetData sheetId="791" refreshError="1"/>
      <sheetData sheetId="792" refreshError="1"/>
      <sheetData sheetId="793" refreshError="1"/>
      <sheetData sheetId="794" refreshError="1"/>
      <sheetData sheetId="795" refreshError="1"/>
      <sheetData sheetId="796" refreshError="1"/>
      <sheetData sheetId="797" refreshError="1"/>
      <sheetData sheetId="798"/>
      <sheetData sheetId="799" refreshError="1"/>
      <sheetData sheetId="800" refreshError="1"/>
      <sheetData sheetId="801" refreshError="1"/>
      <sheetData sheetId="802" refreshError="1"/>
      <sheetData sheetId="803" refreshError="1"/>
      <sheetData sheetId="804" refreshError="1"/>
      <sheetData sheetId="805" refreshError="1"/>
      <sheetData sheetId="806" refreshError="1"/>
      <sheetData sheetId="807" refreshError="1"/>
      <sheetData sheetId="808" refreshError="1"/>
      <sheetData sheetId="809" refreshError="1"/>
      <sheetData sheetId="810" refreshError="1"/>
      <sheetData sheetId="811" refreshError="1"/>
      <sheetData sheetId="812" refreshError="1"/>
      <sheetData sheetId="813" refreshError="1"/>
      <sheetData sheetId="814" refreshError="1"/>
      <sheetData sheetId="815" refreshError="1"/>
      <sheetData sheetId="816"/>
      <sheetData sheetId="817"/>
      <sheetData sheetId="818" refreshError="1"/>
      <sheetData sheetId="819" refreshError="1"/>
      <sheetData sheetId="820" refreshError="1"/>
      <sheetData sheetId="821" refreshError="1"/>
      <sheetData sheetId="822" refreshError="1"/>
      <sheetData sheetId="823" refreshError="1"/>
      <sheetData sheetId="824" refreshError="1"/>
      <sheetData sheetId="825" refreshError="1"/>
      <sheetData sheetId="826"/>
      <sheetData sheetId="827" refreshError="1"/>
      <sheetData sheetId="828" refreshError="1"/>
      <sheetData sheetId="829"/>
      <sheetData sheetId="830"/>
      <sheetData sheetId="831"/>
      <sheetData sheetId="832"/>
      <sheetData sheetId="833"/>
      <sheetData sheetId="834"/>
      <sheetData sheetId="835"/>
      <sheetData sheetId="836"/>
      <sheetData sheetId="837"/>
      <sheetData sheetId="838"/>
      <sheetData sheetId="839"/>
      <sheetData sheetId="840"/>
      <sheetData sheetId="841" refreshError="1"/>
      <sheetData sheetId="842" refreshError="1"/>
      <sheetData sheetId="843" refreshError="1"/>
      <sheetData sheetId="844" refreshError="1"/>
      <sheetData sheetId="845" refreshError="1"/>
      <sheetData sheetId="846"/>
      <sheetData sheetId="847"/>
      <sheetData sheetId="848" refreshError="1"/>
      <sheetData sheetId="849"/>
      <sheetData sheetId="850" refreshError="1"/>
      <sheetData sheetId="851" refreshError="1"/>
      <sheetData sheetId="852" refreshError="1"/>
      <sheetData sheetId="853" refreshError="1"/>
      <sheetData sheetId="854" refreshError="1"/>
      <sheetData sheetId="855" refreshError="1"/>
      <sheetData sheetId="856" refreshError="1"/>
      <sheetData sheetId="857" refreshError="1"/>
      <sheetData sheetId="858" refreshError="1"/>
      <sheetData sheetId="859"/>
      <sheetData sheetId="860"/>
      <sheetData sheetId="861"/>
      <sheetData sheetId="862"/>
      <sheetData sheetId="863"/>
      <sheetData sheetId="864" refreshError="1"/>
      <sheetData sheetId="865" refreshError="1"/>
      <sheetData sheetId="866" refreshError="1"/>
      <sheetData sheetId="867" refreshError="1"/>
      <sheetData sheetId="868"/>
      <sheetData sheetId="869" refreshError="1"/>
      <sheetData sheetId="870" refreshError="1"/>
      <sheetData sheetId="871" refreshError="1"/>
      <sheetData sheetId="872" refreshError="1"/>
      <sheetData sheetId="873" refreshError="1"/>
      <sheetData sheetId="874" refreshError="1"/>
      <sheetData sheetId="875" refreshError="1"/>
      <sheetData sheetId="876" refreshError="1"/>
      <sheetData sheetId="877" refreshError="1"/>
      <sheetData sheetId="878" refreshError="1"/>
      <sheetData sheetId="879" refreshError="1"/>
      <sheetData sheetId="880" refreshError="1"/>
      <sheetData sheetId="881" refreshError="1"/>
      <sheetData sheetId="882" refreshError="1"/>
      <sheetData sheetId="883" refreshError="1"/>
      <sheetData sheetId="884" refreshError="1"/>
      <sheetData sheetId="885" refreshError="1"/>
      <sheetData sheetId="886" refreshError="1"/>
      <sheetData sheetId="887" refreshError="1"/>
      <sheetData sheetId="888" refreshError="1"/>
      <sheetData sheetId="889" refreshError="1"/>
      <sheetData sheetId="890" refreshError="1"/>
      <sheetData sheetId="891" refreshError="1"/>
      <sheetData sheetId="892" refreshError="1"/>
      <sheetData sheetId="893" refreshError="1"/>
      <sheetData sheetId="894" refreshError="1"/>
      <sheetData sheetId="895" refreshError="1"/>
      <sheetData sheetId="896"/>
      <sheetData sheetId="897"/>
      <sheetData sheetId="898" refreshError="1"/>
      <sheetData sheetId="899" refreshError="1"/>
      <sheetData sheetId="900" refreshError="1"/>
      <sheetData sheetId="901" refreshError="1"/>
      <sheetData sheetId="902" refreshError="1"/>
      <sheetData sheetId="903" refreshError="1"/>
      <sheetData sheetId="904" refreshError="1"/>
      <sheetData sheetId="905" refreshError="1"/>
      <sheetData sheetId="906" refreshError="1"/>
      <sheetData sheetId="907" refreshError="1"/>
      <sheetData sheetId="908" refreshError="1"/>
      <sheetData sheetId="909" refreshError="1"/>
      <sheetData sheetId="910" refreshError="1"/>
      <sheetData sheetId="911" refreshError="1"/>
      <sheetData sheetId="912" refreshError="1"/>
      <sheetData sheetId="913" refreshError="1"/>
      <sheetData sheetId="914" refreshError="1"/>
      <sheetData sheetId="915" refreshError="1"/>
      <sheetData sheetId="916" refreshError="1"/>
      <sheetData sheetId="917" refreshError="1"/>
      <sheetData sheetId="918" refreshError="1"/>
      <sheetData sheetId="919" refreshError="1"/>
      <sheetData sheetId="920" refreshError="1"/>
      <sheetData sheetId="921" refreshError="1"/>
      <sheetData sheetId="922" refreshError="1"/>
      <sheetData sheetId="923" refreshError="1"/>
      <sheetData sheetId="924" refreshError="1"/>
      <sheetData sheetId="925" refreshError="1"/>
      <sheetData sheetId="926" refreshError="1"/>
      <sheetData sheetId="927" refreshError="1"/>
      <sheetData sheetId="928" refreshError="1"/>
      <sheetData sheetId="929" refreshError="1"/>
      <sheetData sheetId="930" refreshError="1"/>
      <sheetData sheetId="931" refreshError="1"/>
      <sheetData sheetId="932" refreshError="1"/>
      <sheetData sheetId="933" refreshError="1"/>
      <sheetData sheetId="934" refreshError="1"/>
      <sheetData sheetId="935"/>
      <sheetData sheetId="936" refreshError="1"/>
      <sheetData sheetId="937" refreshError="1"/>
      <sheetData sheetId="938" refreshError="1"/>
      <sheetData sheetId="939" refreshError="1"/>
      <sheetData sheetId="940" refreshError="1"/>
      <sheetData sheetId="941" refreshError="1"/>
      <sheetData sheetId="942" refreshError="1"/>
      <sheetData sheetId="943" refreshError="1"/>
      <sheetData sheetId="944" refreshError="1"/>
      <sheetData sheetId="945" refreshError="1"/>
      <sheetData sheetId="946" refreshError="1"/>
      <sheetData sheetId="947" refreshError="1"/>
      <sheetData sheetId="948" refreshError="1"/>
      <sheetData sheetId="949" refreshError="1"/>
      <sheetData sheetId="950" refreshError="1"/>
      <sheetData sheetId="951" refreshError="1"/>
      <sheetData sheetId="952" refreshError="1"/>
      <sheetData sheetId="953" refreshError="1"/>
      <sheetData sheetId="954" refreshError="1"/>
      <sheetData sheetId="955" refreshError="1"/>
      <sheetData sheetId="956" refreshError="1"/>
      <sheetData sheetId="957" refreshError="1"/>
      <sheetData sheetId="958" refreshError="1"/>
      <sheetData sheetId="959" refreshError="1"/>
      <sheetData sheetId="960" refreshError="1"/>
      <sheetData sheetId="961" refreshError="1"/>
      <sheetData sheetId="962" refreshError="1"/>
      <sheetData sheetId="963" refreshError="1"/>
      <sheetData sheetId="964" refreshError="1"/>
      <sheetData sheetId="965"/>
      <sheetData sheetId="966" refreshError="1"/>
      <sheetData sheetId="967" refreshError="1"/>
      <sheetData sheetId="968" refreshError="1"/>
      <sheetData sheetId="969" refreshError="1"/>
    </sheetDataSet>
  </externalBook>
</externalLink>
</file>

<file path=xl/externalLinks/externalLink6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토지조서(원본)"/>
      <sheetName val="획지별 내역서(소유면적분리)"/>
      <sheetName val="획지별 내역서 (소유면적합산)"/>
      <sheetName val="획지별 내역서 (최종편입면적계산)"/>
      <sheetName val="토지내역서 총괄표"/>
      <sheetName val="토지내역서"/>
      <sheetName val="택지별내역서(택지1~4)"/>
      <sheetName val="택지별내역서(녹지1~4)"/>
      <sheetName val="택지별내역서(계획도로)"/>
      <sheetName val="택지별내역서(공공공지)"/>
      <sheetName val="반포2차"/>
      <sheetName val="토지내역서(획지별)"/>
      <sheetName val="참고(3)고정비"/>
      <sheetName val="유지시최종cashflow"/>
      <sheetName val="refi후 cashflow(국민은행)"/>
      <sheetName val="refi후 cashflow(신한은행)"/>
      <sheetName val="refi후 cashflow (당초계획대비)"/>
      <sheetName val="refi총괄"/>
      <sheetName val="안산기계장치"/>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sheetData sheetId="14"/>
      <sheetData sheetId="15"/>
      <sheetData sheetId="16"/>
      <sheetData sheetId="17"/>
      <sheetData sheetId="18" refreshError="1"/>
    </sheetDataSet>
  </externalBook>
</externalLink>
</file>

<file path=xl/externalLinks/externalLink6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이자율"/>
      <sheetName val="소트"/>
      <sheetName val="쏘트자료"/>
      <sheetName val="환율이자율"/>
      <sheetName val="44소트"/>
      <sheetName val="34쏘트"/>
      <sheetName val="24쏘트"/>
      <sheetName val="44이자율"/>
      <sheetName val="34이자율"/>
      <sheetName val="44쏘트자료"/>
      <sheetName val="34쏘트자료"/>
      <sheetName val="24쏘트자료"/>
      <sheetName val="24이자율"/>
      <sheetName val="인건비(010330)"/>
      <sheetName val="본사감가상각대장(비품)"/>
      <sheetName val="1월"/>
      <sheetName val="명세표"/>
      <sheetName val="신구계정대사표"/>
      <sheetName val="지급이자"/>
      <sheetName val="대차대조표"/>
      <sheetName val="3-31"/>
      <sheetName val="Sheet1"/>
      <sheetName val="금융"/>
      <sheetName val="은행"/>
      <sheetName val="리스"/>
      <sheetName val="보험"/>
      <sheetName val="24.보증금(전신전화가입권)"/>
      <sheetName val="일별자금"/>
      <sheetName val="월간"/>
      <sheetName val="관계주식"/>
      <sheetName val="공사개요"/>
      <sheetName val="97년"/>
      <sheetName val="수정시산표"/>
      <sheetName val="견"/>
      <sheetName val="투자예산"/>
      <sheetName val="산출근거"/>
      <sheetName val="비주거용"/>
      <sheetName val="집계표"/>
      <sheetName val="표지"/>
      <sheetName val="98년간분기"/>
      <sheetName val="회사정보"/>
      <sheetName val="요약BS"/>
      <sheetName val="판매량"/>
      <sheetName val="업종코드"/>
      <sheetName val="임대손익"/>
      <sheetName val="XREF"/>
      <sheetName val="Convert"/>
      <sheetName val="조정전"/>
      <sheetName val="매입현황"/>
      <sheetName val="수입"/>
      <sheetName val="서식시트"/>
      <sheetName val="1.취수장"/>
      <sheetName val="출자한도"/>
      <sheetName val="118.세금과공과"/>
      <sheetName val="상정안건"/>
      <sheetName val="매출원가"/>
      <sheetName val="판매용03"/>
      <sheetName val="세금계산서유"/>
      <sheetName val="평가결과_사본"/>
      <sheetName val="Menu_Link"/>
      <sheetName val="퇴충98"/>
      <sheetName val="이름"/>
      <sheetName val="종합2"/>
      <sheetName val="KA011205"/>
      <sheetName val="5사남"/>
      <sheetName val="손익"/>
      <sheetName val="주요품목별판매실적"/>
      <sheetName val="변동"/>
      <sheetName val="STROKE별 단가"/>
      <sheetName val="현장별미수"/>
      <sheetName val="연구인원내역"/>
      <sheetName val="99선급비용"/>
      <sheetName val="98실적"/>
      <sheetName val="현장"/>
      <sheetName val="1-7(재가공내역)"/>
      <sheetName val="입찰안"/>
      <sheetName val="WorldQuest"/>
      <sheetName val="집계"/>
      <sheetName val="퇴직기초"/>
      <sheetName val="산출내역(1)"/>
      <sheetName val="외화계약"/>
      <sheetName val="AIR SHOWER(3인용)"/>
      <sheetName val="보험금"/>
      <sheetName val="상품입고집계"/>
      <sheetName val="admin"/>
      <sheetName val="자료"/>
      <sheetName val="코드"/>
      <sheetName val="매매손실준비금"/>
      <sheetName val="평가금액"/>
      <sheetName val="특수직호봉표"/>
      <sheetName val="Intro2"/>
      <sheetName val="Id"/>
      <sheetName val="Project_CF"/>
      <sheetName val="집연95"/>
      <sheetName val="Asset98-CAK"/>
      <sheetName val="노임단가"/>
      <sheetName val="인원_20001101"/>
      <sheetName val="단가비교"/>
      <sheetName val="투자2"/>
      <sheetName val="입력_판매"/>
      <sheetName val="#3_일위대가목록"/>
      <sheetName val="#2_일위대가목록"/>
      <sheetName val="CODE"/>
      <sheetName val="PMP등급_9월"/>
      <sheetName val="機器明細(MC)"/>
      <sheetName val="상여 (2)"/>
      <sheetName val="시산표"/>
      <sheetName val="부재예실1월"/>
      <sheetName val="#REF"/>
      <sheetName val="04_도료_전체_하순"/>
      <sheetName val="실적"/>
      <sheetName val="단가"/>
      <sheetName val="울산자금"/>
      <sheetName val="설계내역서"/>
      <sheetName val="자금청구"/>
      <sheetName val="금강투자2000"/>
      <sheetName val="당좌개설보증용"/>
      <sheetName val="신림자금"/>
      <sheetName val="GC산출"/>
      <sheetName val="당초"/>
      <sheetName val="Sheet4"/>
      <sheetName val="BASE"/>
      <sheetName val="무형자산명세서"/>
      <sheetName val="Initial Input Variable"/>
      <sheetName val="1Month+Sheet2!"/>
      <sheetName val="표준지"/>
      <sheetName val="품의서취합"/>
      <sheetName val="총원"/>
      <sheetName val="견적대비"/>
      <sheetName val="대리이하_상신양식"/>
      <sheetName val="경영비율 "/>
      <sheetName val="3월연장근무"/>
      <sheetName val="생산직"/>
      <sheetName val="9-1차이내역"/>
      <sheetName val="조경내역"/>
      <sheetName val="건축비목군분류"/>
      <sheetName val="두께별"/>
      <sheetName val="승용"/>
      <sheetName val="상용"/>
      <sheetName val="준검 내역서"/>
      <sheetName val="실행내역"/>
      <sheetName val="총괄"/>
      <sheetName val="건재양식"/>
      <sheetName val="00실적"/>
      <sheetName val="판촉계획(고정)"/>
      <sheetName val="배수통관(좌)"/>
      <sheetName val="CAUDIT"/>
      <sheetName val="하수급견적대비"/>
      <sheetName val="소계정"/>
      <sheetName val="재고자산명세"/>
      <sheetName val="적격심사표"/>
      <sheetName val="이익잉여금처분계산서"/>
      <sheetName val="재무상태변동표"/>
      <sheetName val="제조원가명세서"/>
      <sheetName val="현금흐름표"/>
      <sheetName val="보정사항"/>
      <sheetName val="공정가치"/>
      <sheetName val="Macro1"/>
      <sheetName val="FAB별"/>
      <sheetName val="Sheet3"/>
      <sheetName val="내역"/>
      <sheetName val="외화가수금"/>
      <sheetName val="2001Org"/>
      <sheetName val="본부96(1차)"/>
      <sheetName val="월소계정(최종)"/>
      <sheetName val="본부증가(최종)"/>
      <sheetName val="배부기준별비용"/>
      <sheetName val="unit배부표"/>
      <sheetName val="비교표"/>
      <sheetName val="초고압제조원가계획"/>
      <sheetName val="고압제조원가계획"/>
      <sheetName val="Mark"/>
      <sheetName val="1. Svc_Sales"/>
      <sheetName val="2. Portfolio"/>
      <sheetName val="3. SVC_Price(Avg)"/>
      <sheetName val="4.  Net Gain"/>
      <sheetName val="5.1Q_SVC(callback)"/>
      <sheetName val="5.2 Q_SVC(Response)"/>
      <sheetName val="5.3 Q_SVC(all)"/>
      <sheetName val="SVC_Portfolio(1)"/>
      <sheetName val="2008년판매현황 (조정)"/>
      <sheetName val="참고_장르별매출"/>
      <sheetName val="내외국인총괄"/>
      <sheetName val="3월"/>
      <sheetName val="그래프 (2)"/>
      <sheetName val="2.대상자"/>
      <sheetName val="정보"/>
      <sheetName val="데이터베이스"/>
      <sheetName val="9903말 현재"/>
      <sheetName val="당월금액"/>
      <sheetName val="ATM기초철가"/>
      <sheetName val="외화평가"/>
      <sheetName val="Control Sheet"/>
      <sheetName val="인사자료총집계"/>
      <sheetName val="MAIN"/>
      <sheetName val="AIR_SHOWER(3인용)"/>
      <sheetName val="그래프_(2)"/>
      <sheetName val="2_대상자"/>
      <sheetName val="9903말_현재"/>
      <sheetName val="Control_Sheet"/>
      <sheetName val="AIR_SHOWER(3인용)1"/>
      <sheetName val="그래프_(2)1"/>
      <sheetName val="2_대상자1"/>
      <sheetName val="9903말_현재1"/>
      <sheetName val="Control_Sheet1"/>
      <sheetName val="지역개발"/>
      <sheetName val="EJ"/>
      <sheetName val="Ⅱ1-0타"/>
      <sheetName val="Cover"/>
      <sheetName val="제품단가"/>
      <sheetName val="급여인상효과-연간부담분"/>
      <sheetName val="8월차잔"/>
      <sheetName val="지점_가격정보보고양식(면목지점)"/>
      <sheetName val="09년지점목표"/>
      <sheetName val="SQL Statement"/>
      <sheetName val="이코스"/>
      <sheetName val="건설성적"/>
      <sheetName val="세부(종합)"/>
      <sheetName val="2. 2012년 실행계획 수립 및 대상선정용 SHEET."/>
      <sheetName val="FG"/>
      <sheetName val="부서"/>
      <sheetName val="보통예금"/>
      <sheetName val="당좌차월"/>
      <sheetName val="가격표"/>
      <sheetName val="효용적수"/>
      <sheetName val="인원계획-미화"/>
      <sheetName val="직영2"/>
      <sheetName val="예산실적전체당월"/>
      <sheetName val="배합비(2,3.4분기)"/>
      <sheetName val="부재예실"/>
      <sheetName val="6.이토처리시간"/>
      <sheetName val="VXXXXXXX"/>
      <sheetName val="tggwan(mac)"/>
      <sheetName val="guard(mac)"/>
      <sheetName val="증감내역서"/>
      <sheetName val="민감도"/>
      <sheetName val="내역서"/>
      <sheetName val="sw1"/>
      <sheetName val="유형분류"/>
      <sheetName val="입찰보고"/>
      <sheetName val="합천내역"/>
      <sheetName val="총괄-1"/>
      <sheetName val="DATA"/>
      <sheetName val="콘센트신설"/>
      <sheetName val="FILE1"/>
      <sheetName val="주소 작성"/>
      <sheetName val="현장코드"/>
      <sheetName val="협조전"/>
      <sheetName val="산출근거1"/>
      <sheetName val="타계정에서 명세서(PL상)"/>
      <sheetName val="상품수불"/>
      <sheetName val="95TOTREV"/>
      <sheetName val="T6-6(2)"/>
      <sheetName val="인건비"/>
      <sheetName val="04년 투자전망"/>
      <sheetName val="단말기누계"/>
      <sheetName val="정산표"/>
      <sheetName val="BTS-시범물량"/>
      <sheetName val="완성차 미수금"/>
      <sheetName val="A4공장"/>
      <sheetName val="이자수익보조부"/>
      <sheetName val="ELECTRIC"/>
      <sheetName val="손익분석"/>
      <sheetName val="대리이하_승진"/>
      <sheetName val="SIL98"/>
      <sheetName val="2012년 하반기 승진안 및 상신양식_디자인 파트.xls"/>
      <sheetName val="등록자료"/>
      <sheetName val="OPREV(대한)"/>
      <sheetName val="하조서"/>
      <sheetName val="98지급계획"/>
      <sheetName val="도급"/>
      <sheetName val="수지차(년)"/>
      <sheetName val="가중평균 보통주식02"/>
      <sheetName val="가중평균 보통주식01"/>
      <sheetName val="GRAPH"/>
      <sheetName val="제조원가"/>
      <sheetName val="S&amp;R"/>
      <sheetName val="96"/>
      <sheetName val="Initial_Input_Variable"/>
      <sheetName val="경영비율_"/>
      <sheetName val="상여_(2)"/>
      <sheetName val="118_세금과공과"/>
      <sheetName val="1_취수장"/>
      <sheetName val="LIST"/>
      <sheetName val="재료비집계표"/>
      <sheetName val="현장기성(공사)"/>
      <sheetName val="내역서변경성원"/>
      <sheetName val="별첨3.실패원팀"/>
      <sheetName val="매출액월별가중치"/>
      <sheetName val="외주정비"/>
      <sheetName val="매장판(BR)"/>
      <sheetName val="노무비"/>
      <sheetName val="tsuga"/>
      <sheetName val="진천"/>
      <sheetName val="종합표"/>
      <sheetName val="15"/>
      <sheetName val="入力用(家賃)"/>
      <sheetName val="入力用(駐車)"/>
      <sheetName val="건물대사"/>
      <sheetName val="PHTC"/>
      <sheetName val="5907"/>
      <sheetName val="편성절차"/>
      <sheetName val="수익성분석2"/>
      <sheetName val="T48a"/>
      <sheetName val="당기추가완료"/>
      <sheetName val="주요재무비율"/>
      <sheetName val="AIR_SHOWER(3인용)2"/>
      <sheetName val="그래프_(2)2"/>
      <sheetName val="2_대상자2"/>
      <sheetName val="9903말_현재2"/>
      <sheetName val="Control_Sheet2"/>
      <sheetName val="1__Svc_Sales"/>
      <sheetName val="2__Portfolio"/>
      <sheetName val="3__SVC_Price(Avg)"/>
      <sheetName val="4___Net_Gain"/>
      <sheetName val="5_1Q_SVC(callback)"/>
      <sheetName val="5_2_Q_SVC(Response)"/>
      <sheetName val="5_3_Q_SVC(all)"/>
      <sheetName val="2008년판매현황_(조정)"/>
      <sheetName val="준검_내역서"/>
      <sheetName val="SQL_Statement"/>
      <sheetName val="주소_작성"/>
      <sheetName val="BS Prior"/>
      <sheetName val="STROKE별_단가"/>
      <sheetName val="외화금융(97-03)"/>
      <sheetName val="Executive Summary"/>
      <sheetName val="Labels"/>
      <sheetName val="Executive_Summary"/>
      <sheetName val="DB"/>
      <sheetName val="견적서"/>
      <sheetName val="98수문일위"/>
      <sheetName val="SMXEXPS"/>
      <sheetName val="제조원가조정"/>
      <sheetName val="97년 추정"/>
      <sheetName val="경비세목"/>
      <sheetName val="전환대상"/>
      <sheetName val="영외수지"/>
      <sheetName val="용소리교"/>
      <sheetName val="투자자산명세서"/>
      <sheetName val="관급"/>
      <sheetName val="AC List"/>
      <sheetName val="자료입력"/>
      <sheetName val="9710"/>
      <sheetName val="해외사업"/>
      <sheetName val="첨부1"/>
      <sheetName val="ls"/>
      <sheetName val="재공품(3)"/>
      <sheetName val="표준원가표(2)"/>
      <sheetName val="공통"/>
      <sheetName val="03中"/>
      <sheetName val="재무제표"/>
      <sheetName val="사원명부"/>
      <sheetName val="분개집계"/>
      <sheetName val="이자율별 차입금 적수"/>
      <sheetName val="주요기준"/>
      <sheetName val="지급어음(일별)"/>
      <sheetName val="진도말"/>
      <sheetName val="교통대책내역"/>
      <sheetName val="연부97-1"/>
      <sheetName val="총무팀"/>
      <sheetName val="마포-임현"/>
      <sheetName val="총괄표"/>
      <sheetName val="2. Financial Performance"/>
      <sheetName val="계산요약"/>
      <sheetName val="Data Sheet"/>
      <sheetName val="설치공사비"/>
      <sheetName val="한일자야(감액손실) (2)"/>
      <sheetName val="매출및수주이익"/>
      <sheetName val="GRADE별 투입원단위"/>
      <sheetName val="TENSCH"/>
      <sheetName val="Sheet1 (2)"/>
      <sheetName val="0.0ControlSheet"/>
      <sheetName val="0.1keyAssumption"/>
      <sheetName val="선급비용"/>
      <sheetName val="송전기본"/>
      <sheetName val="평가예상(200308)"/>
      <sheetName val="96수출"/>
      <sheetName val="区分一覧表"/>
      <sheetName val="◀-▶"/>
      <sheetName val="Q2 Actual"/>
      <sheetName val="Q3 actuals"/>
      <sheetName val="본사"/>
      <sheetName val="직노"/>
      <sheetName val="pt_기투자금액"/>
      <sheetName val="pt_출자_분배"/>
      <sheetName val="상가매매0115"/>
      <sheetName val="상가임대0115"/>
      <sheetName val="본관내역서"/>
      <sheetName val="DATA_Garak"/>
      <sheetName val="DATA_Total"/>
      <sheetName val="DATA_Kwangju"/>
      <sheetName val="DATA_Daejeon"/>
      <sheetName val="DATA_Sadang"/>
      <sheetName val="DATA_Yangjae"/>
      <sheetName val="DATA_Yoido"/>
      <sheetName val="DATA_Ulsan"/>
      <sheetName val="DATA_Incheon"/>
      <sheetName val="DATA_Jeonju"/>
      <sheetName val="투찰(하수)"/>
      <sheetName val="익월작업계힉"/>
      <sheetName val="Data(인원)"/>
      <sheetName val="보차도경계석"/>
      <sheetName val="작업본"/>
      <sheetName val="구동"/>
      <sheetName val="4.2.1 마루높이 검토"/>
      <sheetName val="고시단가"/>
      <sheetName val="Data&amp;Result"/>
      <sheetName val="버튼"/>
      <sheetName val="판매추이"/>
      <sheetName val="2__2012년_실행계획_수립_및_대상선정용_SHEET_"/>
      <sheetName val="배합비(2,3_4분기)"/>
      <sheetName val="완성차_미수금"/>
      <sheetName val="남양내역"/>
      <sheetName val="B&amp;F1"/>
      <sheetName val="손익11"/>
      <sheetName val="BS"/>
      <sheetName val="LOOKUP"/>
      <sheetName val="12"/>
      <sheetName val="차량별점검"/>
      <sheetName val="보험료"/>
      <sheetName val="AIR_SHOWER(3인용)3"/>
      <sheetName val="그래프_(2)3"/>
      <sheetName val="2_대상자3"/>
      <sheetName val="9903말_현재3"/>
      <sheetName val="Control_Sheet3"/>
      <sheetName val="1_취수장1"/>
      <sheetName val="118_세금과공과1"/>
      <sheetName val="1__Svc_Sales1"/>
      <sheetName val="2__Portfolio1"/>
      <sheetName val="3__SVC_Price(Avg)1"/>
      <sheetName val="4___Net_Gain1"/>
      <sheetName val="5_1Q_SVC(callback)1"/>
      <sheetName val="5_2_Q_SVC(Response)1"/>
      <sheetName val="5_3_Q_SVC(all)1"/>
      <sheetName val="2008년판매현황_(조정)1"/>
      <sheetName val="Initial_Input_Variable1"/>
      <sheetName val="경영비율_1"/>
      <sheetName val="상여_(2)1"/>
      <sheetName val="준검_내역서1"/>
      <sheetName val="SQL_Statement1"/>
      <sheetName val="주소_작성1"/>
      <sheetName val="2012년_하반기_승진안_및_상신양식_디자인_파트_xls"/>
      <sheetName val="24_보증금(전신전화가입권)"/>
      <sheetName val="04년_투자전망"/>
      <sheetName val="가중평균_보통주식02"/>
      <sheetName val="가중평균_보통주식01"/>
      <sheetName val="타계정에서_명세서(PL상)"/>
      <sheetName val="BS_Prior"/>
      <sheetName val="별첨3_실패원팀"/>
      <sheetName val="부동산현황표"/>
      <sheetName val="BS(5월-경리과)"/>
      <sheetName val="스평"/>
      <sheetName val="조건"/>
      <sheetName val="Config"/>
      <sheetName val="경비공통"/>
      <sheetName val="연결CF정산표"/>
      <sheetName val="공사설계서"/>
      <sheetName val="AC_List"/>
      <sheetName val="퇴직급여충당금"/>
      <sheetName val="총수량집계표"/>
      <sheetName val="골조시행"/>
      <sheetName val="설비"/>
      <sheetName val="입출고9807"/>
      <sheetName val="생산량"/>
      <sheetName val="담당자"/>
      <sheetName val="평균급여(구미)"/>
      <sheetName val="평균급여(부산)"/>
      <sheetName val="제조부문배부"/>
      <sheetName val="갑지"/>
      <sheetName val="Sheet2"/>
      <sheetName val="퇴직영수증"/>
      <sheetName val="FAB4생산"/>
      <sheetName val="土地ﾃﾞｰﾀ"/>
      <sheetName val="산업은행 경영지표"/>
      <sheetName val="당월영향8월"/>
      <sheetName val="종바2차"/>
      <sheetName val="1-1-1-1"/>
      <sheetName val="95년12월말"/>
      <sheetName val="제경비율"/>
      <sheetName val="복갑"/>
      <sheetName val="음료실행"/>
      <sheetName val="토목주소"/>
      <sheetName val="연간상여집계"/>
      <sheetName val="기본정보"/>
      <sheetName val="양식3"/>
      <sheetName val="손익계산서"/>
      <sheetName val="***********************00"/>
      <sheetName val="업무분장 "/>
      <sheetName val="정리"/>
      <sheetName val="Assumption"/>
      <sheetName val="범용개발순소요비용"/>
      <sheetName val="준공내역(을)"/>
      <sheetName val="총괄갑 "/>
      <sheetName val="1차 내역서"/>
      <sheetName val="도급FORM"/>
      <sheetName val="2공구산출내역"/>
      <sheetName val="을지"/>
      <sheetName val="백암비스타내역"/>
      <sheetName val="견적서-자동"/>
      <sheetName val="인건비 내역서"/>
      <sheetName val="최종보고1"/>
      <sheetName val="감가상각비 배부검토"/>
      <sheetName val="SAP_Role"/>
      <sheetName val="cctr"/>
      <sheetName val="계정_H100"/>
      <sheetName val="계정_1000"/>
      <sheetName val="계정_7000"/>
      <sheetName val="계정_8000"/>
      <sheetName val="AP_H100"/>
      <sheetName val="AP_1000"/>
      <sheetName val="AP_7000"/>
      <sheetName val="AP_8000"/>
      <sheetName val="원가"/>
      <sheetName val="스포회원매출"/>
      <sheetName val="품셈TABLE"/>
      <sheetName val="Executive_Summary1"/>
      <sheetName val="Executive_Summary2"/>
      <sheetName val="Initial_Input_Variable2"/>
      <sheetName val="118_세금과공과2"/>
      <sheetName val="1_취수장2"/>
      <sheetName val="상여_(2)2"/>
      <sheetName val="경영비율_2"/>
      <sheetName val="STROKE별_단가1"/>
      <sheetName val="2012년_하반기_승진안_및_상신양식_디자인_파트_xl1"/>
      <sheetName val="24_보증금(전신전화가입권)1"/>
      <sheetName val="04년_투자전망1"/>
      <sheetName val="별첨3_실패원팀1"/>
      <sheetName val="2__2012년_실행계획_수립_및_대상선정용_SHEET1"/>
      <sheetName val="가중평균_보통주식021"/>
      <sheetName val="가중평균_보통주식011"/>
      <sheetName val="타계정에서_명세서(PL상)1"/>
      <sheetName val="배합비(2,3_4분기)1"/>
      <sheetName val="Executive_Summary3"/>
      <sheetName val="AIR_SHOWER(3인용)4"/>
      <sheetName val="Initial_Input_Variable3"/>
      <sheetName val="118_세금과공과3"/>
      <sheetName val="1_취수장3"/>
      <sheetName val="상여_(2)3"/>
      <sheetName val="경영비율_3"/>
      <sheetName val="준검_내역서2"/>
      <sheetName val="1__Svc_Sales2"/>
      <sheetName val="2__Portfolio2"/>
      <sheetName val="3__SVC_Price(Avg)2"/>
      <sheetName val="4___Net_Gain2"/>
      <sheetName val="5_1Q_SVC(callback)2"/>
      <sheetName val="5_2_Q_SVC(Response)2"/>
      <sheetName val="5_3_Q_SVC(all)2"/>
      <sheetName val="2008년판매현황_(조정)2"/>
      <sheetName val="그래프_(2)4"/>
      <sheetName val="2_대상자4"/>
      <sheetName val="9903말_현재4"/>
      <sheetName val="Control_Sheet4"/>
      <sheetName val="SQL_Statement2"/>
      <sheetName val="STROKE별_단가2"/>
      <sheetName val="주소_작성2"/>
      <sheetName val="2012년_하반기_승진안_및_상신양식_디자인_파트_xl2"/>
      <sheetName val="24_보증금(전신전화가입권)2"/>
      <sheetName val="04년_투자전망2"/>
      <sheetName val="별첨3_실패원팀2"/>
      <sheetName val="2__2012년_실행계획_수립_및_대상선정용_SHEET2"/>
      <sheetName val="가중평균_보통주식022"/>
      <sheetName val="가중평균_보통주식012"/>
      <sheetName val="타계정에서_명세서(PL상)2"/>
      <sheetName val="배합비(2,3_4분기)2"/>
      <sheetName val="97년_추정"/>
      <sheetName val="이자율별_차입금_적수"/>
      <sheetName val="2__Financial_Performance"/>
      <sheetName val="Sheet1_(2)"/>
      <sheetName val="0_0ControlSheet"/>
      <sheetName val="0_1keyAssumption"/>
      <sheetName val="Controls"/>
      <sheetName val="主要规划指标"/>
      <sheetName val="测算明细表(0+1+1)"/>
      <sheetName val="评估结论"/>
      <sheetName val="Collateral"/>
      <sheetName val="信息"/>
      <sheetName val="B"/>
      <sheetName val="영업외손익등"/>
      <sheetName val="완성차_미수금1"/>
      <sheetName val="BS_Prior1"/>
      <sheetName val="Q2_Actual"/>
      <sheetName val="Q3_actuals"/>
      <sheetName val="Index"/>
      <sheetName val="GRADE별_투입원단위"/>
      <sheetName val="Variables"/>
      <sheetName val="108.수선비"/>
      <sheetName val="Sales"/>
      <sheetName val="사회보험료세액공제"/>
      <sheetName val="고용증대세액공제"/>
      <sheetName val="2019년_세부자료_(입력할 시트)"/>
      <sheetName val="2019년보험요율_(입력할 시트)"/>
      <sheetName val="유가증권미수"/>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 sheetId="74" refreshError="1"/>
      <sheetData sheetId="75" refreshError="1"/>
      <sheetData sheetId="76" refreshError="1"/>
      <sheetData sheetId="77" refreshError="1"/>
      <sheetData sheetId="78" refreshError="1"/>
      <sheetData sheetId="79" refreshError="1"/>
      <sheetData sheetId="80" refreshError="1"/>
      <sheetData sheetId="81" refreshError="1"/>
      <sheetData sheetId="82" refreshError="1"/>
      <sheetData sheetId="83" refreshError="1"/>
      <sheetData sheetId="84" refreshError="1"/>
      <sheetData sheetId="85" refreshError="1"/>
      <sheetData sheetId="86" refreshError="1"/>
      <sheetData sheetId="87" refreshError="1"/>
      <sheetData sheetId="88" refreshError="1"/>
      <sheetData sheetId="89" refreshError="1"/>
      <sheetData sheetId="90" refreshError="1"/>
      <sheetData sheetId="91" refreshError="1"/>
      <sheetData sheetId="92" refreshError="1"/>
      <sheetData sheetId="93" refreshError="1"/>
      <sheetData sheetId="94" refreshError="1"/>
      <sheetData sheetId="95" refreshError="1"/>
      <sheetData sheetId="96" refreshError="1"/>
      <sheetData sheetId="97" refreshError="1"/>
      <sheetData sheetId="98" refreshError="1"/>
      <sheetData sheetId="99" refreshError="1"/>
      <sheetData sheetId="100" refreshError="1"/>
      <sheetData sheetId="101" refreshError="1"/>
      <sheetData sheetId="102" refreshError="1"/>
      <sheetData sheetId="103" refreshError="1"/>
      <sheetData sheetId="104" refreshError="1"/>
      <sheetData sheetId="105" refreshError="1"/>
      <sheetData sheetId="106" refreshError="1"/>
      <sheetData sheetId="107" refreshError="1"/>
      <sheetData sheetId="108" refreshError="1"/>
      <sheetData sheetId="109" refreshError="1"/>
      <sheetData sheetId="110" refreshError="1"/>
      <sheetData sheetId="111" refreshError="1"/>
      <sheetData sheetId="112" refreshError="1"/>
      <sheetData sheetId="113" refreshError="1"/>
      <sheetData sheetId="114" refreshError="1"/>
      <sheetData sheetId="115" refreshError="1"/>
      <sheetData sheetId="116" refreshError="1"/>
      <sheetData sheetId="117" refreshError="1"/>
      <sheetData sheetId="118" refreshError="1"/>
      <sheetData sheetId="119" refreshError="1"/>
      <sheetData sheetId="120" refreshError="1"/>
      <sheetData sheetId="121" refreshError="1"/>
      <sheetData sheetId="122" refreshError="1"/>
      <sheetData sheetId="123" refreshError="1"/>
      <sheetData sheetId="124" refreshError="1"/>
      <sheetData sheetId="125" refreshError="1"/>
      <sheetData sheetId="126" refreshError="1"/>
      <sheetData sheetId="127" refreshError="1"/>
      <sheetData sheetId="128" refreshError="1"/>
      <sheetData sheetId="129" refreshError="1"/>
      <sheetData sheetId="130" refreshError="1"/>
      <sheetData sheetId="131" refreshError="1"/>
      <sheetData sheetId="132" refreshError="1"/>
      <sheetData sheetId="133" refreshError="1"/>
      <sheetData sheetId="134" refreshError="1"/>
      <sheetData sheetId="135" refreshError="1"/>
      <sheetData sheetId="136" refreshError="1"/>
      <sheetData sheetId="137" refreshError="1"/>
      <sheetData sheetId="138" refreshError="1"/>
      <sheetData sheetId="139" refreshError="1"/>
      <sheetData sheetId="140" refreshError="1"/>
      <sheetData sheetId="141" refreshError="1"/>
      <sheetData sheetId="142" refreshError="1"/>
      <sheetData sheetId="143" refreshError="1"/>
      <sheetData sheetId="144" refreshError="1"/>
      <sheetData sheetId="145" refreshError="1"/>
      <sheetData sheetId="146" refreshError="1"/>
      <sheetData sheetId="147" refreshError="1"/>
      <sheetData sheetId="148" refreshError="1"/>
      <sheetData sheetId="149" refreshError="1"/>
      <sheetData sheetId="150" refreshError="1"/>
      <sheetData sheetId="151" refreshError="1"/>
      <sheetData sheetId="152" refreshError="1"/>
      <sheetData sheetId="153" refreshError="1"/>
      <sheetData sheetId="154" refreshError="1"/>
      <sheetData sheetId="155" refreshError="1"/>
      <sheetData sheetId="156" refreshError="1"/>
      <sheetData sheetId="157" refreshError="1"/>
      <sheetData sheetId="158" refreshError="1"/>
      <sheetData sheetId="159" refreshError="1"/>
      <sheetData sheetId="160" refreshError="1"/>
      <sheetData sheetId="161" refreshError="1"/>
      <sheetData sheetId="162" refreshError="1"/>
      <sheetData sheetId="163" refreshError="1"/>
      <sheetData sheetId="164" refreshError="1"/>
      <sheetData sheetId="165" refreshError="1"/>
      <sheetData sheetId="166" refreshError="1"/>
      <sheetData sheetId="167" refreshError="1"/>
      <sheetData sheetId="168" refreshError="1"/>
      <sheetData sheetId="169" refreshError="1"/>
      <sheetData sheetId="170" refreshError="1"/>
      <sheetData sheetId="171" refreshError="1"/>
      <sheetData sheetId="172" refreshError="1"/>
      <sheetData sheetId="173" refreshError="1"/>
      <sheetData sheetId="174" refreshError="1"/>
      <sheetData sheetId="175" refreshError="1"/>
      <sheetData sheetId="176" refreshError="1"/>
      <sheetData sheetId="177" refreshError="1"/>
      <sheetData sheetId="178" refreshError="1"/>
      <sheetData sheetId="179" refreshError="1"/>
      <sheetData sheetId="180" refreshError="1"/>
      <sheetData sheetId="181" refreshError="1"/>
      <sheetData sheetId="182" refreshError="1"/>
      <sheetData sheetId="183" refreshError="1"/>
      <sheetData sheetId="184" refreshError="1"/>
      <sheetData sheetId="185" refreshError="1"/>
      <sheetData sheetId="186" refreshError="1"/>
      <sheetData sheetId="187" refreshError="1"/>
      <sheetData sheetId="188" refreshError="1"/>
      <sheetData sheetId="189" refreshError="1"/>
      <sheetData sheetId="190" refreshError="1"/>
      <sheetData sheetId="191" refreshError="1"/>
      <sheetData sheetId="192" refreshError="1"/>
      <sheetData sheetId="193" refreshError="1"/>
      <sheetData sheetId="194" refreshError="1"/>
      <sheetData sheetId="195" refreshError="1"/>
      <sheetData sheetId="196" refreshError="1"/>
      <sheetData sheetId="197" refreshError="1"/>
      <sheetData sheetId="198" refreshError="1"/>
      <sheetData sheetId="199" refreshError="1"/>
      <sheetData sheetId="200" refreshError="1"/>
      <sheetData sheetId="201" refreshError="1"/>
      <sheetData sheetId="202" refreshError="1"/>
      <sheetData sheetId="203" refreshError="1"/>
      <sheetData sheetId="204" refreshError="1"/>
      <sheetData sheetId="205" refreshError="1"/>
      <sheetData sheetId="206" refreshError="1"/>
      <sheetData sheetId="207" refreshError="1"/>
      <sheetData sheetId="208" refreshError="1"/>
      <sheetData sheetId="209" refreshError="1"/>
      <sheetData sheetId="210" refreshError="1"/>
      <sheetData sheetId="211" refreshError="1"/>
      <sheetData sheetId="212" refreshError="1"/>
      <sheetData sheetId="213" refreshError="1"/>
      <sheetData sheetId="214" refreshError="1"/>
      <sheetData sheetId="215" refreshError="1"/>
      <sheetData sheetId="216" refreshError="1"/>
      <sheetData sheetId="217" refreshError="1"/>
      <sheetData sheetId="218" refreshError="1"/>
      <sheetData sheetId="219" refreshError="1"/>
      <sheetData sheetId="220" refreshError="1"/>
      <sheetData sheetId="221" refreshError="1"/>
      <sheetData sheetId="222" refreshError="1"/>
      <sheetData sheetId="223" refreshError="1"/>
      <sheetData sheetId="224" refreshError="1"/>
      <sheetData sheetId="225" refreshError="1"/>
      <sheetData sheetId="226" refreshError="1"/>
      <sheetData sheetId="227" refreshError="1"/>
      <sheetData sheetId="228" refreshError="1"/>
      <sheetData sheetId="229" refreshError="1"/>
      <sheetData sheetId="230" refreshError="1"/>
      <sheetData sheetId="231" refreshError="1"/>
      <sheetData sheetId="232" refreshError="1"/>
      <sheetData sheetId="233" refreshError="1"/>
      <sheetData sheetId="234" refreshError="1"/>
      <sheetData sheetId="235" refreshError="1"/>
      <sheetData sheetId="236" refreshError="1"/>
      <sheetData sheetId="237" refreshError="1"/>
      <sheetData sheetId="238" refreshError="1"/>
      <sheetData sheetId="239" refreshError="1"/>
      <sheetData sheetId="240" refreshError="1"/>
      <sheetData sheetId="241" refreshError="1"/>
      <sheetData sheetId="242" refreshError="1"/>
      <sheetData sheetId="243" refreshError="1"/>
      <sheetData sheetId="244" refreshError="1"/>
      <sheetData sheetId="245" refreshError="1"/>
      <sheetData sheetId="246" refreshError="1"/>
      <sheetData sheetId="247" refreshError="1"/>
      <sheetData sheetId="248" refreshError="1"/>
      <sheetData sheetId="249" refreshError="1"/>
      <sheetData sheetId="250" refreshError="1"/>
      <sheetData sheetId="251" refreshError="1"/>
      <sheetData sheetId="252" refreshError="1"/>
      <sheetData sheetId="253" refreshError="1"/>
      <sheetData sheetId="254" refreshError="1"/>
      <sheetData sheetId="255" refreshError="1"/>
      <sheetData sheetId="256" refreshError="1"/>
      <sheetData sheetId="257" refreshError="1"/>
      <sheetData sheetId="258" refreshError="1"/>
      <sheetData sheetId="259" refreshError="1"/>
      <sheetData sheetId="260" refreshError="1"/>
      <sheetData sheetId="261" refreshError="1"/>
      <sheetData sheetId="262" refreshError="1"/>
      <sheetData sheetId="263" refreshError="1"/>
      <sheetData sheetId="264" refreshError="1"/>
      <sheetData sheetId="265" refreshError="1"/>
      <sheetData sheetId="266" refreshError="1"/>
      <sheetData sheetId="267" refreshError="1"/>
      <sheetData sheetId="268" refreshError="1"/>
      <sheetData sheetId="269" refreshError="1"/>
      <sheetData sheetId="270" refreshError="1"/>
      <sheetData sheetId="271" refreshError="1"/>
      <sheetData sheetId="272" refreshError="1"/>
      <sheetData sheetId="273" refreshError="1"/>
      <sheetData sheetId="274" refreshError="1"/>
      <sheetData sheetId="275" refreshError="1"/>
      <sheetData sheetId="276" refreshError="1"/>
      <sheetData sheetId="277" refreshError="1"/>
      <sheetData sheetId="278" refreshError="1"/>
      <sheetData sheetId="279" refreshError="1"/>
      <sheetData sheetId="280" refreshError="1"/>
      <sheetData sheetId="281" refreshError="1"/>
      <sheetData sheetId="282" refreshError="1"/>
      <sheetData sheetId="283" refreshError="1"/>
      <sheetData sheetId="284" refreshError="1"/>
      <sheetData sheetId="285" refreshError="1"/>
      <sheetData sheetId="286" refreshError="1"/>
      <sheetData sheetId="287" refreshError="1"/>
      <sheetData sheetId="288" refreshError="1"/>
      <sheetData sheetId="289" refreshError="1"/>
      <sheetData sheetId="290" refreshError="1"/>
      <sheetData sheetId="291" refreshError="1"/>
      <sheetData sheetId="292" refreshError="1"/>
      <sheetData sheetId="293" refreshError="1"/>
      <sheetData sheetId="294" refreshError="1"/>
      <sheetData sheetId="295" refreshError="1"/>
      <sheetData sheetId="296" refreshError="1"/>
      <sheetData sheetId="297" refreshError="1"/>
      <sheetData sheetId="298" refreshError="1"/>
      <sheetData sheetId="299" refreshError="1"/>
      <sheetData sheetId="300" refreshError="1"/>
      <sheetData sheetId="301" refreshError="1"/>
      <sheetData sheetId="302" refreshError="1"/>
      <sheetData sheetId="303" refreshError="1"/>
      <sheetData sheetId="304" refreshError="1"/>
      <sheetData sheetId="305" refreshError="1"/>
      <sheetData sheetId="306"/>
      <sheetData sheetId="307"/>
      <sheetData sheetId="308"/>
      <sheetData sheetId="309"/>
      <sheetData sheetId="310"/>
      <sheetData sheetId="311"/>
      <sheetData sheetId="312"/>
      <sheetData sheetId="313"/>
      <sheetData sheetId="314"/>
      <sheetData sheetId="315"/>
      <sheetData sheetId="316"/>
      <sheetData sheetId="317"/>
      <sheetData sheetId="318"/>
      <sheetData sheetId="319"/>
      <sheetData sheetId="320"/>
      <sheetData sheetId="321"/>
      <sheetData sheetId="322" refreshError="1"/>
      <sheetData sheetId="323"/>
      <sheetData sheetId="324" refreshError="1"/>
      <sheetData sheetId="325" refreshError="1"/>
      <sheetData sheetId="326" refreshError="1"/>
      <sheetData sheetId="327" refreshError="1"/>
      <sheetData sheetId="328" refreshError="1"/>
      <sheetData sheetId="329" refreshError="1"/>
      <sheetData sheetId="330" refreshError="1"/>
      <sheetData sheetId="331" refreshError="1"/>
      <sheetData sheetId="332" refreshError="1"/>
      <sheetData sheetId="333" refreshError="1"/>
      <sheetData sheetId="334" refreshError="1"/>
      <sheetData sheetId="335" refreshError="1"/>
      <sheetData sheetId="336" refreshError="1"/>
      <sheetData sheetId="337" refreshError="1"/>
      <sheetData sheetId="338" refreshError="1"/>
      <sheetData sheetId="339" refreshError="1"/>
      <sheetData sheetId="340" refreshError="1"/>
      <sheetData sheetId="341" refreshError="1"/>
      <sheetData sheetId="342" refreshError="1"/>
      <sheetData sheetId="343" refreshError="1"/>
      <sheetData sheetId="344" refreshError="1"/>
      <sheetData sheetId="345" refreshError="1"/>
      <sheetData sheetId="346" refreshError="1"/>
      <sheetData sheetId="347" refreshError="1"/>
      <sheetData sheetId="348" refreshError="1"/>
      <sheetData sheetId="349" refreshError="1"/>
      <sheetData sheetId="350" refreshError="1"/>
      <sheetData sheetId="351" refreshError="1"/>
      <sheetData sheetId="352" refreshError="1"/>
      <sheetData sheetId="353" refreshError="1"/>
      <sheetData sheetId="354" refreshError="1"/>
      <sheetData sheetId="355" refreshError="1"/>
      <sheetData sheetId="356" refreshError="1"/>
      <sheetData sheetId="357" refreshError="1"/>
      <sheetData sheetId="358" refreshError="1"/>
      <sheetData sheetId="359" refreshError="1"/>
      <sheetData sheetId="360" refreshError="1"/>
      <sheetData sheetId="361" refreshError="1"/>
      <sheetData sheetId="362" refreshError="1"/>
      <sheetData sheetId="363" refreshError="1"/>
      <sheetData sheetId="364" refreshError="1"/>
      <sheetData sheetId="365" refreshError="1"/>
      <sheetData sheetId="366" refreshError="1"/>
      <sheetData sheetId="367" refreshError="1"/>
      <sheetData sheetId="368" refreshError="1"/>
      <sheetData sheetId="369" refreshError="1"/>
      <sheetData sheetId="370" refreshError="1"/>
      <sheetData sheetId="371" refreshError="1"/>
      <sheetData sheetId="372" refreshError="1"/>
      <sheetData sheetId="373" refreshError="1"/>
      <sheetData sheetId="374" refreshError="1"/>
      <sheetData sheetId="375" refreshError="1"/>
      <sheetData sheetId="376" refreshError="1"/>
      <sheetData sheetId="377" refreshError="1"/>
      <sheetData sheetId="378" refreshError="1"/>
      <sheetData sheetId="379" refreshError="1"/>
      <sheetData sheetId="380" refreshError="1"/>
      <sheetData sheetId="381" refreshError="1"/>
      <sheetData sheetId="382" refreshError="1"/>
      <sheetData sheetId="383" refreshError="1"/>
      <sheetData sheetId="384" refreshError="1"/>
      <sheetData sheetId="385" refreshError="1"/>
      <sheetData sheetId="386" refreshError="1"/>
      <sheetData sheetId="387" refreshError="1"/>
      <sheetData sheetId="388" refreshError="1"/>
      <sheetData sheetId="389" refreshError="1"/>
      <sheetData sheetId="390" refreshError="1"/>
      <sheetData sheetId="391" refreshError="1"/>
      <sheetData sheetId="392" refreshError="1"/>
      <sheetData sheetId="393" refreshError="1"/>
      <sheetData sheetId="394" refreshError="1"/>
      <sheetData sheetId="395" refreshError="1"/>
      <sheetData sheetId="396" refreshError="1"/>
      <sheetData sheetId="397" refreshError="1"/>
      <sheetData sheetId="398" refreshError="1"/>
      <sheetData sheetId="399" refreshError="1"/>
      <sheetData sheetId="400" refreshError="1"/>
      <sheetData sheetId="401" refreshError="1"/>
      <sheetData sheetId="402" refreshError="1"/>
      <sheetData sheetId="403" refreshError="1"/>
      <sheetData sheetId="404" refreshError="1"/>
      <sheetData sheetId="405" refreshError="1"/>
      <sheetData sheetId="406" refreshError="1"/>
      <sheetData sheetId="407" refreshError="1"/>
      <sheetData sheetId="408" refreshError="1"/>
      <sheetData sheetId="409"/>
      <sheetData sheetId="410"/>
      <sheetData sheetId="411"/>
      <sheetData sheetId="412" refreshError="1"/>
      <sheetData sheetId="413" refreshError="1"/>
      <sheetData sheetId="414" refreshError="1"/>
      <sheetData sheetId="415" refreshError="1"/>
      <sheetData sheetId="416" refreshError="1"/>
      <sheetData sheetId="417" refreshError="1"/>
      <sheetData sheetId="418" refreshError="1"/>
      <sheetData sheetId="419" refreshError="1"/>
      <sheetData sheetId="420"/>
      <sheetData sheetId="421"/>
      <sheetData sheetId="422"/>
      <sheetData sheetId="423"/>
      <sheetData sheetId="424"/>
      <sheetData sheetId="425"/>
      <sheetData sheetId="426"/>
      <sheetData sheetId="427"/>
      <sheetData sheetId="428"/>
      <sheetData sheetId="429"/>
      <sheetData sheetId="430"/>
      <sheetData sheetId="431"/>
      <sheetData sheetId="432"/>
      <sheetData sheetId="433"/>
      <sheetData sheetId="434"/>
      <sheetData sheetId="435"/>
      <sheetData sheetId="436"/>
      <sheetData sheetId="437"/>
      <sheetData sheetId="438"/>
      <sheetData sheetId="439"/>
      <sheetData sheetId="440"/>
      <sheetData sheetId="441"/>
      <sheetData sheetId="442"/>
      <sheetData sheetId="443"/>
      <sheetData sheetId="444"/>
      <sheetData sheetId="445"/>
      <sheetData sheetId="446"/>
      <sheetData sheetId="447"/>
      <sheetData sheetId="448"/>
      <sheetData sheetId="449" refreshError="1"/>
      <sheetData sheetId="450" refreshError="1"/>
      <sheetData sheetId="451" refreshError="1"/>
      <sheetData sheetId="452" refreshError="1"/>
      <sheetData sheetId="453" refreshError="1"/>
      <sheetData sheetId="454" refreshError="1"/>
      <sheetData sheetId="455" refreshError="1"/>
      <sheetData sheetId="456" refreshError="1"/>
      <sheetData sheetId="457" refreshError="1"/>
      <sheetData sheetId="458" refreshError="1"/>
      <sheetData sheetId="459" refreshError="1"/>
      <sheetData sheetId="460" refreshError="1"/>
      <sheetData sheetId="461" refreshError="1"/>
      <sheetData sheetId="462" refreshError="1"/>
      <sheetData sheetId="463" refreshError="1"/>
      <sheetData sheetId="464" refreshError="1"/>
      <sheetData sheetId="465" refreshError="1"/>
      <sheetData sheetId="466" refreshError="1"/>
      <sheetData sheetId="467" refreshError="1"/>
      <sheetData sheetId="468" refreshError="1"/>
      <sheetData sheetId="469" refreshError="1"/>
      <sheetData sheetId="470" refreshError="1"/>
      <sheetData sheetId="471" refreshError="1"/>
      <sheetData sheetId="472" refreshError="1"/>
      <sheetData sheetId="473" refreshError="1"/>
      <sheetData sheetId="474" refreshError="1"/>
      <sheetData sheetId="475" refreshError="1"/>
      <sheetData sheetId="476" refreshError="1"/>
      <sheetData sheetId="477" refreshError="1"/>
      <sheetData sheetId="478" refreshError="1"/>
      <sheetData sheetId="479" refreshError="1"/>
      <sheetData sheetId="480" refreshError="1"/>
      <sheetData sheetId="481" refreshError="1"/>
      <sheetData sheetId="482" refreshError="1"/>
      <sheetData sheetId="483" refreshError="1"/>
      <sheetData sheetId="484" refreshError="1"/>
      <sheetData sheetId="485" refreshError="1"/>
      <sheetData sheetId="486" refreshError="1"/>
      <sheetData sheetId="487" refreshError="1"/>
      <sheetData sheetId="488" refreshError="1"/>
      <sheetData sheetId="489" refreshError="1"/>
      <sheetData sheetId="490" refreshError="1"/>
      <sheetData sheetId="491" refreshError="1"/>
      <sheetData sheetId="492" refreshError="1"/>
      <sheetData sheetId="493" refreshError="1"/>
      <sheetData sheetId="494" refreshError="1"/>
      <sheetData sheetId="495" refreshError="1"/>
      <sheetData sheetId="496" refreshError="1"/>
      <sheetData sheetId="497" refreshError="1"/>
      <sheetData sheetId="498" refreshError="1"/>
      <sheetData sheetId="499" refreshError="1"/>
      <sheetData sheetId="500" refreshError="1"/>
      <sheetData sheetId="501" refreshError="1"/>
      <sheetData sheetId="502" refreshError="1"/>
      <sheetData sheetId="503" refreshError="1"/>
      <sheetData sheetId="504" refreshError="1"/>
      <sheetData sheetId="505" refreshError="1"/>
      <sheetData sheetId="506" refreshError="1"/>
      <sheetData sheetId="507" refreshError="1"/>
      <sheetData sheetId="508" refreshError="1"/>
      <sheetData sheetId="509" refreshError="1"/>
      <sheetData sheetId="510" refreshError="1"/>
      <sheetData sheetId="511" refreshError="1"/>
      <sheetData sheetId="512" refreshError="1"/>
      <sheetData sheetId="513" refreshError="1"/>
      <sheetData sheetId="514" refreshError="1"/>
      <sheetData sheetId="515" refreshError="1"/>
      <sheetData sheetId="516"/>
      <sheetData sheetId="517"/>
      <sheetData sheetId="518"/>
      <sheetData sheetId="519"/>
      <sheetData sheetId="520"/>
      <sheetData sheetId="521"/>
      <sheetData sheetId="522"/>
      <sheetData sheetId="523"/>
      <sheetData sheetId="524"/>
      <sheetData sheetId="525"/>
      <sheetData sheetId="526"/>
      <sheetData sheetId="527"/>
      <sheetData sheetId="528"/>
      <sheetData sheetId="529"/>
      <sheetData sheetId="530"/>
      <sheetData sheetId="531"/>
      <sheetData sheetId="532"/>
      <sheetData sheetId="533"/>
      <sheetData sheetId="534"/>
      <sheetData sheetId="535"/>
      <sheetData sheetId="536"/>
      <sheetData sheetId="537"/>
      <sheetData sheetId="538"/>
      <sheetData sheetId="539"/>
      <sheetData sheetId="540"/>
      <sheetData sheetId="541"/>
      <sheetData sheetId="542"/>
      <sheetData sheetId="543"/>
      <sheetData sheetId="544"/>
      <sheetData sheetId="545"/>
      <sheetData sheetId="546"/>
      <sheetData sheetId="547"/>
      <sheetData sheetId="548"/>
      <sheetData sheetId="549"/>
      <sheetData sheetId="550"/>
      <sheetData sheetId="551"/>
      <sheetData sheetId="552"/>
      <sheetData sheetId="553"/>
      <sheetData sheetId="554"/>
      <sheetData sheetId="555"/>
      <sheetData sheetId="556"/>
      <sheetData sheetId="557"/>
      <sheetData sheetId="558"/>
      <sheetData sheetId="559"/>
      <sheetData sheetId="560"/>
      <sheetData sheetId="561"/>
      <sheetData sheetId="562"/>
      <sheetData sheetId="563"/>
      <sheetData sheetId="564"/>
      <sheetData sheetId="565"/>
      <sheetData sheetId="566"/>
      <sheetData sheetId="567"/>
      <sheetData sheetId="568"/>
      <sheetData sheetId="569"/>
      <sheetData sheetId="570" refreshError="1"/>
      <sheetData sheetId="571" refreshError="1"/>
      <sheetData sheetId="572" refreshError="1"/>
      <sheetData sheetId="573" refreshError="1"/>
      <sheetData sheetId="574" refreshError="1"/>
      <sheetData sheetId="575" refreshError="1"/>
      <sheetData sheetId="576" refreshError="1"/>
      <sheetData sheetId="577" refreshError="1"/>
      <sheetData sheetId="578" refreshError="1"/>
      <sheetData sheetId="579" refreshError="1"/>
      <sheetData sheetId="580" refreshError="1"/>
      <sheetData sheetId="581" refreshError="1"/>
      <sheetData sheetId="582" refreshError="1"/>
      <sheetData sheetId="583"/>
      <sheetData sheetId="584" refreshError="1"/>
      <sheetData sheetId="585" refreshError="1"/>
      <sheetData sheetId="586" refreshError="1"/>
      <sheetData sheetId="587"/>
      <sheetData sheetId="588"/>
      <sheetData sheetId="589"/>
      <sheetData sheetId="590"/>
      <sheetData sheetId="591" refreshError="1"/>
    </sheetDataSet>
  </externalBook>
</externalLink>
</file>

<file path=xl/externalLinks/externalLink6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SUMMARY_신규"/>
      <sheetName val="BREAKDOWN(신규설치)"/>
      <sheetName val="SUMMARY_철거"/>
      <sheetName val="BREAKDOWN(철거설치)"/>
      <sheetName val="REDUCER"/>
      <sheetName val="WE'T"/>
      <sheetName val="#REF"/>
      <sheetName val="HVAC"/>
      <sheetName val="집계"/>
      <sheetName val="SILICATE"/>
      <sheetName val="계측"/>
      <sheetName val="뜃맟뭁돽띿맟?-BLDG"/>
      <sheetName val=" FURNACE현설"/>
      <sheetName val="예가표"/>
      <sheetName val="리비아견적작업"/>
      <sheetName val="BREAKDOWN_철거설치_"/>
      <sheetName val="WE_T"/>
      <sheetName val="뜃맟뭁돽띿맟__BLDG"/>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Set>
  </externalBook>
</externalLink>
</file>

<file path=xl/externalLinks/externalLink6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총괄"/>
      <sheetName val="상가"/>
      <sheetName val="상2"/>
      <sheetName val="상3"/>
      <sheetName val="상2-2"/>
      <sheetName val="상가지급현황"/>
      <sheetName val="상1"/>
      <sheetName val="상가종합"/>
      <sheetName val="면적"/>
      <sheetName val="이주금액"/>
      <sheetName val="지급총괄"/>
      <sheetName val="상가미등기자"/>
      <sheetName val="이주비총액"/>
      <sheetName val="채권설정"/>
      <sheetName val="토지"/>
      <sheetName val="S1"/>
      <sheetName val="Sheet1"/>
      <sheetName val="Sheet2"/>
      <sheetName val="Sheet3"/>
      <sheetName val="data"/>
      <sheetName val="9GNG운반"/>
      <sheetName val="정부노임단가"/>
      <sheetName val="지구단위계획"/>
      <sheetName val="단가"/>
      <sheetName val="상가이~1"/>
      <sheetName val="00건설추정대차대조표"/>
      <sheetName val="Sheet5"/>
      <sheetName val="한화금융비"/>
      <sheetName val="지급어음"/>
      <sheetName val="시장성초안camera"/>
      <sheetName val="반포2차"/>
      <sheetName val="입찰안"/>
    </sheetNames>
    <sheetDataSet>
      <sheetData sheetId="0" refreshError="1"/>
      <sheetData sheetId="1" refreshError="1"/>
      <sheetData sheetId="2" refreshError="1"/>
      <sheetData sheetId="3"/>
      <sheetData sheetId="4" refreshError="1"/>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Set>
  </externalBook>
</externalLink>
</file>

<file path=xl/externalLinks/externalLink7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1"/>
      <sheetName val="A2"/>
      <sheetName val="to do"/>
      <sheetName val="재고"/>
      <sheetName val="AR"/>
      <sheetName val="단가검증"/>
      <sheetName val="재고분석"/>
      <sheetName val="가공비배부"/>
      <sheetName val="제,원"/>
      <sheetName val="투자"/>
      <sheetName val="평가"/>
      <sheetName val="무형"/>
      <sheetName val="M"/>
      <sheetName val="M1-anl"/>
      <sheetName val="퇴충"/>
      <sheetName val="분석적검토"/>
      <sheetName val="자본"/>
      <sheetName val="스탁옵션"/>
      <sheetName val="원가"/>
      <sheetName val="제조원가"/>
      <sheetName val="월별제조"/>
      <sheetName val="영업외"/>
      <sheetName val="우발"/>
      <sheetName val="법인"/>
      <sheetName val="미지급법인세"/>
      <sheetName val="이연법인세"/>
      <sheetName val="BS일이후"/>
      <sheetName val="매입"/>
      <sheetName val="원재료평가"/>
      <sheetName val="제품평가"/>
      <sheetName val="cc"/>
      <sheetName val="조회"/>
      <sheetName val="총괄"/>
      <sheetName val="미수"/>
      <sheetName val="메모"/>
      <sheetName val="입출금메모"/>
      <sheetName val="판관비"/>
      <sheetName val="월간판관"/>
      <sheetName val="C-1구매"/>
      <sheetName val="C-2제조"/>
      <sheetName val="배부기준"/>
      <sheetName val="C-21-1매입toc"/>
      <sheetName val="C-22-월별경비"/>
      <sheetName val="부문별"/>
      <sheetName val="회선사용"/>
      <sheetName val="C-42원가AR"/>
      <sheetName val="C-43-11cutoff"/>
      <sheetName val="C-43-31"/>
      <sheetName val="매출"/>
      <sheetName val="건설중인자산"/>
      <sheetName val="중간감사-드림라인"/>
      <sheetName val="#REF"/>
      <sheetName val="업무분장 "/>
      <sheetName val="공통"/>
      <sheetName val="95WBS"/>
      <sheetName val="현금흐름표"/>
      <sheetName val="YOEMAGUM"/>
      <sheetName val="신공항A-9(원가수정)"/>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Set>
  </externalBook>
</externalLink>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drawing" Target="../drawings/drawing4.xml"/><Relationship Id="rId7" Type="http://schemas.openxmlformats.org/officeDocument/2006/relationships/ctrlProp" Target="../ctrlProps/ctrlProp6.xml"/><Relationship Id="rId2" Type="http://schemas.openxmlformats.org/officeDocument/2006/relationships/printerSettings" Target="../printerSettings/printerSettings6.bin"/><Relationship Id="rId1" Type="http://schemas.openxmlformats.org/officeDocument/2006/relationships/hyperlink" Target="http://www.publicart.or.kr/fund/calculateList.do?menuId=44" TargetMode="External"/><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vmlDrawing" Target="../drawings/vmlDrawing4.vml"/><Relationship Id="rId9"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comments" Target="../comments1.xml"/><Relationship Id="rId4" Type="http://schemas.openxmlformats.org/officeDocument/2006/relationships/ctrlProp" Target="../ctrlProps/ctrlProp9.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9.xml"/><Relationship Id="rId1" Type="http://schemas.openxmlformats.org/officeDocument/2006/relationships/printerSettings" Target="../printerSettings/printerSettings13.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hyperlink" Target="http://www.realtyprice.kr/notice/gsindividual/siteLink.htm;jsessionid=323D5D462A333E2CEF01251A4E10CD55" TargetMode="External"/></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AD40"/>
  <sheetViews>
    <sheetView showGridLines="0" tabSelected="1" view="pageBreakPreview" topLeftCell="D1" zoomScale="85" zoomScaleNormal="85" zoomScaleSheetLayoutView="85" workbookViewId="0">
      <selection activeCell="W2" sqref="W2"/>
    </sheetView>
  </sheetViews>
  <sheetFormatPr defaultColWidth="9" defaultRowHeight="17.399999999999999"/>
  <cols>
    <col min="1" max="1" width="5.69921875" customWidth="1"/>
    <col min="2" max="2" width="9.19921875" customWidth="1"/>
    <col min="3" max="3" width="14" customWidth="1"/>
    <col min="4" max="4" width="11.69921875" customWidth="1"/>
    <col min="5" max="5" width="10" customWidth="1"/>
    <col min="6" max="6" width="3.3984375" customWidth="1"/>
    <col min="7" max="7" width="6.69921875" customWidth="1"/>
    <col min="8" max="8" width="13.59765625" customWidth="1"/>
    <col min="9" max="9" width="11.19921875" customWidth="1"/>
    <col min="10" max="10" width="8.3984375" customWidth="1"/>
    <col min="11" max="11" width="4.59765625" customWidth="1"/>
    <col min="12" max="12" width="8" customWidth="1"/>
    <col min="13" max="13" width="9.3984375" customWidth="1"/>
    <col min="14" max="14" width="4.19921875" customWidth="1"/>
    <col min="15" max="15" width="13.59765625" customWidth="1"/>
    <col min="16" max="16" width="13.09765625" customWidth="1"/>
    <col min="17" max="17" width="16" customWidth="1"/>
    <col min="18" max="18" width="10" customWidth="1"/>
    <col min="19" max="19" width="21" customWidth="1"/>
    <col min="20" max="20" width="4.5" customWidth="1"/>
    <col min="22" max="22" width="17" style="7" customWidth="1"/>
    <col min="23" max="23" width="12.09765625" customWidth="1"/>
    <col min="24" max="25" width="9" customWidth="1"/>
    <col min="26" max="26" width="9" hidden="1" customWidth="1"/>
  </cols>
  <sheetData>
    <row r="1" spans="1:30" ht="9" customHeight="1"/>
    <row r="2" spans="1:30" ht="26.1" customHeight="1">
      <c r="A2" s="1960" t="s">
        <v>0</v>
      </c>
      <c r="B2" s="1961"/>
      <c r="C2" s="1993" t="s">
        <v>1641</v>
      </c>
      <c r="D2" s="1993"/>
      <c r="E2" s="1993"/>
      <c r="F2" s="1993"/>
      <c r="G2" s="1993"/>
      <c r="H2" s="1993"/>
      <c r="I2" s="1993"/>
      <c r="J2" s="1993"/>
      <c r="K2" s="1993"/>
      <c r="L2" s="1993"/>
      <c r="M2" s="1993"/>
      <c r="N2" s="1993"/>
      <c r="O2" s="1993"/>
      <c r="P2" s="1540" t="s">
        <v>1599</v>
      </c>
      <c r="Q2" s="1973"/>
      <c r="R2" s="1973"/>
      <c r="S2" s="1974"/>
      <c r="T2" s="1970" t="s">
        <v>1114</v>
      </c>
      <c r="U2" s="2000" t="s">
        <v>1116</v>
      </c>
      <c r="V2" s="1984"/>
      <c r="W2" s="1536">
        <v>1.4999999999999999E-2</v>
      </c>
      <c r="AA2" s="1765" t="s">
        <v>1476</v>
      </c>
      <c r="AB2" s="1765" t="s">
        <v>1475</v>
      </c>
      <c r="AC2" s="1765" t="s">
        <v>1477</v>
      </c>
      <c r="AD2" s="1765" t="s">
        <v>1478</v>
      </c>
    </row>
    <row r="3" spans="1:30" ht="26.1" customHeight="1">
      <c r="A3" s="1962"/>
      <c r="B3" s="1963"/>
      <c r="C3" s="1994"/>
      <c r="D3" s="1994"/>
      <c r="E3" s="1994"/>
      <c r="F3" s="1994"/>
      <c r="G3" s="1994"/>
      <c r="H3" s="1994"/>
      <c r="I3" s="1994"/>
      <c r="J3" s="1994"/>
      <c r="K3" s="1994"/>
      <c r="L3" s="1994"/>
      <c r="M3" s="1994"/>
      <c r="N3" s="1994"/>
      <c r="O3" s="1994"/>
      <c r="P3" s="1541" t="s">
        <v>1</v>
      </c>
      <c r="Q3" s="1975"/>
      <c r="R3" s="1975"/>
      <c r="S3" s="1976"/>
      <c r="T3" s="1971"/>
      <c r="U3" s="1999" t="s">
        <v>1117</v>
      </c>
      <c r="V3" s="1574" t="s">
        <v>138</v>
      </c>
      <c r="W3" s="1575">
        <v>0.02</v>
      </c>
      <c r="AA3" s="16" t="s">
        <v>1466</v>
      </c>
      <c r="AB3" s="1807">
        <f>W3</f>
        <v>0.02</v>
      </c>
      <c r="AC3" s="1807">
        <f>W7</f>
        <v>0.09</v>
      </c>
      <c r="AD3" s="55">
        <f>'사업수지표 '!V63</f>
        <v>9.6666666666666665E-2</v>
      </c>
    </row>
    <row r="4" spans="1:30" ht="26.1" customHeight="1">
      <c r="A4" s="1964" t="s">
        <v>2</v>
      </c>
      <c r="B4" s="1965"/>
      <c r="C4" s="2001" t="s">
        <v>1642</v>
      </c>
      <c r="D4" s="2001"/>
      <c r="E4" s="2001"/>
      <c r="F4" s="2001"/>
      <c r="G4" s="2001"/>
      <c r="H4" s="2001"/>
      <c r="I4" s="2001"/>
      <c r="J4" s="2001"/>
      <c r="K4" s="2001"/>
      <c r="L4" s="2001"/>
      <c r="M4" s="2001"/>
      <c r="N4" s="2001"/>
      <c r="O4" s="2001"/>
      <c r="P4" s="1542" t="s">
        <v>3</v>
      </c>
      <c r="Q4" s="1543">
        <v>44987</v>
      </c>
      <c r="R4" s="1544" t="s">
        <v>4</v>
      </c>
      <c r="S4" s="1545">
        <f ca="1">TODAY()</f>
        <v>45005</v>
      </c>
      <c r="T4" s="1971"/>
      <c r="U4" s="1997"/>
      <c r="V4" s="1538" t="s">
        <v>139</v>
      </c>
      <c r="W4" s="1537">
        <v>0.04</v>
      </c>
      <c r="AA4" s="16" t="s">
        <v>1467</v>
      </c>
      <c r="AB4" s="1807">
        <f t="shared" ref="AB4:AB5" si="0">W4</f>
        <v>0.04</v>
      </c>
      <c r="AC4" s="1807">
        <f t="shared" ref="AC4:AC5" si="1">W8</f>
        <v>0.12</v>
      </c>
      <c r="AD4" s="55">
        <f>'사업수지표 '!V64</f>
        <v>0</v>
      </c>
    </row>
    <row r="5" spans="1:30" ht="26.1" customHeight="1">
      <c r="A5" s="379"/>
      <c r="B5" s="380"/>
      <c r="C5" s="400"/>
      <c r="D5" s="400"/>
      <c r="E5" s="400"/>
      <c r="F5" s="400"/>
      <c r="G5" s="400"/>
      <c r="H5" s="400"/>
      <c r="I5" s="400"/>
      <c r="J5" s="400"/>
      <c r="K5" s="400"/>
      <c r="L5" s="400"/>
      <c r="M5" s="400"/>
      <c r="N5" s="400"/>
      <c r="O5" s="400"/>
      <c r="P5" s="390"/>
      <c r="Q5" s="401"/>
      <c r="R5" s="390"/>
      <c r="S5" s="392" t="s">
        <v>1170</v>
      </c>
      <c r="T5" s="1971"/>
      <c r="U5" s="1998"/>
      <c r="V5" s="1576" t="s">
        <v>140</v>
      </c>
      <c r="W5" s="1577">
        <v>0.08</v>
      </c>
      <c r="AA5" s="16" t="s">
        <v>1468</v>
      </c>
      <c r="AB5" s="1807">
        <f t="shared" si="0"/>
        <v>0.08</v>
      </c>
      <c r="AC5" s="1807">
        <f t="shared" si="1"/>
        <v>0.15</v>
      </c>
      <c r="AD5" s="55">
        <f>'사업수지표 '!V65</f>
        <v>0</v>
      </c>
    </row>
    <row r="6" spans="1:30" ht="26.1" customHeight="1">
      <c r="A6" s="1970" t="s">
        <v>5</v>
      </c>
      <c r="B6" s="1510" t="s">
        <v>1070</v>
      </c>
      <c r="C6" s="1966" t="s">
        <v>1643</v>
      </c>
      <c r="D6" s="1967"/>
      <c r="E6" s="1979" t="s">
        <v>954</v>
      </c>
      <c r="F6" s="1982" t="s">
        <v>6</v>
      </c>
      <c r="G6" s="1983"/>
      <c r="H6" s="1515">
        <v>2895</v>
      </c>
      <c r="I6" s="1516">
        <f>H6*0.3025</f>
        <v>875.73749999999995</v>
      </c>
      <c r="J6" s="1984" t="s">
        <v>7</v>
      </c>
      <c r="K6" s="1984"/>
      <c r="L6" s="1966" t="s">
        <v>1640</v>
      </c>
      <c r="M6" s="1967"/>
      <c r="N6" s="1970" t="s">
        <v>8</v>
      </c>
      <c r="O6" s="1510" t="s">
        <v>13</v>
      </c>
      <c r="P6" s="1977">
        <v>30</v>
      </c>
      <c r="Q6" s="1977"/>
      <c r="R6" s="1872" t="s">
        <v>1601</v>
      </c>
      <c r="S6" s="1871">
        <v>0</v>
      </c>
      <c r="T6" s="1971"/>
      <c r="U6" s="1511" t="s">
        <v>1113</v>
      </c>
      <c r="V6" s="1978" t="s">
        <v>1616</v>
      </c>
      <c r="W6" s="1995"/>
      <c r="Y6">
        <f>IF(V6=Z6,1,IF(V6=Z7,2,3))</f>
        <v>1</v>
      </c>
      <c r="Z6" t="s">
        <v>1109</v>
      </c>
    </row>
    <row r="7" spans="1:30" ht="26.1" customHeight="1">
      <c r="A7" s="1971"/>
      <c r="B7" s="1511" t="s">
        <v>50</v>
      </c>
      <c r="C7" s="1512">
        <v>17660</v>
      </c>
      <c r="D7" s="1513">
        <f>C7*0.3025</f>
        <v>5342.15</v>
      </c>
      <c r="E7" s="1980"/>
      <c r="F7" s="2014" t="s">
        <v>10</v>
      </c>
      <c r="G7" s="1517" t="s">
        <v>11</v>
      </c>
      <c r="H7" s="1518">
        <v>40553.46</v>
      </c>
      <c r="I7" s="1519">
        <f>H7*0.3025</f>
        <v>12267.42165</v>
      </c>
      <c r="J7" s="2002" t="s">
        <v>12</v>
      </c>
      <c r="K7" s="2002"/>
      <c r="L7" s="2010" t="s">
        <v>1465</v>
      </c>
      <c r="M7" s="2011"/>
      <c r="N7" s="1971"/>
      <c r="O7" s="1511" t="s">
        <v>19</v>
      </c>
      <c r="P7" s="1978">
        <v>2</v>
      </c>
      <c r="Q7" s="1978"/>
      <c r="R7" s="852"/>
      <c r="S7" s="1527"/>
      <c r="T7" s="1971"/>
      <c r="U7" s="1996" t="s">
        <v>1115</v>
      </c>
      <c r="V7" s="1574" t="s">
        <v>138</v>
      </c>
      <c r="W7" s="1575">
        <v>0.09</v>
      </c>
      <c r="Z7" t="s">
        <v>1110</v>
      </c>
    </row>
    <row r="8" spans="1:30" ht="26.1" customHeight="1">
      <c r="A8" s="1971"/>
      <c r="B8" s="1511" t="s">
        <v>51</v>
      </c>
      <c r="C8" s="1985">
        <v>16000000</v>
      </c>
      <c r="D8" s="1986"/>
      <c r="E8" s="1980"/>
      <c r="F8" s="2014"/>
      <c r="G8" s="1517" t="s">
        <v>14</v>
      </c>
      <c r="H8" s="1518">
        <v>15110</v>
      </c>
      <c r="I8" s="1519">
        <f>H8*0.3025</f>
        <v>4570.7749999999996</v>
      </c>
      <c r="J8" s="2002" t="s">
        <v>15</v>
      </c>
      <c r="K8" s="2002"/>
      <c r="L8" s="1520">
        <v>2</v>
      </c>
      <c r="M8" s="1521">
        <v>24</v>
      </c>
      <c r="N8" s="1971"/>
      <c r="O8" s="1511" t="s">
        <v>13</v>
      </c>
      <c r="P8" s="1528">
        <v>45200</v>
      </c>
      <c r="Q8" s="856">
        <f>P8+(P6*365/12)-1</f>
        <v>46111.5</v>
      </c>
      <c r="R8" s="1529">
        <f>IFERROR(DATEDIF(P8,Q8,"m")+1,0)</f>
        <v>30</v>
      </c>
      <c r="S8" s="1527"/>
      <c r="T8" s="1971"/>
      <c r="U8" s="1997"/>
      <c r="V8" s="1538" t="s">
        <v>139</v>
      </c>
      <c r="W8" s="1537">
        <v>0.12</v>
      </c>
      <c r="Z8" t="s">
        <v>1108</v>
      </c>
    </row>
    <row r="9" spans="1:30" ht="26.1" customHeight="1">
      <c r="A9" s="1971"/>
      <c r="B9" s="1511" t="s">
        <v>52</v>
      </c>
      <c r="C9" s="1987">
        <f>C8/D7</f>
        <v>2995.0488099360746</v>
      </c>
      <c r="D9" s="1988"/>
      <c r="E9" s="1980"/>
      <c r="F9" s="2014"/>
      <c r="G9" s="1517" t="s">
        <v>17</v>
      </c>
      <c r="H9" s="1522">
        <f>H7+H8</f>
        <v>55663.46</v>
      </c>
      <c r="I9" s="1523">
        <f>I7+I8</f>
        <v>16838.196649999998</v>
      </c>
      <c r="J9" s="2002" t="s">
        <v>18</v>
      </c>
      <c r="K9" s="2002"/>
      <c r="L9" s="2012">
        <v>366</v>
      </c>
      <c r="M9" s="2013"/>
      <c r="N9" s="1971"/>
      <c r="O9" s="1530" t="s">
        <v>1121</v>
      </c>
      <c r="P9" s="856">
        <f>P8</f>
        <v>45200</v>
      </c>
      <c r="Q9" s="856">
        <f>Q8+S9*365/12-1</f>
        <v>46171.333333333336</v>
      </c>
      <c r="R9" s="1529">
        <f>DATEDIF(P9,Q9,"m")+1</f>
        <v>32</v>
      </c>
      <c r="S9" s="1531">
        <v>2</v>
      </c>
      <c r="T9" s="1971"/>
      <c r="U9" s="1998"/>
      <c r="V9" s="1576" t="s">
        <v>140</v>
      </c>
      <c r="W9" s="1577">
        <v>0.15</v>
      </c>
    </row>
    <row r="10" spans="1:30" ht="26.1" customHeight="1">
      <c r="A10" s="1971"/>
      <c r="B10" s="1511" t="s">
        <v>16</v>
      </c>
      <c r="C10" s="1989" t="s">
        <v>1622</v>
      </c>
      <c r="D10" s="1990"/>
      <c r="E10" s="1980"/>
      <c r="F10" s="1997" t="s">
        <v>20</v>
      </c>
      <c r="G10" s="2002"/>
      <c r="H10" s="2003">
        <f>H6/C7</f>
        <v>0.16392978482446205</v>
      </c>
      <c r="I10" s="2003"/>
      <c r="J10" s="1524" t="s">
        <v>47</v>
      </c>
      <c r="K10" s="1517" t="s">
        <v>21</v>
      </c>
      <c r="L10" s="2006">
        <v>366</v>
      </c>
      <c r="M10" s="2007"/>
      <c r="N10" s="1971"/>
      <c r="O10" s="1530" t="s">
        <v>240</v>
      </c>
      <c r="P10" s="856">
        <f>P9</f>
        <v>45200</v>
      </c>
      <c r="Q10" s="856">
        <f>Q8+S10*365/12-1</f>
        <v>46293</v>
      </c>
      <c r="R10" s="1529">
        <f>DATEDIF(P10,Q10,"m")+1</f>
        <v>36</v>
      </c>
      <c r="S10" s="1531">
        <v>6</v>
      </c>
      <c r="T10" s="1971"/>
      <c r="U10" s="1996" t="s">
        <v>1118</v>
      </c>
      <c r="V10" s="1578" t="s">
        <v>981</v>
      </c>
      <c r="W10" s="1579">
        <v>5000</v>
      </c>
    </row>
    <row r="11" spans="1:30" ht="26.1" customHeight="1">
      <c r="A11" s="1972"/>
      <c r="B11" s="1514" t="s">
        <v>22</v>
      </c>
      <c r="C11" s="1991"/>
      <c r="D11" s="1992"/>
      <c r="E11" s="1981"/>
      <c r="F11" s="1969" t="s">
        <v>23</v>
      </c>
      <c r="G11" s="2004"/>
      <c r="H11" s="2005">
        <f>H7/C7</f>
        <v>2.2963454133635333</v>
      </c>
      <c r="I11" s="2005"/>
      <c r="J11" s="1525">
        <f>L11/L9</f>
        <v>1.3989071038251366</v>
      </c>
      <c r="K11" s="1526" t="s">
        <v>24</v>
      </c>
      <c r="L11" s="2008">
        <v>512</v>
      </c>
      <c r="M11" s="2009"/>
      <c r="N11" s="1972"/>
      <c r="O11" s="1532" t="s">
        <v>42</v>
      </c>
      <c r="P11" s="1533">
        <f>P10</f>
        <v>45200</v>
      </c>
      <c r="Q11" s="1533">
        <f>Q8+S11*365/12-1</f>
        <v>46293</v>
      </c>
      <c r="R11" s="1534">
        <f>DATEDIF(P11,Q11,"m")+1</f>
        <v>36</v>
      </c>
      <c r="S11" s="1535">
        <v>6</v>
      </c>
      <c r="T11" s="1971"/>
      <c r="U11" s="1997"/>
      <c r="V11" s="4" t="s">
        <v>1291</v>
      </c>
      <c r="W11" s="1539">
        <v>0.9</v>
      </c>
      <c r="X11" s="1802"/>
    </row>
    <row r="12" spans="1:30" ht="26.1" customHeight="1">
      <c r="A12" s="3"/>
      <c r="B12" s="4"/>
      <c r="C12" s="1235"/>
      <c r="D12" s="1235"/>
      <c r="E12" s="5"/>
      <c r="F12" s="4"/>
      <c r="G12" s="4"/>
      <c r="H12" s="861"/>
      <c r="I12" s="861"/>
      <c r="J12" s="1236"/>
      <c r="K12" s="4"/>
      <c r="L12" s="1237"/>
      <c r="M12" s="1237"/>
      <c r="N12" s="3"/>
      <c r="O12" s="372"/>
      <c r="P12" s="856"/>
      <c r="Q12" s="856"/>
      <c r="R12" s="1529"/>
      <c r="S12" s="1229"/>
      <c r="T12" s="1971"/>
      <c r="U12" s="1997"/>
      <c r="V12" s="4" t="s">
        <v>1471</v>
      </c>
      <c r="W12" s="1539">
        <f>1-W11</f>
        <v>9.9999999999999978E-2</v>
      </c>
      <c r="X12" s="1802"/>
    </row>
    <row r="13" spans="1:30" ht="26.1" customHeight="1">
      <c r="A13" s="3"/>
      <c r="B13" s="4"/>
      <c r="C13" s="1235"/>
      <c r="D13" s="1235"/>
      <c r="E13" s="5"/>
      <c r="F13" s="4"/>
      <c r="G13" s="4"/>
      <c r="H13" s="861"/>
      <c r="I13" s="861"/>
      <c r="J13" s="1236"/>
      <c r="K13" s="4"/>
      <c r="L13" s="1237"/>
      <c r="M13" s="1237"/>
      <c r="N13" s="3"/>
      <c r="O13" s="372"/>
      <c r="P13" s="856"/>
      <c r="Q13" s="856"/>
      <c r="R13" s="857"/>
      <c r="S13" s="1229"/>
      <c r="T13" s="1971"/>
      <c r="U13" s="1998"/>
      <c r="V13" s="1580" t="s">
        <v>1254</v>
      </c>
      <c r="W13" s="1581" t="s">
        <v>1644</v>
      </c>
      <c r="Y13">
        <f>IF(W13="분양불",1,IF(W13="기성불",2,3))</f>
        <v>1</v>
      </c>
      <c r="Z13" t="s">
        <v>1255</v>
      </c>
    </row>
    <row r="14" spans="1:30" ht="26.1" customHeight="1">
      <c r="O14" s="372"/>
      <c r="T14" s="1971"/>
      <c r="U14" s="1968" t="s">
        <v>1228</v>
      </c>
      <c r="V14" s="4" t="s">
        <v>1119</v>
      </c>
      <c r="W14" s="1539" t="s">
        <v>1517</v>
      </c>
      <c r="Z14" t="s">
        <v>1256</v>
      </c>
    </row>
    <row r="15" spans="1:30" ht="26.1" customHeight="1">
      <c r="O15" s="372"/>
      <c r="T15" s="1972"/>
      <c r="U15" s="1969"/>
      <c r="V15" s="383" t="s">
        <v>1120</v>
      </c>
      <c r="W15" s="1690"/>
      <c r="Z15" t="s">
        <v>1595</v>
      </c>
    </row>
    <row r="16" spans="1:30" ht="9" customHeight="1">
      <c r="A16" s="404"/>
      <c r="B16" s="405"/>
      <c r="C16" s="404"/>
      <c r="D16" s="406"/>
      <c r="E16" s="404"/>
    </row>
    <row r="17" spans="1:26" ht="24" customHeight="1">
      <c r="A17" s="404"/>
      <c r="B17" s="405"/>
      <c r="C17" s="407"/>
      <c r="D17" s="408"/>
      <c r="E17" s="409"/>
    </row>
    <row r="18" spans="1:26" ht="24" customHeight="1">
      <c r="A18" s="404"/>
      <c r="B18" s="404"/>
      <c r="C18" s="410"/>
      <c r="D18" s="408"/>
      <c r="E18" s="411"/>
      <c r="Z18" t="s">
        <v>1619</v>
      </c>
    </row>
    <row r="19" spans="1:26" ht="24" customHeight="1">
      <c r="A19" s="412"/>
      <c r="B19" s="404"/>
      <c r="C19" s="413"/>
      <c r="D19" s="408"/>
      <c r="E19" s="414"/>
      <c r="Z19" t="s">
        <v>1620</v>
      </c>
    </row>
    <row r="20" spans="1:26" ht="24" customHeight="1">
      <c r="A20" s="412"/>
      <c r="B20" s="404"/>
      <c r="C20" s="413"/>
      <c r="D20" s="408"/>
      <c r="E20" s="415"/>
      <c r="Z20" t="s">
        <v>1621</v>
      </c>
    </row>
    <row r="21" spans="1:26" ht="24" customHeight="1">
      <c r="A21" s="412"/>
      <c r="B21" s="405"/>
      <c r="C21" s="416"/>
      <c r="D21" s="406"/>
      <c r="E21" s="417"/>
      <c r="Z21" t="s">
        <v>1622</v>
      </c>
    </row>
    <row r="22" spans="1:26" ht="24" customHeight="1">
      <c r="A22" s="404"/>
      <c r="B22" s="404"/>
      <c r="C22" s="413"/>
      <c r="D22" s="408"/>
      <c r="E22" s="418"/>
      <c r="Z22" t="s">
        <v>1623</v>
      </c>
    </row>
    <row r="23" spans="1:26" ht="24" customHeight="1">
      <c r="A23" s="412"/>
      <c r="B23" s="404"/>
      <c r="C23" s="419"/>
      <c r="D23" s="408"/>
      <c r="E23" s="420"/>
      <c r="Z23" t="s">
        <v>1624</v>
      </c>
    </row>
    <row r="24" spans="1:26" ht="24" customHeight="1">
      <c r="A24" s="412"/>
      <c r="B24" s="404"/>
      <c r="C24" s="421"/>
      <c r="D24" s="408"/>
      <c r="E24" s="422"/>
      <c r="U24" s="423"/>
      <c r="V24" s="423"/>
      <c r="Z24" t="s">
        <v>1625</v>
      </c>
    </row>
    <row r="25" spans="1:26" ht="24" customHeight="1">
      <c r="A25" s="412"/>
      <c r="B25" s="404"/>
      <c r="C25" s="421"/>
      <c r="D25" s="408"/>
      <c r="E25" s="422"/>
      <c r="U25" s="423"/>
      <c r="Z25" t="s">
        <v>1626</v>
      </c>
    </row>
    <row r="26" spans="1:26" ht="24" customHeight="1">
      <c r="A26" s="412"/>
      <c r="B26" s="404"/>
      <c r="C26" s="410"/>
      <c r="D26" s="408"/>
      <c r="E26" s="424"/>
      <c r="Z26" t="s">
        <v>1627</v>
      </c>
    </row>
    <row r="27" spans="1:26" ht="24" customHeight="1">
      <c r="A27" s="412"/>
      <c r="B27" s="404"/>
      <c r="C27" s="421"/>
      <c r="D27" s="408"/>
      <c r="E27" s="424"/>
      <c r="Z27" t="s">
        <v>1628</v>
      </c>
    </row>
    <row r="28" spans="1:26" ht="24" customHeight="1">
      <c r="A28" s="412"/>
      <c r="B28" s="404"/>
      <c r="C28" s="421"/>
      <c r="D28" s="408"/>
      <c r="E28" s="422"/>
      <c r="Z28" t="s">
        <v>1629</v>
      </c>
    </row>
    <row r="29" spans="1:26" ht="24" customHeight="1">
      <c r="A29" s="412"/>
      <c r="B29" s="404"/>
      <c r="C29" s="421"/>
      <c r="D29" s="408"/>
      <c r="E29" s="422"/>
      <c r="Z29" t="s">
        <v>1630</v>
      </c>
    </row>
    <row r="30" spans="1:26" ht="24" customHeight="1">
      <c r="A30" s="412"/>
      <c r="B30" s="405"/>
      <c r="C30" s="416"/>
      <c r="D30" s="406"/>
      <c r="E30" s="422"/>
      <c r="Z30" t="s">
        <v>1631</v>
      </c>
    </row>
    <row r="31" spans="1:26" ht="24" customHeight="1">
      <c r="A31" s="405"/>
      <c r="B31" s="422"/>
      <c r="C31" s="425"/>
      <c r="D31" s="406"/>
      <c r="E31" s="426"/>
      <c r="Z31" t="s">
        <v>1632</v>
      </c>
    </row>
    <row r="32" spans="1:26" ht="24" customHeight="1">
      <c r="Z32" t="s">
        <v>1633</v>
      </c>
    </row>
    <row r="33" spans="23:23" ht="24" customHeight="1"/>
    <row r="34" spans="23:23" ht="24" customHeight="1"/>
    <row r="35" spans="23:23" ht="24" customHeight="1"/>
    <row r="36" spans="23:23" ht="24" customHeight="1"/>
    <row r="37" spans="23:23" ht="24" customHeight="1"/>
    <row r="38" spans="23:23" ht="24" customHeight="1"/>
    <row r="39" spans="23:23" ht="24" customHeight="1">
      <c r="W39" s="24" t="s">
        <v>1533</v>
      </c>
    </row>
    <row r="40" spans="23:23" ht="24" customHeight="1">
      <c r="W40" s="24"/>
    </row>
  </sheetData>
  <sheetProtection algorithmName="SHA-512" hashValue="AhqS1Q+5INO7/5YcfV9nhAivXuVhaJNmaSCa3Pz87QbuaJnQmlyLUO6LLCATYZJ4g7M+M6LgUi6TnI0nHkdS+g==" saltValue="WrKyeeJlLKoQoQXu4y7rSw==" spinCount="100000" sheet="1" objects="1" scenarios="1"/>
  <mergeCells count="38">
    <mergeCell ref="L9:M9"/>
    <mergeCell ref="N6:N11"/>
    <mergeCell ref="F7:F9"/>
    <mergeCell ref="J7:K7"/>
    <mergeCell ref="J8:K8"/>
    <mergeCell ref="J9:K9"/>
    <mergeCell ref="C10:D10"/>
    <mergeCell ref="C11:D11"/>
    <mergeCell ref="C2:O3"/>
    <mergeCell ref="V6:W6"/>
    <mergeCell ref="U7:U9"/>
    <mergeCell ref="U3:U5"/>
    <mergeCell ref="U2:V2"/>
    <mergeCell ref="C4:O4"/>
    <mergeCell ref="F10:G10"/>
    <mergeCell ref="H10:I10"/>
    <mergeCell ref="F11:G11"/>
    <mergeCell ref="H11:I11"/>
    <mergeCell ref="L10:M10"/>
    <mergeCell ref="L11:M11"/>
    <mergeCell ref="L7:M7"/>
    <mergeCell ref="U10:U13"/>
    <mergeCell ref="A2:B3"/>
    <mergeCell ref="A4:B4"/>
    <mergeCell ref="L6:M6"/>
    <mergeCell ref="U14:U15"/>
    <mergeCell ref="T2:T15"/>
    <mergeCell ref="Q2:S2"/>
    <mergeCell ref="Q3:S3"/>
    <mergeCell ref="P6:Q6"/>
    <mergeCell ref="P7:Q7"/>
    <mergeCell ref="A6:A11"/>
    <mergeCell ref="C6:D6"/>
    <mergeCell ref="E6:E11"/>
    <mergeCell ref="F6:G6"/>
    <mergeCell ref="J6:K6"/>
    <mergeCell ref="C8:D8"/>
    <mergeCell ref="C9:D9"/>
  </mergeCells>
  <phoneticPr fontId="4" type="noConversion"/>
  <dataValidations count="8">
    <dataValidation type="whole" allowBlank="1" showInputMessage="1" showErrorMessage="1" sqref="P7:Q7" xr:uid="{00000000-0002-0000-0000-000000000000}">
      <formula1>1</formula1>
      <formula2>3</formula2>
    </dataValidation>
    <dataValidation type="whole" allowBlank="1" showInputMessage="1" showErrorMessage="1" errorTitle="공사기간" error="공사기간은 12~40개월 사이로 지정하십시요." sqref="P6" xr:uid="{00000000-0002-0000-0000-000001000000}">
      <formula1>8</formula1>
      <formula2>60</formula2>
    </dataValidation>
    <dataValidation allowBlank="1" showInputMessage="1" showErrorMessage="1" errorTitle="관리기간" error="관리기간은 1~6 사이의 값을 지정하십시요." prompt="기타수입 금액 입력" sqref="S8" xr:uid="{00000000-0002-0000-0000-000002000000}"/>
    <dataValidation type="list" allowBlank="1" showInputMessage="1" showErrorMessage="1" sqref="S9" xr:uid="{00000000-0002-0000-0000-000003000000}">
      <formula1>공정률적용</formula1>
    </dataValidation>
    <dataValidation type="list" allowBlank="1" showInputMessage="1" showErrorMessage="1" sqref="V6" xr:uid="{00000000-0002-0000-0000-000004000000}">
      <formula1>$Z$6:$Z$8</formula1>
    </dataValidation>
    <dataValidation type="list" allowBlank="1" showInputMessage="1" showErrorMessage="1" sqref="U24" xr:uid="{00000000-0002-0000-0000-000005000000}">
      <formula1>"공동주택, 발코니확장비, 도시형생활주택, 오피스텔, 분양형호텔, 생활형숙박시설, 근린생활시설"</formula1>
    </dataValidation>
    <dataValidation type="list" allowBlank="1" showInputMessage="1" showErrorMessage="1" sqref="W13" xr:uid="{00000000-0002-0000-0000-000006000000}">
      <formula1>$Z$13:$Z$15</formula1>
    </dataValidation>
    <dataValidation type="list" allowBlank="1" showInputMessage="1" showErrorMessage="1" sqref="C10:D10" xr:uid="{00000000-0002-0000-0000-000007000000}">
      <formula1>$Z$18:$Z$32</formula1>
    </dataValidation>
  </dataValidations>
  <printOptions horizontalCentered="1" verticalCentered="1"/>
  <pageMargins left="0.23622047244094491" right="0.23622047244094491" top="0.35433070866141736" bottom="0.35433070866141736" header="0.31496062992125984" footer="0.31496062992125984"/>
  <pageSetup paperSize="9" scale="55"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15462" r:id="rId4" name="Button 3846">
              <controlPr defaultSize="0" print="0" autoFill="0" autoPict="0" macro="[0]!총괄장초기화">
                <anchor moveWithCells="1">
                  <from>
                    <xdr:col>12</xdr:col>
                    <xdr:colOff>678180</xdr:colOff>
                    <xdr:row>1</xdr:row>
                    <xdr:rowOff>259080</xdr:rowOff>
                  </from>
                  <to>
                    <xdr:col>14</xdr:col>
                    <xdr:colOff>952500</xdr:colOff>
                    <xdr:row>3</xdr:row>
                    <xdr:rowOff>60960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8000000}">
          <x14:formula1>
            <xm:f>분양개요!$B$6:$B$15</xm:f>
          </x14:formula1>
          <xm:sqref>L6:M6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AB59"/>
  <sheetViews>
    <sheetView view="pageBreakPreview" topLeftCell="C3" zoomScale="85" zoomScaleNormal="85" zoomScaleSheetLayoutView="85" workbookViewId="0">
      <selection activeCell="W2" sqref="W2"/>
    </sheetView>
  </sheetViews>
  <sheetFormatPr defaultColWidth="9" defaultRowHeight="17.399999999999999"/>
  <cols>
    <col min="1" max="1" width="13.69921875" style="7" customWidth="1"/>
    <col min="2" max="2" width="15.59765625" style="7" customWidth="1"/>
    <col min="3" max="3" width="9" style="7"/>
    <col min="4" max="4" width="10.69921875" style="7" customWidth="1"/>
    <col min="5" max="5" width="13.09765625" style="7" customWidth="1"/>
    <col min="6" max="6" width="14.69921875" style="7" customWidth="1"/>
    <col min="7" max="7" width="13.09765625" style="7" customWidth="1"/>
    <col min="8" max="8" width="14.8984375" style="7" customWidth="1"/>
    <col min="9" max="9" width="12.69921875" style="7" customWidth="1"/>
    <col min="10" max="10" width="10.09765625" style="7" bestFit="1" customWidth="1"/>
    <col min="11" max="11" width="12.09765625" style="7" customWidth="1"/>
    <col min="12" max="12" width="12.59765625" style="7" bestFit="1" customWidth="1"/>
    <col min="13" max="13" width="13.19921875" style="7" customWidth="1"/>
    <col min="14" max="14" width="13.09765625" style="7" customWidth="1"/>
    <col min="15" max="15" width="16.19921875" style="7" bestFit="1" customWidth="1"/>
    <col min="16" max="16" width="16.5" style="7" bestFit="1" customWidth="1"/>
    <col min="17" max="17" width="12.59765625" style="7" bestFit="1" customWidth="1"/>
    <col min="18" max="18" width="9" style="7"/>
    <col min="19" max="19" width="9" style="398"/>
    <col min="20" max="22" width="15.59765625" style="398" customWidth="1"/>
    <col min="23" max="23" width="14.09765625" customWidth="1"/>
    <col min="24" max="24" width="14.5" customWidth="1"/>
    <col min="25" max="26" width="17.3984375" customWidth="1"/>
    <col min="27" max="27" width="12.5" customWidth="1"/>
    <col min="28" max="28" width="15.3984375" customWidth="1"/>
  </cols>
  <sheetData>
    <row r="1" spans="1:28" ht="24.75" customHeight="1">
      <c r="A1" s="2056" t="s">
        <v>955</v>
      </c>
      <c r="B1" s="2056"/>
      <c r="C1" s="2056"/>
      <c r="O1" s="639" t="s">
        <v>970</v>
      </c>
      <c r="P1" s="639" t="s">
        <v>1124</v>
      </c>
      <c r="Q1" s="1661"/>
    </row>
    <row r="2" spans="1:28">
      <c r="A2" s="2057"/>
      <c r="B2" s="2057"/>
      <c r="C2" s="2057"/>
      <c r="D2" s="431"/>
      <c r="E2" s="431"/>
      <c r="F2" s="431"/>
      <c r="G2" s="431"/>
      <c r="H2" s="432"/>
      <c r="I2" s="431"/>
      <c r="J2" s="431"/>
      <c r="K2" s="431"/>
      <c r="L2" s="431"/>
      <c r="M2" s="431"/>
      <c r="O2" s="1691">
        <f>N16/O16</f>
        <v>0</v>
      </c>
      <c r="P2" s="433">
        <f ca="1">I5-총괄장!H9</f>
        <v>-1.5799999999944703</v>
      </c>
      <c r="Q2" s="1656"/>
      <c r="R2" s="431"/>
      <c r="S2" s="1819"/>
      <c r="T2" s="1819"/>
      <c r="U2" s="1819"/>
      <c r="V2" s="1819"/>
    </row>
    <row r="3" spans="1:28" ht="15.9" customHeight="1">
      <c r="A3" s="2066" t="s">
        <v>956</v>
      </c>
      <c r="B3" s="2067"/>
      <c r="C3" s="2068" t="s">
        <v>957</v>
      </c>
      <c r="D3" s="2061" t="s">
        <v>1230</v>
      </c>
      <c r="E3" s="2027" t="s">
        <v>1229</v>
      </c>
      <c r="F3" s="2028"/>
      <c r="G3" s="2028"/>
      <c r="H3" s="1263"/>
      <c r="I3" s="1301"/>
      <c r="J3" s="2042" t="s">
        <v>968</v>
      </c>
      <c r="K3" s="2053" t="s">
        <v>1372</v>
      </c>
      <c r="L3" s="2047" t="s">
        <v>972</v>
      </c>
      <c r="M3" s="2048"/>
      <c r="N3" s="2048"/>
      <c r="O3" s="2048"/>
      <c r="P3" s="2048"/>
      <c r="Q3" s="2049"/>
      <c r="R3" s="2039" t="s">
        <v>959</v>
      </c>
    </row>
    <row r="4" spans="1:28" ht="15.9" customHeight="1">
      <c r="A4" s="457" t="s">
        <v>960</v>
      </c>
      <c r="B4" s="460" t="s">
        <v>961</v>
      </c>
      <c r="C4" s="2069"/>
      <c r="D4" s="2062"/>
      <c r="E4" s="458" t="s">
        <v>962</v>
      </c>
      <c r="F4" s="640" t="s">
        <v>963</v>
      </c>
      <c r="G4" s="640" t="s">
        <v>964</v>
      </c>
      <c r="H4" s="640" t="s">
        <v>965</v>
      </c>
      <c r="I4" s="1302" t="s">
        <v>966</v>
      </c>
      <c r="J4" s="2043"/>
      <c r="K4" s="2054"/>
      <c r="L4" s="1587" t="s">
        <v>1371</v>
      </c>
      <c r="M4" s="640" t="s">
        <v>1373</v>
      </c>
      <c r="N4" s="459" t="s">
        <v>48</v>
      </c>
      <c r="O4" s="1311" t="s">
        <v>1424</v>
      </c>
      <c r="P4" s="459" t="s">
        <v>969</v>
      </c>
      <c r="Q4" s="1657" t="s">
        <v>1427</v>
      </c>
      <c r="R4" s="2040"/>
    </row>
    <row r="5" spans="1:28" ht="15.9" customHeight="1">
      <c r="A5" s="2064" t="s">
        <v>967</v>
      </c>
      <c r="B5" s="2065"/>
      <c r="C5" s="1296">
        <f>SUM(C7:C15)</f>
        <v>733</v>
      </c>
      <c r="D5" s="1297"/>
      <c r="E5" s="1298">
        <f>SUM(E7:E15)</f>
        <v>31432.68</v>
      </c>
      <c r="F5" s="1299">
        <f>SUM(F7:F15)</f>
        <v>9270.7799999999988</v>
      </c>
      <c r="G5" s="1299">
        <f>SUM(G7:G15)</f>
        <v>14958.419999999998</v>
      </c>
      <c r="H5" s="1299">
        <f>SUM(H7:H15)</f>
        <v>41913.382799999999</v>
      </c>
      <c r="I5" s="1303">
        <f ca="1">SUM(I7:I14)</f>
        <v>55661.880000000005</v>
      </c>
      <c r="J5" s="1316"/>
      <c r="K5" s="1316">
        <f t="shared" ref="K5:R5" si="0">SUM(K7:K15)</f>
        <v>17660</v>
      </c>
      <c r="L5" s="1589">
        <f t="shared" si="0"/>
        <v>16000000.000000002</v>
      </c>
      <c r="M5" s="1589">
        <f t="shared" si="0"/>
        <v>142252065.389</v>
      </c>
      <c r="N5" s="1300">
        <f>SUM(N7:N15)</f>
        <v>542194.17233111372</v>
      </c>
      <c r="O5" s="1312">
        <f t="shared" si="0"/>
        <v>158252065.389</v>
      </c>
      <c r="P5" s="1300">
        <f t="shared" si="0"/>
        <v>158794259.56133109</v>
      </c>
      <c r="Q5" s="1300">
        <f t="shared" si="0"/>
        <v>158252065.389</v>
      </c>
      <c r="R5" s="1324">
        <f t="shared" si="0"/>
        <v>1</v>
      </c>
      <c r="S5" s="872"/>
      <c r="T5" s="872"/>
      <c r="U5" s="872"/>
      <c r="V5" s="872"/>
      <c r="W5" s="1400">
        <f ca="1">SUM(W7:W15)</f>
        <v>18043.87558321781</v>
      </c>
    </row>
    <row r="6" spans="1:28" ht="15.9" hidden="1" customHeight="1">
      <c r="A6" s="450"/>
      <c r="B6" s="435"/>
      <c r="C6" s="456"/>
      <c r="D6" s="449"/>
      <c r="E6" s="454"/>
      <c r="F6" s="454"/>
      <c r="G6" s="434"/>
      <c r="H6" s="434"/>
      <c r="I6" s="1304"/>
      <c r="J6" s="1317"/>
      <c r="K6" s="1317"/>
      <c r="L6" s="1588"/>
      <c r="M6" s="1588"/>
      <c r="N6" s="638"/>
      <c r="O6" s="1313"/>
      <c r="P6" s="638"/>
      <c r="Q6" s="1658"/>
      <c r="R6" s="1325"/>
      <c r="S6" s="872"/>
      <c r="T6" s="872"/>
      <c r="U6" s="872"/>
      <c r="V6" s="872"/>
    </row>
    <row r="7" spans="1:28" ht="15.9" customHeight="1">
      <c r="A7" s="2058" t="s">
        <v>27</v>
      </c>
      <c r="B7" s="463" t="s">
        <v>971</v>
      </c>
      <c r="C7" s="461">
        <f t="shared" ref="C7:C15" si="1">SUMIF($A$16:$A$57,B7,$C$16:$C$57)</f>
        <v>366</v>
      </c>
      <c r="D7" s="436">
        <f>IFERROR(O7/(H7*0.3025),0)</f>
        <v>12500</v>
      </c>
      <c r="E7" s="427">
        <f>SUMIF($W$16:$W$57,B7,X16:$X$57)</f>
        <v>31102.68</v>
      </c>
      <c r="F7" s="427">
        <f>SUMIF($W$16:$W$57,B7,$Y16:Y$57)</f>
        <v>9270.7799999999988</v>
      </c>
      <c r="G7" s="427">
        <f>SUMIF($W$16:$W$57,B7,$Z16:Z$57)</f>
        <v>14958.419999999998</v>
      </c>
      <c r="H7" s="427">
        <f>SUMIF($W$16:$W$57,B7,$AA16:AA$58)</f>
        <v>40373.46</v>
      </c>
      <c r="I7" s="427">
        <f ca="1">SUMIF($W$16:$W$57,B7,$AB16:AB$56)</f>
        <v>55331.880000000005</v>
      </c>
      <c r="J7" s="1318"/>
      <c r="K7" s="1318">
        <f t="shared" ref="K7:K15" si="2">SUMPRODUCT(($A$16:$A$57=B7)*(K$16:K$57)*($C$16:$C$57))</f>
        <v>17474.594237589667</v>
      </c>
      <c r="L7" s="1314">
        <f t="shared" ref="L7:L15" si="3">SUMPRODUCT(($A$16:$A$57=B7)*(L$16:L$57)*($C$16:$C$57))</f>
        <v>15832021.959311139</v>
      </c>
      <c r="M7" s="1314">
        <f t="shared" ref="M7:M15" si="4">SUMPRODUCT(($A$16:$A$57=B7)*(M$16:M$57)*($C$16:$C$57))</f>
        <v>136830123.66568887</v>
      </c>
      <c r="N7" s="437">
        <f t="shared" ref="N7:N15" si="5">SUMPRODUCT(($A$16:$A$57=B7)*(N$16:N$57)*($C$16:$C$57))</f>
        <v>0</v>
      </c>
      <c r="O7" s="1314">
        <f t="shared" ref="O7:O15" si="6">SUMPRODUCT(($A$16:$A$57=B7)*(O$16:O$57)*($C$16:$C$57))</f>
        <v>152662145.625</v>
      </c>
      <c r="P7" s="437">
        <f t="shared" ref="P7:P15" si="7">SUMPRODUCT(($A$16:$A$57=B7)*(P$16:P$57)*($C$16:$C$57))</f>
        <v>152662145.625</v>
      </c>
      <c r="Q7" s="1659">
        <f t="shared" ref="Q7:Q15" si="8">SUMPRODUCT(($A$16:$A$57=B7)*(Q$16:Q$57))</f>
        <v>152662145.625</v>
      </c>
      <c r="R7" s="1326">
        <f>O7/$O$5</f>
        <v>0.96467711337441697</v>
      </c>
      <c r="S7" s="872"/>
      <c r="T7" s="872"/>
      <c r="U7" s="872"/>
      <c r="V7" s="872"/>
      <c r="W7">
        <f ca="1">I7/$I$5*총괄장!$C$7</f>
        <v>17555.29997908802</v>
      </c>
    </row>
    <row r="8" spans="1:28" ht="15.9" customHeight="1">
      <c r="A8" s="2059"/>
      <c r="B8" s="464" t="s">
        <v>1079</v>
      </c>
      <c r="C8" s="461">
        <f t="shared" si="1"/>
        <v>0</v>
      </c>
      <c r="D8" s="436">
        <f>IFERROR(O8/(I8*0.3025),0)</f>
        <v>0</v>
      </c>
      <c r="E8" s="427">
        <f>SUMIF($W$16:$W$57,B8,X16:$X$57)</f>
        <v>0</v>
      </c>
      <c r="F8" s="427">
        <f>SUMIF(W16:$W$57,B8,Y16:$Y$57)</f>
        <v>0</v>
      </c>
      <c r="G8" s="428">
        <f>SUMIF($W$16:$W$57,B8,$Z$16:$Z$57)</f>
        <v>0</v>
      </c>
      <c r="H8" s="428">
        <f>SUMIF($W$16:$W$57,B8,$AA$16:$AA$57)</f>
        <v>0</v>
      </c>
      <c r="I8" s="1305">
        <f>SUMIF($W$16:$W$57,B8,$AB$16:$AB$57)</f>
        <v>0</v>
      </c>
      <c r="J8" s="1318"/>
      <c r="K8" s="1318">
        <f t="shared" si="2"/>
        <v>0</v>
      </c>
      <c r="L8" s="1314">
        <f t="shared" si="3"/>
        <v>0</v>
      </c>
      <c r="M8" s="1314">
        <f t="shared" si="4"/>
        <v>0</v>
      </c>
      <c r="N8" s="437">
        <f t="shared" si="5"/>
        <v>0</v>
      </c>
      <c r="O8" s="1314">
        <f t="shared" si="6"/>
        <v>0</v>
      </c>
      <c r="P8" s="437">
        <f t="shared" si="7"/>
        <v>0</v>
      </c>
      <c r="Q8" s="1659">
        <f t="shared" si="8"/>
        <v>0</v>
      </c>
      <c r="R8" s="1326">
        <f t="shared" ref="R8:R15" si="9">O8/$O$5</f>
        <v>0</v>
      </c>
      <c r="S8" s="872"/>
      <c r="T8" s="872"/>
      <c r="U8" s="872"/>
      <c r="V8" s="872"/>
      <c r="W8">
        <f ca="1">I8/$I$5*총괄장!$C$7</f>
        <v>0</v>
      </c>
    </row>
    <row r="9" spans="1:28" ht="15.9" customHeight="1">
      <c r="A9" s="2059"/>
      <c r="B9" s="464" t="s">
        <v>1236</v>
      </c>
      <c r="C9" s="461">
        <f t="shared" si="1"/>
        <v>1</v>
      </c>
      <c r="D9" s="436">
        <f>IFERROR(O9/(I9*0.3025),0)</f>
        <v>12000</v>
      </c>
      <c r="E9" s="427">
        <f>SUMIF($W$16:$W$57,B9,X16:$X$57)</f>
        <v>330</v>
      </c>
      <c r="F9" s="427">
        <f>SUMIF(W16:$W$57,B9,Y16:$Y$57)</f>
        <v>0</v>
      </c>
      <c r="G9" s="428">
        <f>SUMIF($W$16:$W$57,B9,$Z$16:$Z$57)</f>
        <v>0</v>
      </c>
      <c r="H9" s="428">
        <f>SUMIF($W$16:$W$57,B9,$AA$16:$AA$57)</f>
        <v>330</v>
      </c>
      <c r="I9" s="1305">
        <f>SUMIF($W$16:$W$57,B9,$AB$16:$AB$57)</f>
        <v>330</v>
      </c>
      <c r="J9" s="1318"/>
      <c r="K9" s="1318">
        <f t="shared" si="2"/>
        <v>185.40576241033219</v>
      </c>
      <c r="L9" s="1314">
        <f t="shared" si="3"/>
        <v>167978.04068886267</v>
      </c>
      <c r="M9" s="1314">
        <f t="shared" si="4"/>
        <v>1029921.9593111373</v>
      </c>
      <c r="N9" s="437">
        <f t="shared" si="5"/>
        <v>102992.19593111373</v>
      </c>
      <c r="O9" s="1314">
        <f t="shared" si="6"/>
        <v>1197900</v>
      </c>
      <c r="P9" s="437">
        <f t="shared" si="7"/>
        <v>1300892.1959311138</v>
      </c>
      <c r="Q9" s="1659">
        <f t="shared" si="8"/>
        <v>1197900</v>
      </c>
      <c r="R9" s="1326">
        <f t="shared" si="9"/>
        <v>7.5695694527299689E-3</v>
      </c>
      <c r="S9" s="872"/>
      <c r="T9" s="872"/>
      <c r="U9" s="872"/>
      <c r="V9" s="872"/>
      <c r="W9">
        <f ca="1">I9/$I$5*총괄장!$C$7</f>
        <v>104.70002091197782</v>
      </c>
    </row>
    <row r="10" spans="1:28" ht="15.9" customHeight="1">
      <c r="A10" s="2059"/>
      <c r="B10" s="464" t="s">
        <v>1237</v>
      </c>
      <c r="C10" s="461">
        <f t="shared" si="1"/>
        <v>0</v>
      </c>
      <c r="D10" s="436">
        <f t="shared" ref="D10" si="10">IFERROR(O10/(H10*0.3025),0)</f>
        <v>0</v>
      </c>
      <c r="E10" s="427">
        <f>SUMIF($W$16:$W$57,B10,X16:$X$57)</f>
        <v>0</v>
      </c>
      <c r="F10" s="427">
        <f>SUMIF(W16:$W$57,B10,Y16:$Y$57)</f>
        <v>0</v>
      </c>
      <c r="G10" s="428">
        <f>SUMIF($W$16:$W$57,B10,$Z$16:$Z$57)</f>
        <v>0</v>
      </c>
      <c r="H10" s="428">
        <f>SUMIF($W$16:$W$57,B10,$AA$16:$AA$57)</f>
        <v>0</v>
      </c>
      <c r="I10" s="1305">
        <f>SUMIF($W$16:$W$57,B10,$AB$16:$AB$57)</f>
        <v>0</v>
      </c>
      <c r="J10" s="1318"/>
      <c r="K10" s="1318">
        <f t="shared" si="2"/>
        <v>0</v>
      </c>
      <c r="L10" s="1314">
        <f t="shared" si="3"/>
        <v>0</v>
      </c>
      <c r="M10" s="1314">
        <f t="shared" si="4"/>
        <v>0</v>
      </c>
      <c r="N10" s="437">
        <f t="shared" si="5"/>
        <v>0</v>
      </c>
      <c r="O10" s="1314">
        <f t="shared" si="6"/>
        <v>0</v>
      </c>
      <c r="P10" s="437">
        <f t="shared" si="7"/>
        <v>0</v>
      </c>
      <c r="Q10" s="1659">
        <f t="shared" si="8"/>
        <v>0</v>
      </c>
      <c r="R10" s="1326">
        <f t="shared" si="9"/>
        <v>0</v>
      </c>
      <c r="S10" s="872"/>
      <c r="T10" s="872"/>
      <c r="U10" s="872"/>
      <c r="V10" s="872"/>
      <c r="W10">
        <f ca="1">I10/$I$5*총괄장!$C$7</f>
        <v>0</v>
      </c>
    </row>
    <row r="11" spans="1:28" ht="15.9" customHeight="1">
      <c r="A11" s="2059"/>
      <c r="B11" s="464" t="s">
        <v>1618</v>
      </c>
      <c r="C11" s="461">
        <f t="shared" si="1"/>
        <v>0</v>
      </c>
      <c r="D11" s="436">
        <f>IFERROR(O11/(I11*0.3025),0)</f>
        <v>0</v>
      </c>
      <c r="E11" s="427">
        <f>SUMIF($W$16:$W$57,B11,X16:$X$57)</f>
        <v>0</v>
      </c>
      <c r="F11" s="427">
        <f>SUMIF(W16:$W$57,B11,Y16:$Y$57)</f>
        <v>0</v>
      </c>
      <c r="G11" s="428">
        <f>SUMIF($W$16:$W$57,B11,$Z$16:$Z$57)</f>
        <v>0</v>
      </c>
      <c r="H11" s="428">
        <f>SUMIF($W$16:$W$57,B11,$AA$16:$AA$57)</f>
        <v>0</v>
      </c>
      <c r="I11" s="1305">
        <f>SUMIF($W$16:$W$57,B11,$AB$16:$AB$57)</f>
        <v>0</v>
      </c>
      <c r="J11" s="1318"/>
      <c r="K11" s="1318">
        <f t="shared" si="2"/>
        <v>0</v>
      </c>
      <c r="L11" s="1314">
        <f t="shared" si="3"/>
        <v>0</v>
      </c>
      <c r="M11" s="1314">
        <f t="shared" si="4"/>
        <v>0</v>
      </c>
      <c r="N11" s="437">
        <f t="shared" si="5"/>
        <v>0</v>
      </c>
      <c r="O11" s="1314">
        <f t="shared" si="6"/>
        <v>0</v>
      </c>
      <c r="P11" s="437">
        <f t="shared" si="7"/>
        <v>0</v>
      </c>
      <c r="Q11" s="1659">
        <f t="shared" si="8"/>
        <v>0</v>
      </c>
      <c r="R11" s="1326">
        <f t="shared" si="9"/>
        <v>0</v>
      </c>
      <c r="S11" s="872"/>
      <c r="T11" s="872"/>
      <c r="U11" s="872"/>
      <c r="V11" s="872"/>
      <c r="W11">
        <f ca="1">I11/$I$5*총괄장!$C$7</f>
        <v>0</v>
      </c>
    </row>
    <row r="12" spans="1:28" ht="15.9" customHeight="1">
      <c r="A12" s="2059"/>
      <c r="B12" s="464" t="s">
        <v>1469</v>
      </c>
      <c r="C12" s="461">
        <f t="shared" si="1"/>
        <v>0</v>
      </c>
      <c r="D12" s="436">
        <f>IFERROR(O12/(I12*0.3025),0)</f>
        <v>0</v>
      </c>
      <c r="E12" s="427">
        <f>SUMIF($W$16:$W$57,B12,X16:$X$57)</f>
        <v>0</v>
      </c>
      <c r="F12" s="427">
        <f>SUMIF(W17:$W$57,B12,Y17:$Y$57)</f>
        <v>0</v>
      </c>
      <c r="G12" s="428">
        <f>SUMIF($W$16:$W$57,B12,$Z$16:$Z$57)</f>
        <v>0</v>
      </c>
      <c r="H12" s="428">
        <f>SUMIF($W$16:$W$57,B12,$AA$16:$AA$57)</f>
        <v>0</v>
      </c>
      <c r="I12" s="1305">
        <f>SUMIF($W$16:$W$57,B12,$AB$16:$AB$57)</f>
        <v>0</v>
      </c>
      <c r="J12" s="1318"/>
      <c r="K12" s="1318">
        <f t="shared" si="2"/>
        <v>0</v>
      </c>
      <c r="L12" s="1314">
        <f t="shared" si="3"/>
        <v>0</v>
      </c>
      <c r="M12" s="1314">
        <f t="shared" si="4"/>
        <v>0</v>
      </c>
      <c r="N12" s="437">
        <f t="shared" si="5"/>
        <v>0</v>
      </c>
      <c r="O12" s="1314">
        <f t="shared" si="6"/>
        <v>0</v>
      </c>
      <c r="P12" s="437">
        <f t="shared" si="7"/>
        <v>0</v>
      </c>
      <c r="Q12" s="1659">
        <f t="shared" si="8"/>
        <v>0</v>
      </c>
      <c r="R12" s="1326">
        <f>O12/$O$5</f>
        <v>0</v>
      </c>
      <c r="S12" s="872"/>
      <c r="T12" s="872"/>
      <c r="U12" s="872"/>
      <c r="V12" s="872"/>
    </row>
    <row r="13" spans="1:28" ht="15.9" customHeight="1">
      <c r="A13" s="2059"/>
      <c r="B13" s="464" t="s">
        <v>1238</v>
      </c>
      <c r="C13" s="461">
        <f t="shared" si="1"/>
        <v>0</v>
      </c>
      <c r="D13" s="436">
        <f>IFERROR(O13/(I13*0.3025),0)</f>
        <v>0</v>
      </c>
      <c r="E13" s="427">
        <f>SUMIF($W$16:$W$57,B13,X16:$X$57)</f>
        <v>0</v>
      </c>
      <c r="F13" s="427">
        <f>SUMIF(W16:$W$57,B13,Y16:$Y$57)</f>
        <v>0</v>
      </c>
      <c r="G13" s="428">
        <f>SUMIF($W$16:$W$53,B13,Z16:$Z$53)</f>
        <v>0</v>
      </c>
      <c r="H13" s="428">
        <f>SUMIF($W$16:$W$53,B13,$AA$16:$AA$53)</f>
        <v>0</v>
      </c>
      <c r="I13" s="1305">
        <f>SUMIF($W$16:$W$53,B13,AB16:$AB$53)</f>
        <v>0</v>
      </c>
      <c r="J13" s="1318"/>
      <c r="K13" s="1318">
        <f t="shared" si="2"/>
        <v>0</v>
      </c>
      <c r="L13" s="1314">
        <f t="shared" si="3"/>
        <v>0</v>
      </c>
      <c r="M13" s="1314">
        <f t="shared" si="4"/>
        <v>0</v>
      </c>
      <c r="N13" s="437">
        <f t="shared" si="5"/>
        <v>0</v>
      </c>
      <c r="O13" s="1314">
        <f t="shared" si="6"/>
        <v>0</v>
      </c>
      <c r="P13" s="437">
        <f t="shared" si="7"/>
        <v>0</v>
      </c>
      <c r="Q13" s="1659">
        <f t="shared" si="8"/>
        <v>0</v>
      </c>
      <c r="R13" s="1326">
        <f t="shared" si="9"/>
        <v>0</v>
      </c>
      <c r="S13" s="872"/>
      <c r="T13" s="872"/>
      <c r="U13" s="872"/>
      <c r="V13" s="872"/>
      <c r="W13">
        <f ca="1">I13/$I$5*총괄장!$C$7</f>
        <v>0</v>
      </c>
    </row>
    <row r="14" spans="1:28" ht="15.9" customHeight="1">
      <c r="A14" s="2059"/>
      <c r="B14" s="464" t="s">
        <v>1239</v>
      </c>
      <c r="C14" s="461">
        <f t="shared" si="1"/>
        <v>0</v>
      </c>
      <c r="D14" s="436">
        <f>IFERROR(O14/(I14*0.3025),0)</f>
        <v>0</v>
      </c>
      <c r="E14" s="427">
        <f>SUMIF($W$16:$W$57,B14,X16:$X$57)</f>
        <v>0</v>
      </c>
      <c r="F14" s="427">
        <f>SUMIF(W16:$W$57,B14,Y16:$Y$57)</f>
        <v>0</v>
      </c>
      <c r="G14" s="428">
        <f>SUMIF($W$16:$W$53,B14,Z16:$Z$53)</f>
        <v>0</v>
      </c>
      <c r="H14" s="428">
        <f>SUMIF($W$16:$W$53,B14,$AA$16:$AA$53)</f>
        <v>0</v>
      </c>
      <c r="I14" s="1305">
        <f>SUMIF($W$16:$W$53,B14,AB16:$AB$53)</f>
        <v>0</v>
      </c>
      <c r="J14" s="1318"/>
      <c r="K14" s="1318">
        <f t="shared" si="2"/>
        <v>0</v>
      </c>
      <c r="L14" s="1314">
        <f t="shared" si="3"/>
        <v>0</v>
      </c>
      <c r="M14" s="1314">
        <f t="shared" si="4"/>
        <v>0</v>
      </c>
      <c r="N14" s="437">
        <f t="shared" si="5"/>
        <v>0</v>
      </c>
      <c r="O14" s="1314">
        <f t="shared" si="6"/>
        <v>0</v>
      </c>
      <c r="P14" s="437">
        <f t="shared" si="7"/>
        <v>0</v>
      </c>
      <c r="Q14" s="1659">
        <f t="shared" si="8"/>
        <v>0</v>
      </c>
      <c r="R14" s="1326">
        <f t="shared" si="9"/>
        <v>0</v>
      </c>
      <c r="S14" s="872"/>
      <c r="T14" s="1820" t="s">
        <v>1510</v>
      </c>
      <c r="U14" s="872" t="s">
        <v>1509</v>
      </c>
      <c r="V14" s="872"/>
      <c r="W14">
        <f ca="1">I14/$I$5*총괄장!$C$7</f>
        <v>0</v>
      </c>
      <c r="X14" s="2027" t="s">
        <v>958</v>
      </c>
      <c r="Y14" s="2028"/>
      <c r="Z14" s="2028"/>
      <c r="AA14" s="375"/>
      <c r="AB14" s="375"/>
    </row>
    <row r="15" spans="1:28" ht="15.9" customHeight="1">
      <c r="A15" s="2060"/>
      <c r="B15" s="465" t="s">
        <v>1240</v>
      </c>
      <c r="C15" s="462">
        <f t="shared" si="1"/>
        <v>366</v>
      </c>
      <c r="D15" s="438">
        <f>IFERROR(O15/(I15*0.3025),0)</f>
        <v>12000.000000000002</v>
      </c>
      <c r="E15" s="649"/>
      <c r="F15" s="649"/>
      <c r="G15" s="650"/>
      <c r="H15" s="650">
        <f>SUMIF($W$16:$W$53,B15,$AA$16:$AA$53)</f>
        <v>1209.9228000000001</v>
      </c>
      <c r="I15" s="1306">
        <f>SUMIF($W$16:$W$53,B15,AB16:$AB$53)</f>
        <v>1209.9228000000001</v>
      </c>
      <c r="J15" s="1319"/>
      <c r="K15" s="1319">
        <f t="shared" si="2"/>
        <v>0</v>
      </c>
      <c r="L15" s="1314">
        <f t="shared" si="3"/>
        <v>0</v>
      </c>
      <c r="M15" s="1314">
        <f t="shared" si="4"/>
        <v>4392019.7640000004</v>
      </c>
      <c r="N15" s="651">
        <f t="shared" si="5"/>
        <v>439201.97639999999</v>
      </c>
      <c r="O15" s="1315">
        <f t="shared" si="6"/>
        <v>4392019.7640000004</v>
      </c>
      <c r="P15" s="651">
        <f t="shared" si="7"/>
        <v>4831221.7404000005</v>
      </c>
      <c r="Q15" s="1660">
        <f t="shared" si="8"/>
        <v>4392019.7640000004</v>
      </c>
      <c r="R15" s="1327">
        <f t="shared" si="9"/>
        <v>2.7753317172853068E-2</v>
      </c>
      <c r="S15" s="872"/>
      <c r="T15" s="398">
        <f>SUM(T16:T58)</f>
        <v>366</v>
      </c>
      <c r="U15" s="398">
        <f>IF(T15&gt;=100,SUMIF(A16:A57,"오피스텔",U16:U57),0)</f>
        <v>0</v>
      </c>
      <c r="W15">
        <f ca="1">I15/$I$5*총괄장!$C$7</f>
        <v>383.87558321781444</v>
      </c>
      <c r="X15" s="458" t="s">
        <v>962</v>
      </c>
      <c r="Y15" s="640" t="s">
        <v>963</v>
      </c>
      <c r="Z15" s="640" t="s">
        <v>964</v>
      </c>
      <c r="AA15" s="640" t="s">
        <v>965</v>
      </c>
      <c r="AB15" s="640" t="s">
        <v>966</v>
      </c>
    </row>
    <row r="16" spans="1:28" ht="18" customHeight="1">
      <c r="A16" s="2046" t="s">
        <v>1640</v>
      </c>
      <c r="B16" s="2063">
        <v>85</v>
      </c>
      <c r="C16" s="2032">
        <v>366</v>
      </c>
      <c r="D16" s="2052">
        <v>12500</v>
      </c>
      <c r="E16" s="1264">
        <v>84.98</v>
      </c>
      <c r="F16" s="1264">
        <v>25.33</v>
      </c>
      <c r="G16" s="1264">
        <v>40.869999999999997</v>
      </c>
      <c r="H16" s="652">
        <f>SUM(E16,F16)</f>
        <v>110.31</v>
      </c>
      <c r="I16" s="1307">
        <f>SUM(G16,H16)</f>
        <v>151.18</v>
      </c>
      <c r="J16" s="1320">
        <f>IFERROR(IF(OR(A16="공동주택",A16="도시형생활주택"),E16/H16,E16/I16),0)</f>
        <v>0.77037439941981689</v>
      </c>
      <c r="K16" s="1590">
        <f>IF(A16="발코니확장비",0,총괄장!$C$7*(분양개요!E16/분양개요!$E$5))</f>
        <v>47.744792998878872</v>
      </c>
      <c r="L16" s="2055">
        <f>IFERROR(총괄장!$C$8*K16/총괄장!$C$7,0)</f>
        <v>43256.890599210761</v>
      </c>
      <c r="M16" s="2036">
        <f>O16-L16</f>
        <v>373852.79690078925</v>
      </c>
      <c r="N16" s="2045">
        <f>(IF(AND(OR(A16="공동주택",A16="도시형생활주택"),E16&lt;=85),0,M16*10%))</f>
        <v>0</v>
      </c>
      <c r="O16" s="2044">
        <f>IF(OR(A16="공동주택",A16="도시형생활주택"),H17*D16,I17*D16)</f>
        <v>417109.6875</v>
      </c>
      <c r="P16" s="2044">
        <f>O16+N16</f>
        <v>417109.6875</v>
      </c>
      <c r="Q16" s="2050">
        <f>O16*C16</f>
        <v>152662145.625</v>
      </c>
      <c r="R16" s="2041">
        <f>IFERROR(#REF!/#REF!,0)</f>
        <v>0</v>
      </c>
      <c r="S16" s="872"/>
      <c r="T16" s="872">
        <f>IF(AND(A16="오피스텔",40&lt;E16,E16&lt;=85),C16,(IF(A16="공동주택",C16,IF(A16="도시형생활주택",C16,0))))</f>
        <v>366</v>
      </c>
      <c r="U16" s="872">
        <f>IF(T16&gt;0,Q16,0)</f>
        <v>152662145.625</v>
      </c>
      <c r="V16" s="872"/>
      <c r="W16" t="str">
        <f t="shared" ref="W16:W53" si="11" xml:space="preserve"> IFERROR(A16,"")</f>
        <v>공동주택</v>
      </c>
      <c r="X16" s="629">
        <f t="shared" ref="X16:X53" si="12">C16*E16</f>
        <v>31102.68</v>
      </c>
      <c r="Y16" s="629">
        <f t="shared" ref="Y16:Y53" si="13">C16*F16</f>
        <v>9270.7799999999988</v>
      </c>
      <c r="Z16" s="629">
        <f t="shared" ref="Z16:Z53" si="14">C16*G16</f>
        <v>14958.419999999998</v>
      </c>
      <c r="AA16" s="629">
        <f t="shared" ref="AA16:AA53" si="15">C16*H16</f>
        <v>40373.46</v>
      </c>
      <c r="AB16" s="629">
        <f t="shared" ref="AB16:AB53" si="16">C16*I16</f>
        <v>55331.880000000005</v>
      </c>
    </row>
    <row r="17" spans="1:28" ht="18" customHeight="1">
      <c r="A17" s="2019"/>
      <c r="B17" s="2020"/>
      <c r="C17" s="2033"/>
      <c r="D17" s="2022"/>
      <c r="E17" s="1252">
        <f>E16*0.3025</f>
        <v>25.70645</v>
      </c>
      <c r="F17" s="1646">
        <f>F16*0.3025</f>
        <v>7.6623249999999992</v>
      </c>
      <c r="G17" s="1646">
        <f>G16*0.3025</f>
        <v>12.363174999999998</v>
      </c>
      <c r="H17" s="441">
        <f>H16*0.3025</f>
        <v>33.368774999999999</v>
      </c>
      <c r="I17" s="1308">
        <f>I16*0.3025</f>
        <v>45.731949999999998</v>
      </c>
      <c r="J17" s="1321">
        <f>IFERROR(IF(OR(A16="공동주택",A17="도시형생활주택"),E17/H17,E17/I17),0)</f>
        <v>0.77037439941981689</v>
      </c>
      <c r="K17" s="1649">
        <f>K16*0.3025</f>
        <v>14.442799882160859</v>
      </c>
      <c r="L17" s="2023"/>
      <c r="M17" s="2024"/>
      <c r="N17" s="2025"/>
      <c r="O17" s="2026"/>
      <c r="P17" s="2026"/>
      <c r="Q17" s="2051"/>
      <c r="R17" s="2017"/>
      <c r="S17" s="872"/>
      <c r="T17" s="872"/>
      <c r="U17" s="872"/>
      <c r="V17" s="872"/>
      <c r="W17">
        <f t="shared" si="11"/>
        <v>0</v>
      </c>
      <c r="X17" s="629">
        <f t="shared" si="12"/>
        <v>0</v>
      </c>
      <c r="Y17" s="629">
        <f t="shared" si="13"/>
        <v>0</v>
      </c>
      <c r="Z17" s="629">
        <f t="shared" si="14"/>
        <v>0</v>
      </c>
      <c r="AA17" s="629">
        <f t="shared" si="15"/>
        <v>0</v>
      </c>
      <c r="AB17" s="629">
        <f t="shared" si="16"/>
        <v>0</v>
      </c>
    </row>
    <row r="18" spans="1:28" ht="18" customHeight="1">
      <c r="A18" s="2029"/>
      <c r="B18" s="2020"/>
      <c r="C18" s="2032"/>
      <c r="D18" s="2022"/>
      <c r="E18" s="1647"/>
      <c r="F18" s="1266"/>
      <c r="G18" s="1266"/>
      <c r="H18" s="439">
        <f>SUM(E18,F18)</f>
        <v>0</v>
      </c>
      <c r="I18" s="1309">
        <f>SUM(G18,H18)</f>
        <v>0</v>
      </c>
      <c r="J18" s="1322">
        <f>IFERROR(IF(OR(A18="공동주택",A18="도시형생활주택"),E18/H18,E18/I18),0)</f>
        <v>0</v>
      </c>
      <c r="K18" s="1652">
        <f>IF(A18="발코니확장비",0,총괄장!$C$7*(분양개요!E18/분양개요!$E$5))</f>
        <v>0</v>
      </c>
      <c r="L18" s="2023">
        <f>IFERROR(총괄장!$C$8*K18/총괄장!$C$7,0)</f>
        <v>0</v>
      </c>
      <c r="M18" s="2024">
        <f>O18-L18</f>
        <v>0</v>
      </c>
      <c r="N18" s="2025">
        <f>(IF(AND(OR(A18="공동주택",A18="도시형생활주택"),E18&lt;=85),0,M18*10%))</f>
        <v>0</v>
      </c>
      <c r="O18" s="2026">
        <f>IF(OR(A18="공동주택",A18="도시형생활주택"),H19*D18,I19*D18)</f>
        <v>0</v>
      </c>
      <c r="P18" s="2026">
        <f>N18+O18</f>
        <v>0</v>
      </c>
      <c r="Q18" s="2015">
        <f t="shared" ref="Q18" si="17">O18*C18</f>
        <v>0</v>
      </c>
      <c r="R18" s="2017">
        <f>IFERROR(#REF!/#REF!,0)</f>
        <v>0</v>
      </c>
      <c r="S18" s="872"/>
      <c r="T18" s="872">
        <f>IF(AND(A18="오피스텔",40&lt;E18,E18&lt;=85),C18,(IF(A18="공동주택",C18,IF(A18="도시형생활주택",C18,0))))</f>
        <v>0</v>
      </c>
      <c r="U18" s="872">
        <f>IF(T18&gt;0,Q18,0)</f>
        <v>0</v>
      </c>
      <c r="V18" s="872"/>
      <c r="W18">
        <f t="shared" si="11"/>
        <v>0</v>
      </c>
      <c r="X18" s="629">
        <f t="shared" si="12"/>
        <v>0</v>
      </c>
      <c r="Y18" s="629">
        <f t="shared" si="13"/>
        <v>0</v>
      </c>
      <c r="Z18" s="629">
        <f t="shared" si="14"/>
        <v>0</v>
      </c>
      <c r="AA18" s="629">
        <f t="shared" si="15"/>
        <v>0</v>
      </c>
      <c r="AB18" s="629">
        <f t="shared" si="16"/>
        <v>0</v>
      </c>
    </row>
    <row r="19" spans="1:28" ht="18" customHeight="1">
      <c r="A19" s="2018"/>
      <c r="B19" s="2020"/>
      <c r="C19" s="2033"/>
      <c r="D19" s="2022"/>
      <c r="E19" s="1646">
        <f>E18*0.3025</f>
        <v>0</v>
      </c>
      <c r="F19" s="1646">
        <f>F18*0.3025</f>
        <v>0</v>
      </c>
      <c r="G19" s="1646">
        <f>G18*0.3025</f>
        <v>0</v>
      </c>
      <c r="H19" s="441">
        <f>H18*0.3025</f>
        <v>0</v>
      </c>
      <c r="I19" s="1308">
        <f>I18*0.3025</f>
        <v>0</v>
      </c>
      <c r="J19" s="1321">
        <f>IFERROR(IF(OR(A18="공동주택",A19="도시형생활주택"),E19/H19,E19/I19),0)</f>
        <v>0</v>
      </c>
      <c r="K19" s="1591">
        <f>K18*0.3025</f>
        <v>0</v>
      </c>
      <c r="L19" s="2023"/>
      <c r="M19" s="2024"/>
      <c r="N19" s="2025"/>
      <c r="O19" s="2026"/>
      <c r="P19" s="2026"/>
      <c r="Q19" s="2016"/>
      <c r="R19" s="2017"/>
      <c r="S19" s="872"/>
      <c r="T19" s="872"/>
      <c r="U19" s="872"/>
      <c r="V19" s="872"/>
      <c r="W19">
        <f t="shared" si="11"/>
        <v>0</v>
      </c>
      <c r="X19" s="629">
        <f t="shared" si="12"/>
        <v>0</v>
      </c>
      <c r="Y19" s="629">
        <f t="shared" si="13"/>
        <v>0</v>
      </c>
      <c r="Z19" s="629">
        <f t="shared" si="14"/>
        <v>0</v>
      </c>
      <c r="AA19" s="629">
        <f t="shared" si="15"/>
        <v>0</v>
      </c>
      <c r="AB19" s="629">
        <f t="shared" si="16"/>
        <v>0</v>
      </c>
    </row>
    <row r="20" spans="1:28" ht="18" customHeight="1">
      <c r="A20" s="2029" t="s">
        <v>1292</v>
      </c>
      <c r="B20" s="2020" t="s">
        <v>1645</v>
      </c>
      <c r="C20" s="2032">
        <v>1</v>
      </c>
      <c r="D20" s="2022">
        <v>12000</v>
      </c>
      <c r="E20" s="1647">
        <v>330</v>
      </c>
      <c r="F20" s="1266"/>
      <c r="G20" s="1266"/>
      <c r="H20" s="439">
        <f>SUM(E20,F20)</f>
        <v>330</v>
      </c>
      <c r="I20" s="1309">
        <f>SUM(G20,H20)</f>
        <v>330</v>
      </c>
      <c r="J20" s="1322">
        <f>IFERROR(IF(OR(A20="공동주택",A20="도시형생활주택"),E20/H20,E20/I20),0)</f>
        <v>1</v>
      </c>
      <c r="K20" s="1650">
        <f>IF(A20="발코니확장비",0,총괄장!$C$7*(분양개요!E20/분양개요!$E$5))</f>
        <v>185.40576241033219</v>
      </c>
      <c r="L20" s="2023">
        <f>IFERROR(총괄장!$C$8*K20/총괄장!$C$7,0)</f>
        <v>167978.04068886267</v>
      </c>
      <c r="M20" s="2024">
        <f>O20-L20</f>
        <v>1029921.9593111373</v>
      </c>
      <c r="N20" s="2025">
        <f>(IF(AND(OR(A20="공동주택",A20="도시형생활주택"),E20&lt;=85),0,M20*10%))</f>
        <v>102992.19593111373</v>
      </c>
      <c r="O20" s="2026">
        <f>IF(OR(A20="공동주택",A20="도시형생활주택"),H21*D20,I21*D20)</f>
        <v>1197900</v>
      </c>
      <c r="P20" s="2026">
        <f>N20+O20</f>
        <v>1300892.1959311138</v>
      </c>
      <c r="Q20" s="2015">
        <f t="shared" ref="Q20" si="18">O20*C20</f>
        <v>1197900</v>
      </c>
      <c r="R20" s="2037">
        <f>IFERROR(#REF!/#REF!,0)</f>
        <v>0</v>
      </c>
      <c r="S20" s="872"/>
      <c r="T20" s="872">
        <f>IF(AND(A20="오피스텔",40&lt;E20,E20&lt;=85),C20,(IF(A20="공동주택",C20,IF(A20="도시형생활주택",C20,0))))</f>
        <v>0</v>
      </c>
      <c r="U20" s="872">
        <f>IF(T20&gt;0,Q20,0)</f>
        <v>0</v>
      </c>
      <c r="V20" s="872"/>
      <c r="W20" t="str">
        <f t="shared" si="11"/>
        <v>근린생활시설</v>
      </c>
      <c r="X20" s="629">
        <f t="shared" si="12"/>
        <v>330</v>
      </c>
      <c r="Y20" s="629">
        <f t="shared" si="13"/>
        <v>0</v>
      </c>
      <c r="Z20" s="629">
        <f t="shared" si="14"/>
        <v>0</v>
      </c>
      <c r="AA20" s="629">
        <f t="shared" si="15"/>
        <v>330</v>
      </c>
      <c r="AB20" s="629">
        <f t="shared" si="16"/>
        <v>330</v>
      </c>
    </row>
    <row r="21" spans="1:28" ht="18" customHeight="1">
      <c r="A21" s="2018"/>
      <c r="B21" s="2020"/>
      <c r="C21" s="2033"/>
      <c r="D21" s="2022"/>
      <c r="E21" s="1252">
        <f>E20*0.3025</f>
        <v>99.825000000000003</v>
      </c>
      <c r="F21" s="1646">
        <f>F20*0.3025</f>
        <v>0</v>
      </c>
      <c r="G21" s="1646">
        <f>G20*0.3025</f>
        <v>0</v>
      </c>
      <c r="H21" s="441">
        <f>H20*0.3025</f>
        <v>99.825000000000003</v>
      </c>
      <c r="I21" s="1308">
        <f>I20*0.3025</f>
        <v>99.825000000000003</v>
      </c>
      <c r="J21" s="1321">
        <f>IFERROR(IF(OR(A20="공동주택",A21="도시형생활주택"),E21/H21,E21/I21),0)</f>
        <v>1</v>
      </c>
      <c r="K21" s="1649">
        <f>K20*0.3025</f>
        <v>56.085243129125487</v>
      </c>
      <c r="L21" s="2023"/>
      <c r="M21" s="2024"/>
      <c r="N21" s="2025"/>
      <c r="O21" s="2026"/>
      <c r="P21" s="2026"/>
      <c r="Q21" s="2016"/>
      <c r="R21" s="2038"/>
      <c r="S21" s="872"/>
      <c r="T21" s="872"/>
      <c r="U21" s="872"/>
      <c r="V21" s="872"/>
      <c r="W21">
        <f t="shared" si="11"/>
        <v>0</v>
      </c>
      <c r="X21" s="629">
        <f t="shared" si="12"/>
        <v>0</v>
      </c>
      <c r="Y21" s="629">
        <f t="shared" si="13"/>
        <v>0</v>
      </c>
      <c r="Z21" s="629">
        <f t="shared" si="14"/>
        <v>0</v>
      </c>
      <c r="AA21" s="629">
        <f t="shared" si="15"/>
        <v>0</v>
      </c>
      <c r="AB21" s="629">
        <f t="shared" si="16"/>
        <v>0</v>
      </c>
    </row>
    <row r="22" spans="1:28" ht="18" customHeight="1">
      <c r="A22" s="2029"/>
      <c r="B22" s="2020"/>
      <c r="C22" s="2032"/>
      <c r="D22" s="2022"/>
      <c r="E22" s="1647"/>
      <c r="F22" s="1266"/>
      <c r="G22" s="1266"/>
      <c r="H22" s="439">
        <f>SUM(E22,F22)</f>
        <v>0</v>
      </c>
      <c r="I22" s="1309">
        <f>SUM(G22,H22)</f>
        <v>0</v>
      </c>
      <c r="J22" s="1322">
        <f>IFERROR(IF(OR(A22="공동주택",A22="도시형생활주택"),E22/H22,E22/I22),0)</f>
        <v>0</v>
      </c>
      <c r="K22" s="1652">
        <f>IF(A22="발코니확장비",0,총괄장!$C$7*(분양개요!E22/분양개요!$E$5))</f>
        <v>0</v>
      </c>
      <c r="L22" s="2023">
        <f>IFERROR(총괄장!$C$8*K22/총괄장!$C$7,0)</f>
        <v>0</v>
      </c>
      <c r="M22" s="2024">
        <f>O22-L22</f>
        <v>0</v>
      </c>
      <c r="N22" s="2025">
        <f>(IF(AND(OR(A22="공동주택",A22="도시형생활주택"),E22&lt;=85),0,M22*10%))</f>
        <v>0</v>
      </c>
      <c r="O22" s="2026">
        <f>IF(OR(A22="공동주택",A22="도시형생활주택"),H23*D22,I23*D22)</f>
        <v>0</v>
      </c>
      <c r="P22" s="2026">
        <f>N22+O22</f>
        <v>0</v>
      </c>
      <c r="Q22" s="2015">
        <f t="shared" ref="Q22" si="19">O22*C22</f>
        <v>0</v>
      </c>
      <c r="R22" s="2017">
        <f>IFERROR(#REF!/#REF!,0)</f>
        <v>0</v>
      </c>
      <c r="S22" s="872"/>
      <c r="T22" s="872">
        <f>IF(AND(A22="오피스텔",40&lt;E22,E22&lt;=85),C22,(IF(A22="공동주택",C22,IF(A22="도시형생활주택",C22,0))))</f>
        <v>0</v>
      </c>
      <c r="U22" s="872">
        <f>IF(T22&gt;0,Q22,0)</f>
        <v>0</v>
      </c>
      <c r="V22" s="872"/>
      <c r="W22">
        <f t="shared" si="11"/>
        <v>0</v>
      </c>
      <c r="X22" s="629">
        <f t="shared" si="12"/>
        <v>0</v>
      </c>
      <c r="Y22" s="629">
        <f t="shared" si="13"/>
        <v>0</v>
      </c>
      <c r="Z22" s="629">
        <f t="shared" si="14"/>
        <v>0</v>
      </c>
      <c r="AA22" s="629">
        <f t="shared" si="15"/>
        <v>0</v>
      </c>
      <c r="AB22" s="629">
        <f t="shared" si="16"/>
        <v>0</v>
      </c>
    </row>
    <row r="23" spans="1:28" ht="18" customHeight="1">
      <c r="A23" s="2018"/>
      <c r="B23" s="2020"/>
      <c r="C23" s="2033"/>
      <c r="D23" s="2022"/>
      <c r="E23" s="1648">
        <f>E22*0.3025</f>
        <v>0</v>
      </c>
      <c r="F23" s="441">
        <f>F22*0.3025</f>
        <v>0</v>
      </c>
      <c r="G23" s="441">
        <f>G22*0.3025</f>
        <v>0</v>
      </c>
      <c r="H23" s="441">
        <f>H22*0.3025</f>
        <v>0</v>
      </c>
      <c r="I23" s="1308">
        <f>I22*0.3025</f>
        <v>0</v>
      </c>
      <c r="J23" s="1321">
        <f>IFERROR(IF(OR(A22="공동주택",A23="도시형생활주택"),E23/H23,E23/I23),0)</f>
        <v>0</v>
      </c>
      <c r="K23" s="1591">
        <f>K22*0.3025</f>
        <v>0</v>
      </c>
      <c r="L23" s="2023"/>
      <c r="M23" s="2024"/>
      <c r="N23" s="2025"/>
      <c r="O23" s="2026"/>
      <c r="P23" s="2026"/>
      <c r="Q23" s="2016"/>
      <c r="R23" s="2017"/>
      <c r="S23" s="872"/>
      <c r="T23" s="872"/>
      <c r="U23" s="872"/>
      <c r="V23" s="872"/>
      <c r="W23">
        <f t="shared" si="11"/>
        <v>0</v>
      </c>
      <c r="X23" s="629">
        <f t="shared" si="12"/>
        <v>0</v>
      </c>
      <c r="Y23" s="629">
        <f t="shared" si="13"/>
        <v>0</v>
      </c>
      <c r="Z23" s="629">
        <f t="shared" si="14"/>
        <v>0</v>
      </c>
      <c r="AA23" s="629">
        <f t="shared" si="15"/>
        <v>0</v>
      </c>
      <c r="AB23" s="629">
        <f t="shared" si="16"/>
        <v>0</v>
      </c>
    </row>
    <row r="24" spans="1:28" ht="18" customHeight="1">
      <c r="A24" s="2029" t="s">
        <v>1646</v>
      </c>
      <c r="B24" s="2020">
        <v>85</v>
      </c>
      <c r="C24" s="2032">
        <f>C16</f>
        <v>366</v>
      </c>
      <c r="D24" s="2022">
        <v>12000</v>
      </c>
      <c r="E24" s="1647">
        <v>3.3058000000000001</v>
      </c>
      <c r="F24" s="1266"/>
      <c r="G24" s="1266"/>
      <c r="H24" s="439">
        <f>SUM(E24,F24)</f>
        <v>3.3058000000000001</v>
      </c>
      <c r="I24" s="1309">
        <f>SUM(G24,H24)</f>
        <v>3.3058000000000001</v>
      </c>
      <c r="J24" s="1322">
        <f>IFERROR(IF(OR(A24="공동주택",A24="도시형생활주택"),E24/H24,E24/I24),0)</f>
        <v>1</v>
      </c>
      <c r="K24" s="1650">
        <f>IF(A24="발코니확장비",0,총괄장!$C$7*(분양개요!E24/분양개요!$E$5))</f>
        <v>0</v>
      </c>
      <c r="L24" s="2023">
        <f>IFERROR(총괄장!$C$8*K24/총괄장!$C$7,0)</f>
        <v>0</v>
      </c>
      <c r="M24" s="2024">
        <f>O24-L24</f>
        <v>12000.054</v>
      </c>
      <c r="N24" s="2025">
        <f>(IF(AND(OR(A24="공동주택",A24="도시형생활주택"),E24&lt;=85),0,M24*10%))</f>
        <v>1200.0054</v>
      </c>
      <c r="O24" s="2026">
        <f>IF(OR(A24="공동주택",A24="도시형생활주택"),H25*D24,I25*D24)</f>
        <v>12000.054</v>
      </c>
      <c r="P24" s="2026">
        <f>N24+O24</f>
        <v>13200.0594</v>
      </c>
      <c r="Q24" s="2015">
        <f t="shared" ref="Q24" si="20">O24*C24</f>
        <v>4392019.7640000004</v>
      </c>
      <c r="R24" s="2017">
        <f>IFERROR(#REF!/#REF!,0)</f>
        <v>0</v>
      </c>
      <c r="S24" s="872"/>
      <c r="T24" s="872">
        <f>IF(AND(A24="오피스텔",40&lt;E24,E24&lt;=85),C24,(IF(A24="공동주택",C24,IF(A24="도시형생활주택",C24,0))))</f>
        <v>0</v>
      </c>
      <c r="U24" s="872">
        <f>IF(T24&gt;0,Q24,0)</f>
        <v>0</v>
      </c>
      <c r="V24" s="872"/>
      <c r="W24" t="str">
        <f t="shared" si="11"/>
        <v>발코니확장비</v>
      </c>
      <c r="X24" s="629">
        <f t="shared" si="12"/>
        <v>1209.9228000000001</v>
      </c>
      <c r="Y24" s="629">
        <f t="shared" si="13"/>
        <v>0</v>
      </c>
      <c r="Z24" s="629">
        <f t="shared" si="14"/>
        <v>0</v>
      </c>
      <c r="AA24" s="629">
        <f t="shared" si="15"/>
        <v>1209.9228000000001</v>
      </c>
      <c r="AB24" s="629">
        <f t="shared" si="16"/>
        <v>1209.9228000000001</v>
      </c>
    </row>
    <row r="25" spans="1:28" ht="18" customHeight="1">
      <c r="A25" s="2018"/>
      <c r="B25" s="2020"/>
      <c r="C25" s="2033"/>
      <c r="D25" s="2022"/>
      <c r="E25" s="1252">
        <f>E24*0.3025</f>
        <v>1.0000045</v>
      </c>
      <c r="F25" s="1646">
        <f>F24*0.3025</f>
        <v>0</v>
      </c>
      <c r="G25" s="1646">
        <f>G24*0.3025</f>
        <v>0</v>
      </c>
      <c r="H25" s="441">
        <f>H24*0.3025</f>
        <v>1.0000045</v>
      </c>
      <c r="I25" s="1308">
        <f>I24*0.3025</f>
        <v>1.0000045</v>
      </c>
      <c r="J25" s="1321">
        <f>IFERROR(IF(OR(A24="공동주택",A25="도시형생활주택"),E25/H25,E25/I25),0)</f>
        <v>1</v>
      </c>
      <c r="K25" s="1649">
        <f>K24*0.3025</f>
        <v>0</v>
      </c>
      <c r="L25" s="2023"/>
      <c r="M25" s="2024"/>
      <c r="N25" s="2025"/>
      <c r="O25" s="2026"/>
      <c r="P25" s="2026"/>
      <c r="Q25" s="2016"/>
      <c r="R25" s="2017"/>
      <c r="S25" s="872"/>
      <c r="T25" s="872"/>
      <c r="U25" s="872"/>
      <c r="V25" s="872"/>
      <c r="W25">
        <f t="shared" si="11"/>
        <v>0</v>
      </c>
      <c r="X25" s="629">
        <f t="shared" si="12"/>
        <v>0</v>
      </c>
      <c r="Y25" s="629">
        <f t="shared" si="13"/>
        <v>0</v>
      </c>
      <c r="Z25" s="629">
        <f t="shared" si="14"/>
        <v>0</v>
      </c>
      <c r="AA25" s="629">
        <f t="shared" si="15"/>
        <v>0</v>
      </c>
      <c r="AB25" s="629">
        <f t="shared" si="16"/>
        <v>0</v>
      </c>
    </row>
    <row r="26" spans="1:28" ht="18" customHeight="1">
      <c r="A26" s="2029"/>
      <c r="B26" s="2020"/>
      <c r="C26" s="2032"/>
      <c r="D26" s="2022"/>
      <c r="E26" s="1647"/>
      <c r="F26" s="1266"/>
      <c r="G26" s="1266"/>
      <c r="H26" s="439">
        <f>SUM(E26,F26)</f>
        <v>0</v>
      </c>
      <c r="I26" s="439">
        <f>SUM(G26,H26)</f>
        <v>0</v>
      </c>
      <c r="J26" s="1322">
        <f>IFERROR(IF(OR(A26="공동주택",A26="도시형생활주택"),E26/H26,E26/I26),0)</f>
        <v>0</v>
      </c>
      <c r="K26" s="1652">
        <f>IF(A26="발코니확장비",0,총괄장!$C$7*(분양개요!E26/분양개요!$E$5))</f>
        <v>0</v>
      </c>
      <c r="L26" s="2023">
        <f>IFERROR(총괄장!$C$8*K26/총괄장!$C$7,0)</f>
        <v>0</v>
      </c>
      <c r="M26" s="2024">
        <f>O26-L26</f>
        <v>0</v>
      </c>
      <c r="N26" s="2025">
        <f>(IF(AND(OR(A26="공동주택",A26="도시형생활주택"),E26&lt;=85),0,M26*10%))</f>
        <v>0</v>
      </c>
      <c r="O26" s="2026">
        <f>IF(OR(A26="공동주택",A26="도시형생활주택"),H27*D26,I27*D26)</f>
        <v>0</v>
      </c>
      <c r="P26" s="2026">
        <f>N26+O26</f>
        <v>0</v>
      </c>
      <c r="Q26" s="2015">
        <f t="shared" ref="Q26" si="21">O26*C26</f>
        <v>0</v>
      </c>
      <c r="R26" s="2017">
        <f>IFERROR(#REF!/#REF!,0)</f>
        <v>0</v>
      </c>
      <c r="S26" s="872"/>
      <c r="T26" s="872">
        <f>IF(AND(A26="오피스텔",40&lt;E26,E26&lt;=85),C26,(IF(A26="공동주택",C26,IF(A26="도시형생활주택",C26,0))))</f>
        <v>0</v>
      </c>
      <c r="U26" s="872">
        <f>IF(T26&gt;0,Q26,0)</f>
        <v>0</v>
      </c>
      <c r="V26" s="872"/>
      <c r="W26">
        <f t="shared" si="11"/>
        <v>0</v>
      </c>
      <c r="X26" s="629">
        <f t="shared" si="12"/>
        <v>0</v>
      </c>
      <c r="Y26" s="629">
        <f t="shared" si="13"/>
        <v>0</v>
      </c>
      <c r="Z26" s="629">
        <f t="shared" si="14"/>
        <v>0</v>
      </c>
      <c r="AA26" s="629">
        <f t="shared" si="15"/>
        <v>0</v>
      </c>
      <c r="AB26" s="629">
        <f t="shared" si="16"/>
        <v>0</v>
      </c>
    </row>
    <row r="27" spans="1:28" ht="18" customHeight="1">
      <c r="A27" s="2018"/>
      <c r="B27" s="2020"/>
      <c r="C27" s="2033"/>
      <c r="D27" s="2022"/>
      <c r="E27" s="1648">
        <f>E26*0.3025</f>
        <v>0</v>
      </c>
      <c r="F27" s="440">
        <f>F26*0.3025</f>
        <v>0</v>
      </c>
      <c r="G27" s="440">
        <f>G26*0.3025</f>
        <v>0</v>
      </c>
      <c r="H27" s="441">
        <f>H26*0.3025</f>
        <v>0</v>
      </c>
      <c r="I27" s="1308">
        <f>I26*0.3025</f>
        <v>0</v>
      </c>
      <c r="J27" s="1321">
        <f>IFERROR(IF(OR(A26="공동주택",A27="도시형생활주택"),E27/H27,E27/I27),0)</f>
        <v>0</v>
      </c>
      <c r="K27" s="1591">
        <f>K26*0.3025</f>
        <v>0</v>
      </c>
      <c r="L27" s="2023"/>
      <c r="M27" s="2024"/>
      <c r="N27" s="2025"/>
      <c r="O27" s="2026"/>
      <c r="P27" s="2026"/>
      <c r="Q27" s="2016"/>
      <c r="R27" s="2017"/>
      <c r="S27" s="872"/>
      <c r="T27" s="872"/>
      <c r="U27" s="872"/>
      <c r="V27" s="872"/>
      <c r="W27">
        <f t="shared" si="11"/>
        <v>0</v>
      </c>
      <c r="X27" s="629">
        <f t="shared" si="12"/>
        <v>0</v>
      </c>
      <c r="Y27" s="629">
        <f t="shared" si="13"/>
        <v>0</v>
      </c>
      <c r="Z27" s="629">
        <f t="shared" si="14"/>
        <v>0</v>
      </c>
      <c r="AA27" s="629">
        <f t="shared" si="15"/>
        <v>0</v>
      </c>
      <c r="AB27" s="629">
        <f t="shared" si="16"/>
        <v>0</v>
      </c>
    </row>
    <row r="28" spans="1:28" ht="18" customHeight="1">
      <c r="A28" s="2029"/>
      <c r="B28" s="2020"/>
      <c r="C28" s="2032"/>
      <c r="D28" s="2022"/>
      <c r="E28" s="1647"/>
      <c r="F28" s="1266"/>
      <c r="G28" s="1266"/>
      <c r="H28" s="439">
        <f>SUM(E28,F28)</f>
        <v>0</v>
      </c>
      <c r="I28" s="439">
        <f>SUM(G28,H28)</f>
        <v>0</v>
      </c>
      <c r="J28" s="1322">
        <f>IFERROR(IF(OR(A28="공동주택",A28="도시형생활주택"),E28/H28,E28/I28),0)</f>
        <v>0</v>
      </c>
      <c r="K28" s="1650">
        <f>IF(A28="발코니확장비",0,총괄장!$C$7*(분양개요!E28/분양개요!$E$5))</f>
        <v>0</v>
      </c>
      <c r="L28" s="2023">
        <f>IFERROR(총괄장!$C$8*K28/총괄장!$C$7,0)</f>
        <v>0</v>
      </c>
      <c r="M28" s="2024">
        <f>O28-L28</f>
        <v>0</v>
      </c>
      <c r="N28" s="2025">
        <f>(IF(AND(OR(A28="공동주택",A28="도시형생활주택"),E28&lt;=85),0,M28*10%))</f>
        <v>0</v>
      </c>
      <c r="O28" s="2026">
        <f>IF(OR(A28="공동주택",A28="도시형생활주택"),H29*D28,I29*D28)</f>
        <v>0</v>
      </c>
      <c r="P28" s="2026">
        <f>N28+O28</f>
        <v>0</v>
      </c>
      <c r="Q28" s="2015">
        <f t="shared" ref="Q28" si="22">O28*C28</f>
        <v>0</v>
      </c>
      <c r="R28" s="2017">
        <f>IFERROR(#REF!/#REF!,0)</f>
        <v>0</v>
      </c>
      <c r="S28" s="872"/>
      <c r="T28" s="872">
        <f>IF(AND(A28="오피스텔",40&lt;E28,E28&lt;=85),C28,(IF(A28="공동주택",C28,IF(A28="도시형생활주택",C28,0))))</f>
        <v>0</v>
      </c>
      <c r="U28" s="872">
        <f>IF(T28&gt;0,Q28,0)</f>
        <v>0</v>
      </c>
      <c r="V28" s="872"/>
      <c r="W28">
        <f t="shared" si="11"/>
        <v>0</v>
      </c>
      <c r="X28" s="629">
        <f t="shared" si="12"/>
        <v>0</v>
      </c>
      <c r="Y28" s="629">
        <f t="shared" si="13"/>
        <v>0</v>
      </c>
      <c r="Z28" s="629">
        <f t="shared" si="14"/>
        <v>0</v>
      </c>
      <c r="AA28" s="629">
        <f t="shared" si="15"/>
        <v>0</v>
      </c>
      <c r="AB28" s="629">
        <f t="shared" si="16"/>
        <v>0</v>
      </c>
    </row>
    <row r="29" spans="1:28" ht="18" customHeight="1">
      <c r="A29" s="2018"/>
      <c r="B29" s="2020"/>
      <c r="C29" s="2033"/>
      <c r="D29" s="2022"/>
      <c r="E29" s="1251">
        <f>E28*0.3025</f>
        <v>0</v>
      </c>
      <c r="F29" s="1261">
        <f>F28*0.3025</f>
        <v>0</v>
      </c>
      <c r="G29" s="1261">
        <f>G28*0.3025</f>
        <v>0</v>
      </c>
      <c r="H29" s="441">
        <f>H28*0.3025</f>
        <v>0</v>
      </c>
      <c r="I29" s="1308">
        <f>I28*0.3025</f>
        <v>0</v>
      </c>
      <c r="J29" s="1321">
        <f>IFERROR(IF(OR(A28="공동주택",A29="도시형생활주택"),E29/H29,E29/I29),0)</f>
        <v>0</v>
      </c>
      <c r="K29" s="1649">
        <f>K28*0.3025</f>
        <v>0</v>
      </c>
      <c r="L29" s="2023"/>
      <c r="M29" s="2024"/>
      <c r="N29" s="2025"/>
      <c r="O29" s="2026"/>
      <c r="P29" s="2026"/>
      <c r="Q29" s="2016"/>
      <c r="R29" s="2017"/>
      <c r="S29" s="872"/>
      <c r="T29" s="872"/>
      <c r="U29" s="872"/>
      <c r="V29" s="872"/>
      <c r="W29">
        <f t="shared" si="11"/>
        <v>0</v>
      </c>
      <c r="X29" s="629">
        <f t="shared" si="12"/>
        <v>0</v>
      </c>
      <c r="Y29" s="629">
        <f t="shared" si="13"/>
        <v>0</v>
      </c>
      <c r="Z29" s="629">
        <f t="shared" si="14"/>
        <v>0</v>
      </c>
      <c r="AA29" s="629">
        <f t="shared" si="15"/>
        <v>0</v>
      </c>
      <c r="AB29" s="629">
        <f t="shared" si="16"/>
        <v>0</v>
      </c>
    </row>
    <row r="30" spans="1:28" ht="18" customHeight="1">
      <c r="A30" s="2029"/>
      <c r="B30" s="2030"/>
      <c r="C30" s="2032"/>
      <c r="D30" s="2022"/>
      <c r="E30" s="1647"/>
      <c r="F30" s="1266"/>
      <c r="G30" s="1266"/>
      <c r="H30" s="439">
        <f>SUM(E30,F30)</f>
        <v>0</v>
      </c>
      <c r="I30" s="1309">
        <f>SUM(G30,H30)</f>
        <v>0</v>
      </c>
      <c r="J30" s="1322">
        <f>IFERROR(IF(OR(A30="공동주택",A30="도시형생활주택"),E30/H30,E30/I30),0)</f>
        <v>0</v>
      </c>
      <c r="K30" s="1652">
        <f>IF(A30="발코니확장비",0,총괄장!$C$7*(분양개요!E30/분양개요!$E$5))</f>
        <v>0</v>
      </c>
      <c r="L30" s="2023">
        <f>IFERROR(총괄장!$C$8*K30/총괄장!$C$7,0)</f>
        <v>0</v>
      </c>
      <c r="M30" s="2024">
        <f>O30-L30</f>
        <v>0</v>
      </c>
      <c r="N30" s="2025">
        <f>(IF(AND(OR(A30="공동주택",A30="도시형생활주택"),E30&lt;=85),0,M30*10%))</f>
        <v>0</v>
      </c>
      <c r="O30" s="2026">
        <f>IF(OR(A30="공동주택",A30="도시형생활주택"),H31*D30,I31*D30)</f>
        <v>0</v>
      </c>
      <c r="P30" s="2026">
        <f>N30+O30</f>
        <v>0</v>
      </c>
      <c r="Q30" s="2015">
        <f t="shared" ref="Q30" si="23">O30*C30</f>
        <v>0</v>
      </c>
      <c r="R30" s="2017">
        <f>IFERROR(#REF!/#REF!,0)</f>
        <v>0</v>
      </c>
      <c r="S30" s="872"/>
      <c r="T30" s="872">
        <f>IF(AND(A30="오피스텔",40&lt;E30,E30&lt;=85),C30,(IF(A30="공동주택",C30,IF(A30="도시형생활주택",C30,0))))</f>
        <v>0</v>
      </c>
      <c r="U30" s="872">
        <f>IF(T30&gt;0,Q30,0)</f>
        <v>0</v>
      </c>
      <c r="V30" s="872"/>
      <c r="W30">
        <f xml:space="preserve"> IFERROR(A30,"")</f>
        <v>0</v>
      </c>
      <c r="X30" s="629">
        <f t="shared" si="12"/>
        <v>0</v>
      </c>
      <c r="Y30" s="629">
        <f t="shared" si="13"/>
        <v>0</v>
      </c>
      <c r="Z30" s="629">
        <f t="shared" si="14"/>
        <v>0</v>
      </c>
      <c r="AA30" s="629">
        <f t="shared" si="15"/>
        <v>0</v>
      </c>
      <c r="AB30" s="629">
        <f t="shared" si="16"/>
        <v>0</v>
      </c>
    </row>
    <row r="31" spans="1:28" ht="18" customHeight="1">
      <c r="A31" s="2018"/>
      <c r="B31" s="2031"/>
      <c r="C31" s="2033"/>
      <c r="D31" s="2022"/>
      <c r="E31" s="440">
        <f>E30*0.3025</f>
        <v>0</v>
      </c>
      <c r="F31" s="441">
        <f>F30*0.3025</f>
        <v>0</v>
      </c>
      <c r="G31" s="441">
        <f>G30*0.3025</f>
        <v>0</v>
      </c>
      <c r="H31" s="441">
        <f>H30*0.3025</f>
        <v>0</v>
      </c>
      <c r="I31" s="1308">
        <f>I30*0.3025</f>
        <v>0</v>
      </c>
      <c r="J31" s="1321">
        <f>IFERROR(IF(OR(A30="공동주택",A31="도시형생활주택"),E31/H31,E31/I31),0)</f>
        <v>0</v>
      </c>
      <c r="K31" s="1591">
        <f>K30*0.3025</f>
        <v>0</v>
      </c>
      <c r="L31" s="2023"/>
      <c r="M31" s="2024"/>
      <c r="N31" s="2025"/>
      <c r="O31" s="2026"/>
      <c r="P31" s="2026"/>
      <c r="Q31" s="2016"/>
      <c r="R31" s="2017"/>
      <c r="S31" s="872"/>
      <c r="T31" s="872"/>
      <c r="U31" s="872"/>
      <c r="V31" s="872"/>
      <c r="W31">
        <f xml:space="preserve"> IFERROR(A31,"")</f>
        <v>0</v>
      </c>
      <c r="X31" s="629">
        <f t="shared" si="12"/>
        <v>0</v>
      </c>
      <c r="Y31" s="629">
        <f t="shared" si="13"/>
        <v>0</v>
      </c>
      <c r="Z31" s="629">
        <f t="shared" si="14"/>
        <v>0</v>
      </c>
      <c r="AA31" s="629">
        <f t="shared" si="15"/>
        <v>0</v>
      </c>
      <c r="AB31" s="629">
        <f t="shared" si="16"/>
        <v>0</v>
      </c>
    </row>
    <row r="32" spans="1:28" ht="18" customHeight="1">
      <c r="A32" s="2029"/>
      <c r="B32" s="2020"/>
      <c r="C32" s="2032"/>
      <c r="D32" s="2022"/>
      <c r="E32" s="1647"/>
      <c r="F32" s="1266"/>
      <c r="G32" s="1266"/>
      <c r="H32" s="439">
        <f>SUM(E32,F32)</f>
        <v>0</v>
      </c>
      <c r="I32" s="1309">
        <f>SUM(G32,H32)</f>
        <v>0</v>
      </c>
      <c r="J32" s="1322">
        <f>IFERROR(IF(OR(A32="공동주택",A32="도시형생활주택"),E32/H32,E32/I32),0)</f>
        <v>0</v>
      </c>
      <c r="K32" s="1650">
        <f>IF(A32="발코니확장비",0,총괄장!$C$7*(분양개요!E32/분양개요!$E$5))</f>
        <v>0</v>
      </c>
      <c r="L32" s="2023">
        <f>IFERROR(총괄장!$C$8*K32/총괄장!$C$7,0)</f>
        <v>0</v>
      </c>
      <c r="M32" s="2024">
        <f>O32-L32</f>
        <v>0</v>
      </c>
      <c r="N32" s="2025">
        <f>(IF(AND(OR(A32="공동주택",A32="도시형생활주택"),E32&lt;=85),0,M32*10%))</f>
        <v>0</v>
      </c>
      <c r="O32" s="2026">
        <f>IF(OR(A32="공동주택",A32="도시형생활주택"),H33*D32,I33*D32)</f>
        <v>0</v>
      </c>
      <c r="P32" s="2026">
        <f>N32+O32</f>
        <v>0</v>
      </c>
      <c r="Q32" s="2015">
        <f t="shared" ref="Q32" si="24">O32*C32</f>
        <v>0</v>
      </c>
      <c r="R32" s="2017">
        <f>IFERROR(#REF!/#REF!,0)</f>
        <v>0</v>
      </c>
      <c r="S32" s="872"/>
      <c r="T32" s="872">
        <f>IF(AND(A32="오피스텔",40&lt;E32,E32&lt;=85),C32,(IF(A32="공동주택",C32,IF(A32="도시형생활주택",C32,0))))</f>
        <v>0</v>
      </c>
      <c r="U32" s="872">
        <f>IF(T32&gt;0,Q32,0)</f>
        <v>0</v>
      </c>
      <c r="V32" s="872"/>
      <c r="W32">
        <f t="shared" si="11"/>
        <v>0</v>
      </c>
      <c r="X32" s="629">
        <f t="shared" si="12"/>
        <v>0</v>
      </c>
      <c r="Y32" s="629">
        <f t="shared" si="13"/>
        <v>0</v>
      </c>
      <c r="Z32" s="629">
        <f t="shared" si="14"/>
        <v>0</v>
      </c>
      <c r="AA32" s="629">
        <f t="shared" si="15"/>
        <v>0</v>
      </c>
      <c r="AB32" s="629">
        <f t="shared" si="16"/>
        <v>0</v>
      </c>
    </row>
    <row r="33" spans="1:28" ht="18" customHeight="1">
      <c r="A33" s="2018"/>
      <c r="B33" s="2020"/>
      <c r="C33" s="2033"/>
      <c r="D33" s="2022"/>
      <c r="E33" s="440">
        <f>E32*0.3025</f>
        <v>0</v>
      </c>
      <c r="F33" s="441">
        <f>F32*0.3025</f>
        <v>0</v>
      </c>
      <c r="G33" s="441">
        <f>G32*0.3025</f>
        <v>0</v>
      </c>
      <c r="H33" s="441">
        <f>H32*0.3025</f>
        <v>0</v>
      </c>
      <c r="I33" s="1308">
        <f>I32*0.3025</f>
        <v>0</v>
      </c>
      <c r="J33" s="1321">
        <f>IFERROR(IF(OR(A32="공동주택",A33="도시형생활주택"),E33/H33,E33/I33),0)</f>
        <v>0</v>
      </c>
      <c r="K33" s="1649">
        <f>K32*0.3025</f>
        <v>0</v>
      </c>
      <c r="L33" s="2023"/>
      <c r="M33" s="2024"/>
      <c r="N33" s="2025"/>
      <c r="O33" s="2026"/>
      <c r="P33" s="2026"/>
      <c r="Q33" s="2016"/>
      <c r="R33" s="2017"/>
      <c r="S33" s="872"/>
      <c r="T33" s="872"/>
      <c r="U33" s="872"/>
      <c r="V33" s="872"/>
      <c r="W33">
        <f t="shared" si="11"/>
        <v>0</v>
      </c>
      <c r="X33" s="629">
        <f t="shared" si="12"/>
        <v>0</v>
      </c>
      <c r="Y33" s="629">
        <f t="shared" si="13"/>
        <v>0</v>
      </c>
      <c r="Z33" s="629">
        <f t="shared" si="14"/>
        <v>0</v>
      </c>
      <c r="AA33" s="629">
        <f t="shared" si="15"/>
        <v>0</v>
      </c>
      <c r="AB33" s="629">
        <f t="shared" si="16"/>
        <v>0</v>
      </c>
    </row>
    <row r="34" spans="1:28" ht="18" customHeight="1">
      <c r="A34" s="2029"/>
      <c r="B34" s="2020"/>
      <c r="C34" s="2032"/>
      <c r="D34" s="2022"/>
      <c r="E34" s="1647"/>
      <c r="F34" s="1266"/>
      <c r="G34" s="1266"/>
      <c r="H34" s="439">
        <f>SUM(E34,F34)</f>
        <v>0</v>
      </c>
      <c r="I34" s="1309">
        <f>SUM(G34,H34)</f>
        <v>0</v>
      </c>
      <c r="J34" s="1322">
        <f>IFERROR(IF(OR(A34="공동주택",A34="도시형생활주택"),E34/H34,E34/I34),0)</f>
        <v>0</v>
      </c>
      <c r="K34" s="1652">
        <f>IF(A34="발코니확장비",0,총괄장!$C$7*(분양개요!E34/분양개요!$E$5))</f>
        <v>0</v>
      </c>
      <c r="L34" s="2023">
        <f>IFERROR(총괄장!$C$8*K34/총괄장!$C$7,0)</f>
        <v>0</v>
      </c>
      <c r="M34" s="2024">
        <f>O34-L34</f>
        <v>0</v>
      </c>
      <c r="N34" s="2025">
        <f>(IF(AND(OR(A34="공동주택",A34="도시형생활주택"),E34&lt;=85),0,M34*10%))</f>
        <v>0</v>
      </c>
      <c r="O34" s="2026">
        <f>IF(OR(A34="공동주택",A34="도시형생활주택"),H35*D34,I35*D34)</f>
        <v>0</v>
      </c>
      <c r="P34" s="2026">
        <f>N34+O34</f>
        <v>0</v>
      </c>
      <c r="Q34" s="2015">
        <f t="shared" ref="Q34" si="25">O34*C34</f>
        <v>0</v>
      </c>
      <c r="R34" s="2017">
        <f>IFERROR(#REF!/#REF!,0)</f>
        <v>0</v>
      </c>
      <c r="S34" s="872"/>
      <c r="T34" s="872">
        <f>IF(AND(A34="오피스텔",40&lt;E34,E34&lt;=85),C34,(IF(A34="공동주택",C34,IF(A34="도시형생활주택",C34,0))))</f>
        <v>0</v>
      </c>
      <c r="U34" s="872">
        <f>IF(T34&gt;0,Q34,0)</f>
        <v>0</v>
      </c>
      <c r="V34" s="872"/>
      <c r="W34">
        <f t="shared" si="11"/>
        <v>0</v>
      </c>
      <c r="X34" s="629">
        <f t="shared" si="12"/>
        <v>0</v>
      </c>
      <c r="Y34" s="629">
        <f t="shared" si="13"/>
        <v>0</v>
      </c>
      <c r="Z34" s="629">
        <f t="shared" si="14"/>
        <v>0</v>
      </c>
      <c r="AA34" s="629">
        <f t="shared" si="15"/>
        <v>0</v>
      </c>
      <c r="AB34" s="629">
        <f t="shared" si="16"/>
        <v>0</v>
      </c>
    </row>
    <row r="35" spans="1:28" ht="18" customHeight="1">
      <c r="A35" s="2018"/>
      <c r="B35" s="2020"/>
      <c r="C35" s="2033"/>
      <c r="D35" s="2022"/>
      <c r="E35" s="440">
        <f>E34*0.3025</f>
        <v>0</v>
      </c>
      <c r="F35" s="441">
        <f>F34*0.3025</f>
        <v>0</v>
      </c>
      <c r="G35" s="441">
        <f>G34*0.3025</f>
        <v>0</v>
      </c>
      <c r="H35" s="441">
        <f>H34*0.3025</f>
        <v>0</v>
      </c>
      <c r="I35" s="1308">
        <f>I34*0.3025</f>
        <v>0</v>
      </c>
      <c r="J35" s="1321">
        <f>IFERROR(IF(OR(A34="공동주택",A35="도시형생활주택"),E35/H35,E35/I35),0)</f>
        <v>0</v>
      </c>
      <c r="K35" s="1591">
        <f>K34*0.3025</f>
        <v>0</v>
      </c>
      <c r="L35" s="2023"/>
      <c r="M35" s="2024"/>
      <c r="N35" s="2025"/>
      <c r="O35" s="2026"/>
      <c r="P35" s="2026"/>
      <c r="Q35" s="2016"/>
      <c r="R35" s="2017"/>
      <c r="S35" s="872"/>
      <c r="T35" s="872"/>
      <c r="U35" s="872"/>
      <c r="V35" s="872"/>
      <c r="W35">
        <f t="shared" si="11"/>
        <v>0</v>
      </c>
      <c r="X35" s="629">
        <f t="shared" si="12"/>
        <v>0</v>
      </c>
      <c r="Y35" s="629">
        <f t="shared" si="13"/>
        <v>0</v>
      </c>
      <c r="Z35" s="629">
        <f t="shared" si="14"/>
        <v>0</v>
      </c>
      <c r="AA35" s="629">
        <f t="shared" si="15"/>
        <v>0</v>
      </c>
      <c r="AB35" s="629">
        <f t="shared" si="16"/>
        <v>0</v>
      </c>
    </row>
    <row r="36" spans="1:28" ht="18" customHeight="1">
      <c r="A36" s="2029"/>
      <c r="B36" s="2020"/>
      <c r="C36" s="2032"/>
      <c r="D36" s="2034"/>
      <c r="E36" s="1647"/>
      <c r="F36" s="1266"/>
      <c r="G36" s="1266"/>
      <c r="H36" s="439">
        <f>SUM(E36,F36)</f>
        <v>0</v>
      </c>
      <c r="I36" s="1309">
        <f>SUM(G36,H36)</f>
        <v>0</v>
      </c>
      <c r="J36" s="1322">
        <f>IFERROR(IF(OR(A36="공동주택",A36="도시형생활주택"),E36/H36,E36/I36),0)</f>
        <v>0</v>
      </c>
      <c r="K36" s="1650">
        <f>IF(A36="발코니확장비",0,총괄장!$C$7*(분양개요!E36/분양개요!$E$5))</f>
        <v>0</v>
      </c>
      <c r="L36" s="2023">
        <f>IFERROR(총괄장!$C$8*K36/총괄장!$C$7,0)</f>
        <v>0</v>
      </c>
      <c r="M36" s="2024">
        <f>O36-L36</f>
        <v>0</v>
      </c>
      <c r="N36" s="2025">
        <f>(IF(AND(OR(A36="공동주택",A36="도시형생활주택"),E36&lt;=85),0,M36*10%))</f>
        <v>0</v>
      </c>
      <c r="O36" s="2026">
        <f>IF(OR(A36="공동주택",A36="도시형생활주택"),H37*D36,I37*D36)</f>
        <v>0</v>
      </c>
      <c r="P36" s="2026">
        <f>N36+O36</f>
        <v>0</v>
      </c>
      <c r="Q36" s="2015">
        <f t="shared" ref="Q36" si="26">O36*C36</f>
        <v>0</v>
      </c>
      <c r="R36" s="2017">
        <f>IFERROR(#REF!/#REF!,0)</f>
        <v>0</v>
      </c>
      <c r="S36" s="872"/>
      <c r="T36" s="872">
        <f>IF(AND(A36="오피스텔",40&lt;E36,E36&lt;=85),C36,(IF(A36="공동주택",C36,IF(A36="도시형생활주택",C36,0))))</f>
        <v>0</v>
      </c>
      <c r="U36" s="872">
        <f>IF(T36&gt;0,Q36,0)</f>
        <v>0</v>
      </c>
      <c r="V36" s="872"/>
      <c r="W36">
        <f t="shared" si="11"/>
        <v>0</v>
      </c>
      <c r="X36" s="629">
        <f t="shared" si="12"/>
        <v>0</v>
      </c>
      <c r="Y36" s="629">
        <f t="shared" si="13"/>
        <v>0</v>
      </c>
      <c r="Z36" s="629">
        <f t="shared" si="14"/>
        <v>0</v>
      </c>
      <c r="AA36" s="629">
        <f t="shared" si="15"/>
        <v>0</v>
      </c>
      <c r="AB36" s="629">
        <f t="shared" si="16"/>
        <v>0</v>
      </c>
    </row>
    <row r="37" spans="1:28" ht="18" customHeight="1">
      <c r="A37" s="2018"/>
      <c r="B37" s="2020"/>
      <c r="C37" s="2033"/>
      <c r="D37" s="2035"/>
      <c r="E37" s="440">
        <f>E36*0.3025</f>
        <v>0</v>
      </c>
      <c r="F37" s="440">
        <f>F36*0.3025</f>
        <v>0</v>
      </c>
      <c r="G37" s="440">
        <f>G36*0.3025</f>
        <v>0</v>
      </c>
      <c r="H37" s="441">
        <f>H36*0.3025</f>
        <v>0</v>
      </c>
      <c r="I37" s="1308">
        <f>I36*0.3025</f>
        <v>0</v>
      </c>
      <c r="J37" s="1321">
        <f>IFERROR(IF(OR(A36="공동주택",A37="도시형생활주택"),E37/H37,E37/I37),0)</f>
        <v>0</v>
      </c>
      <c r="K37" s="1649">
        <f>K36*0.3025</f>
        <v>0</v>
      </c>
      <c r="L37" s="2023"/>
      <c r="M37" s="2024"/>
      <c r="N37" s="2025"/>
      <c r="O37" s="2026"/>
      <c r="P37" s="2026"/>
      <c r="Q37" s="2016"/>
      <c r="R37" s="2017"/>
      <c r="S37" s="872"/>
      <c r="T37" s="872"/>
      <c r="U37" s="872"/>
      <c r="V37" s="872"/>
      <c r="W37">
        <f t="shared" si="11"/>
        <v>0</v>
      </c>
      <c r="X37" s="629">
        <f t="shared" si="12"/>
        <v>0</v>
      </c>
      <c r="Y37" s="629">
        <f t="shared" si="13"/>
        <v>0</v>
      </c>
      <c r="Z37" s="629">
        <f t="shared" si="14"/>
        <v>0</v>
      </c>
      <c r="AA37" s="629">
        <f t="shared" si="15"/>
        <v>0</v>
      </c>
      <c r="AB37" s="629">
        <f t="shared" si="16"/>
        <v>0</v>
      </c>
    </row>
    <row r="38" spans="1:28" ht="18" customHeight="1">
      <c r="A38" s="2029"/>
      <c r="B38" s="2020"/>
      <c r="C38" s="2032"/>
      <c r="D38" s="2034"/>
      <c r="E38" s="1265"/>
      <c r="F38" s="1266"/>
      <c r="G38" s="1266"/>
      <c r="H38" s="439">
        <f>SUM(E38,F38)</f>
        <v>0</v>
      </c>
      <c r="I38" s="1309">
        <f>SUM(G38,H38)</f>
        <v>0</v>
      </c>
      <c r="J38" s="1322">
        <f>IFERROR(IF(OR(A38="공동주택",A38="도시형생활주택"),E38/H38,E38/I38),0)</f>
        <v>0</v>
      </c>
      <c r="K38" s="1652">
        <f>IF(A38="발코니확장비",0,총괄장!$C$7*(분양개요!E38/분양개요!$E$5))</f>
        <v>0</v>
      </c>
      <c r="L38" s="2023">
        <f>IFERROR(총괄장!$C$8*K38/총괄장!$C$7,0)</f>
        <v>0</v>
      </c>
      <c r="M38" s="2024">
        <f>O38-L38</f>
        <v>0</v>
      </c>
      <c r="N38" s="2025">
        <f>(IF(AND(OR(A38="공동주택",A38="도시형생활주택"),E38&lt;=85),0,M38*10%))</f>
        <v>0</v>
      </c>
      <c r="O38" s="2026">
        <f>IF(OR(A38="공동주택",A38="도시형생활주택"),H39*D38,I39*D38)</f>
        <v>0</v>
      </c>
      <c r="P38" s="2026">
        <f>N38+O38</f>
        <v>0</v>
      </c>
      <c r="Q38" s="2015">
        <f t="shared" ref="Q38" si="27">O38*C38</f>
        <v>0</v>
      </c>
      <c r="R38" s="2017">
        <f>IFERROR(#REF!/#REF!,0)</f>
        <v>0</v>
      </c>
      <c r="S38" s="872"/>
      <c r="T38" s="872">
        <f>IF(AND(A38="오피스텔",40&lt;E38,E38&lt;=85),C38,(IF(A38="공동주택",C38,IF(A38="도시형생활주택",C38,0))))</f>
        <v>0</v>
      </c>
      <c r="U38" s="872">
        <f>IF(T38&gt;0,Q38,0)</f>
        <v>0</v>
      </c>
      <c r="V38" s="872"/>
      <c r="W38">
        <f t="shared" si="11"/>
        <v>0</v>
      </c>
      <c r="X38" s="629">
        <f t="shared" si="12"/>
        <v>0</v>
      </c>
      <c r="Y38" s="629">
        <f t="shared" si="13"/>
        <v>0</v>
      </c>
      <c r="Z38" s="629">
        <f t="shared" si="14"/>
        <v>0</v>
      </c>
      <c r="AA38" s="629">
        <f t="shared" si="15"/>
        <v>0</v>
      </c>
      <c r="AB38" s="629">
        <f t="shared" si="16"/>
        <v>0</v>
      </c>
    </row>
    <row r="39" spans="1:28" ht="18" customHeight="1">
      <c r="A39" s="2018"/>
      <c r="B39" s="2020"/>
      <c r="C39" s="2033"/>
      <c r="D39" s="2035"/>
      <c r="E39" s="440">
        <f>E38*0.3025</f>
        <v>0</v>
      </c>
      <c r="F39" s="441">
        <f>F38*0.3025</f>
        <v>0</v>
      </c>
      <c r="G39" s="441">
        <f>G38*0.3025</f>
        <v>0</v>
      </c>
      <c r="H39" s="441">
        <f>H38*0.3025</f>
        <v>0</v>
      </c>
      <c r="I39" s="1308">
        <f>I38*0.3025</f>
        <v>0</v>
      </c>
      <c r="J39" s="1321">
        <f>IFERROR(IF(OR(A38="공동주택",A39="도시형생활주택"),E39/H39,E39/I39),0)</f>
        <v>0</v>
      </c>
      <c r="K39" s="1591">
        <f>K38*0.3025</f>
        <v>0</v>
      </c>
      <c r="L39" s="2023"/>
      <c r="M39" s="2024"/>
      <c r="N39" s="2025"/>
      <c r="O39" s="2026"/>
      <c r="P39" s="2026"/>
      <c r="Q39" s="2016"/>
      <c r="R39" s="2017"/>
      <c r="S39" s="872"/>
      <c r="T39" s="872"/>
      <c r="U39" s="872"/>
      <c r="V39" s="872"/>
      <c r="W39">
        <f t="shared" si="11"/>
        <v>0</v>
      </c>
      <c r="X39" s="629">
        <f t="shared" si="12"/>
        <v>0</v>
      </c>
      <c r="Y39" s="629">
        <f t="shared" si="13"/>
        <v>0</v>
      </c>
      <c r="Z39" s="629">
        <f t="shared" si="14"/>
        <v>0</v>
      </c>
      <c r="AA39" s="629">
        <f t="shared" si="15"/>
        <v>0</v>
      </c>
      <c r="AB39" s="629">
        <f t="shared" si="16"/>
        <v>0</v>
      </c>
    </row>
    <row r="40" spans="1:28" ht="18" customHeight="1">
      <c r="A40" s="2029"/>
      <c r="B40" s="2020"/>
      <c r="C40" s="2032"/>
      <c r="D40" s="2034"/>
      <c r="E40" s="1265"/>
      <c r="F40" s="1266"/>
      <c r="G40" s="1266"/>
      <c r="H40" s="439">
        <f>SUM(E40,F40)</f>
        <v>0</v>
      </c>
      <c r="I40" s="1309">
        <f>SUM(G40,H40)</f>
        <v>0</v>
      </c>
      <c r="J40" s="1322">
        <f>IFERROR(IF(OR(A40="공동주택",A40="도시형생활주택"),E40/H40,E40/I40),0)</f>
        <v>0</v>
      </c>
      <c r="K40" s="1650">
        <f>IF(A40="발코니확장비",0,총괄장!$C$7*(분양개요!E40/분양개요!$E$5))</f>
        <v>0</v>
      </c>
      <c r="L40" s="2023">
        <f>IFERROR(총괄장!$C$8*K40/총괄장!$C$7,0)</f>
        <v>0</v>
      </c>
      <c r="M40" s="2024">
        <f>O40-L40</f>
        <v>0</v>
      </c>
      <c r="N40" s="2025">
        <f>(IF(AND(OR(A40="공동주택",A40="도시형생활주택"),E40&lt;=85),0,M40*10%))</f>
        <v>0</v>
      </c>
      <c r="O40" s="2026">
        <f>IF(OR(A40="공동주택",A40="도시형생활주택"),H41*D40,I41*D40)</f>
        <v>0</v>
      </c>
      <c r="P40" s="2026">
        <f>N40+O40</f>
        <v>0</v>
      </c>
      <c r="Q40" s="2015">
        <f t="shared" ref="Q40" si="28">O40*C40</f>
        <v>0</v>
      </c>
      <c r="R40" s="2017">
        <f>IFERROR(#REF!/#REF!,0)</f>
        <v>0</v>
      </c>
      <c r="S40" s="872"/>
      <c r="T40" s="872">
        <f>IF(AND(A40="오피스텔",40&lt;E40,E40&lt;=85),C40,(IF(A40="공동주택",C40,IF(A40="도시형생활주택",C40,0))))</f>
        <v>0</v>
      </c>
      <c r="U40" s="872">
        <f>IF(T40&gt;0,Q40,0)</f>
        <v>0</v>
      </c>
      <c r="V40" s="872"/>
      <c r="W40">
        <f t="shared" si="11"/>
        <v>0</v>
      </c>
      <c r="X40" s="629">
        <f t="shared" si="12"/>
        <v>0</v>
      </c>
      <c r="Y40" s="629">
        <f t="shared" si="13"/>
        <v>0</v>
      </c>
      <c r="Z40" s="629">
        <f t="shared" si="14"/>
        <v>0</v>
      </c>
      <c r="AA40" s="629">
        <f t="shared" si="15"/>
        <v>0</v>
      </c>
      <c r="AB40" s="629">
        <f t="shared" si="16"/>
        <v>0</v>
      </c>
    </row>
    <row r="41" spans="1:28" ht="18" customHeight="1">
      <c r="A41" s="2018"/>
      <c r="B41" s="2020"/>
      <c r="C41" s="2033"/>
      <c r="D41" s="2035"/>
      <c r="E41" s="440">
        <f>E40*0.3025</f>
        <v>0</v>
      </c>
      <c r="F41" s="441">
        <f>F40*0.3025</f>
        <v>0</v>
      </c>
      <c r="G41" s="441">
        <f>G40*0.3025</f>
        <v>0</v>
      </c>
      <c r="H41" s="441">
        <f>H40*0.3025</f>
        <v>0</v>
      </c>
      <c r="I41" s="1308">
        <f>I40*0.3025</f>
        <v>0</v>
      </c>
      <c r="J41" s="1321">
        <f>IFERROR(IF(OR(A40="공동주택",A41="도시형생활주택"),E41/H41,E41/I41),0)</f>
        <v>0</v>
      </c>
      <c r="K41" s="1649">
        <f>K40*0.3025</f>
        <v>0</v>
      </c>
      <c r="L41" s="2023"/>
      <c r="M41" s="2024"/>
      <c r="N41" s="2025"/>
      <c r="O41" s="2026"/>
      <c r="P41" s="2026"/>
      <c r="Q41" s="2016"/>
      <c r="R41" s="2017"/>
      <c r="S41" s="872"/>
      <c r="T41" s="872"/>
      <c r="U41" s="872"/>
      <c r="V41" s="872"/>
      <c r="W41">
        <f t="shared" si="11"/>
        <v>0</v>
      </c>
      <c r="X41" s="629">
        <f t="shared" si="12"/>
        <v>0</v>
      </c>
      <c r="Y41" s="629">
        <f t="shared" si="13"/>
        <v>0</v>
      </c>
      <c r="Z41" s="629">
        <f t="shared" si="14"/>
        <v>0</v>
      </c>
      <c r="AA41" s="629">
        <f t="shared" si="15"/>
        <v>0</v>
      </c>
      <c r="AB41" s="629">
        <f t="shared" si="16"/>
        <v>0</v>
      </c>
    </row>
    <row r="42" spans="1:28" ht="18" customHeight="1">
      <c r="A42" s="2029"/>
      <c r="B42" s="2020"/>
      <c r="C42" s="2021"/>
      <c r="D42" s="2022"/>
      <c r="E42" s="1265"/>
      <c r="F42" s="1266"/>
      <c r="G42" s="1266"/>
      <c r="H42" s="439">
        <f>SUM(E42,F42)</f>
        <v>0</v>
      </c>
      <c r="I42" s="1309">
        <f>SUM(G42,H42)</f>
        <v>0</v>
      </c>
      <c r="J42" s="1322">
        <f>IFERROR(IF(OR(A42="공동주택",A42="도시형생활주택"),E42/H42,E42/I42),0)</f>
        <v>0</v>
      </c>
      <c r="K42" s="1652">
        <f>IF(A42="발코니확장비",0,총괄장!$C$7*(분양개요!E42/분양개요!$E$5))</f>
        <v>0</v>
      </c>
      <c r="L42" s="2023">
        <f>IFERROR(총괄장!$C$8*K42/총괄장!$C$7,0)</f>
        <v>0</v>
      </c>
      <c r="M42" s="2024">
        <f>O42-L42</f>
        <v>0</v>
      </c>
      <c r="N42" s="2025">
        <f>(IF(AND(OR(A42="공동주택",A42="도시형생활주택"),E42&lt;=85),0,M42*10%))</f>
        <v>0</v>
      </c>
      <c r="O42" s="2026">
        <f>IF(OR(A42="공동주택",A42="도시형생활주택"),H43*D42,I43*D42)</f>
        <v>0</v>
      </c>
      <c r="P42" s="2026">
        <f>N42+O42</f>
        <v>0</v>
      </c>
      <c r="Q42" s="2015">
        <f t="shared" ref="Q42" si="29">O42*C42</f>
        <v>0</v>
      </c>
      <c r="R42" s="2017">
        <f>IFERROR(#REF!/#REF!,0)</f>
        <v>0</v>
      </c>
      <c r="S42" s="872"/>
      <c r="T42" s="872">
        <f>IF(AND(A42="오피스텔",40&lt;E42,E42&lt;=85),C42,(IF(A42="공동주택",C42,IF(A42="도시형생활주택",C42,0))))</f>
        <v>0</v>
      </c>
      <c r="U42" s="872">
        <f>IF(T42&gt;0,Q42,0)</f>
        <v>0</v>
      </c>
      <c r="V42" s="872"/>
      <c r="W42">
        <f t="shared" ref="W42:W51" si="30" xml:space="preserve"> IFERROR(A42,"")</f>
        <v>0</v>
      </c>
      <c r="X42" s="629">
        <f t="shared" ref="X42:X51" si="31">C42*E42</f>
        <v>0</v>
      </c>
      <c r="Y42" s="629">
        <f t="shared" ref="Y42:Y51" si="32">C42*F42</f>
        <v>0</v>
      </c>
      <c r="Z42" s="629">
        <f t="shared" ref="Z42:Z51" si="33">C42*G42</f>
        <v>0</v>
      </c>
      <c r="AA42" s="629">
        <f t="shared" ref="AA42:AA51" si="34">C42*H42</f>
        <v>0</v>
      </c>
      <c r="AB42" s="629">
        <f t="shared" ref="AB42:AB51" si="35">C42*I42</f>
        <v>0</v>
      </c>
    </row>
    <row r="43" spans="1:28" ht="18" customHeight="1">
      <c r="A43" s="2018"/>
      <c r="B43" s="2020"/>
      <c r="C43" s="2021"/>
      <c r="D43" s="2022"/>
      <c r="E43" s="440">
        <f>E42*0.3025</f>
        <v>0</v>
      </c>
      <c r="F43" s="441">
        <f>F42*0.3025</f>
        <v>0</v>
      </c>
      <c r="G43" s="441">
        <f>G42*0.3025</f>
        <v>0</v>
      </c>
      <c r="H43" s="441">
        <f>H42*0.3025</f>
        <v>0</v>
      </c>
      <c r="I43" s="1308">
        <f>I42*0.3025</f>
        <v>0</v>
      </c>
      <c r="J43" s="1321">
        <f>IFERROR(IF(OR(A42="공동주택",A43="도시형생활주택"),E43/H43,E43/I43),0)</f>
        <v>0</v>
      </c>
      <c r="K43" s="1591">
        <f>K42*0.3025</f>
        <v>0</v>
      </c>
      <c r="L43" s="2023"/>
      <c r="M43" s="2024"/>
      <c r="N43" s="2025"/>
      <c r="O43" s="2026"/>
      <c r="P43" s="2026"/>
      <c r="Q43" s="2016"/>
      <c r="R43" s="2017"/>
      <c r="S43" s="872"/>
      <c r="T43" s="872"/>
      <c r="U43" s="872"/>
      <c r="V43" s="872"/>
      <c r="W43">
        <f t="shared" si="30"/>
        <v>0</v>
      </c>
      <c r="X43" s="629">
        <f t="shared" si="31"/>
        <v>0</v>
      </c>
      <c r="Y43" s="629">
        <f t="shared" si="32"/>
        <v>0</v>
      </c>
      <c r="Z43" s="629">
        <f t="shared" si="33"/>
        <v>0</v>
      </c>
      <c r="AA43" s="629">
        <f t="shared" si="34"/>
        <v>0</v>
      </c>
      <c r="AB43" s="629">
        <f t="shared" si="35"/>
        <v>0</v>
      </c>
    </row>
    <row r="44" spans="1:28" ht="18" customHeight="1">
      <c r="A44" s="2018"/>
      <c r="B44" s="2020"/>
      <c r="C44" s="2021"/>
      <c r="D44" s="2034"/>
      <c r="E44" s="1265"/>
      <c r="F44" s="1266"/>
      <c r="G44" s="1266"/>
      <c r="H44" s="439">
        <f>SUM(E44,F44)</f>
        <v>0</v>
      </c>
      <c r="I44" s="1309">
        <f>SUM(G44,H44)</f>
        <v>0</v>
      </c>
      <c r="J44" s="1322">
        <f>IFERROR(IF(OR(A44="공동주택",A44="도시형생활주택"),E44/H44,E44/I44),0)</f>
        <v>0</v>
      </c>
      <c r="K44" s="1650">
        <f>IF(A44="발코니확장비",0,총괄장!$C$7*(분양개요!E44/분양개요!$E$5))</f>
        <v>0</v>
      </c>
      <c r="L44" s="2023">
        <f>IFERROR(총괄장!$C$8*K44/총괄장!$C$7,0)</f>
        <v>0</v>
      </c>
      <c r="M44" s="2024">
        <f>O44-L44</f>
        <v>0</v>
      </c>
      <c r="N44" s="2025">
        <f>(IF(AND(OR(A44="공동주택",A44="도시형생활주택"),E44&lt;=85),0,M44*10%))</f>
        <v>0</v>
      </c>
      <c r="O44" s="2026">
        <f>IF(OR(A44="공동주택",A44="도시형생활주택"),H45*D44,I45*D44)</f>
        <v>0</v>
      </c>
      <c r="P44" s="2026">
        <f>N44+O44</f>
        <v>0</v>
      </c>
      <c r="Q44" s="2015">
        <f t="shared" ref="Q44" si="36">O44*C44</f>
        <v>0</v>
      </c>
      <c r="R44" s="2017">
        <f>IFERROR(#REF!/#REF!,0)</f>
        <v>0</v>
      </c>
      <c r="S44" s="872"/>
      <c r="T44" s="872">
        <f>IF(AND(A44="오피스텔",40&lt;E44,E44&lt;=85),C44,(IF(A44="공동주택",C44,IF(A44="도시형생활주택",C44,0))))</f>
        <v>0</v>
      </c>
      <c r="U44" s="872">
        <f>IF(T44&gt;0,Q44,0)</f>
        <v>0</v>
      </c>
      <c r="V44" s="872"/>
      <c r="W44">
        <f t="shared" si="30"/>
        <v>0</v>
      </c>
      <c r="X44" s="629">
        <f t="shared" si="31"/>
        <v>0</v>
      </c>
      <c r="Y44" s="629">
        <f t="shared" si="32"/>
        <v>0</v>
      </c>
      <c r="Z44" s="629">
        <f t="shared" si="33"/>
        <v>0</v>
      </c>
      <c r="AA44" s="629">
        <f t="shared" si="34"/>
        <v>0</v>
      </c>
      <c r="AB44" s="629">
        <f t="shared" si="35"/>
        <v>0</v>
      </c>
    </row>
    <row r="45" spans="1:28" ht="18" customHeight="1">
      <c r="A45" s="2019"/>
      <c r="B45" s="2020"/>
      <c r="C45" s="2021"/>
      <c r="D45" s="2035"/>
      <c r="E45" s="440">
        <f>E44*0.3025</f>
        <v>0</v>
      </c>
      <c r="F45" s="441">
        <f>F44*0.3025</f>
        <v>0</v>
      </c>
      <c r="G45" s="441">
        <f>G44*0.3025</f>
        <v>0</v>
      </c>
      <c r="H45" s="441">
        <f>H44*0.3025</f>
        <v>0</v>
      </c>
      <c r="I45" s="1308">
        <f>I44*0.3025</f>
        <v>0</v>
      </c>
      <c r="J45" s="1321">
        <f>IFERROR(IF(OR(A44="공동주택",A45="도시형생활주택"),E45/H45,E45/I45),0)</f>
        <v>0</v>
      </c>
      <c r="K45" s="1649">
        <f>K44*0.3025</f>
        <v>0</v>
      </c>
      <c r="L45" s="2023"/>
      <c r="M45" s="2024"/>
      <c r="N45" s="2025"/>
      <c r="O45" s="2026"/>
      <c r="P45" s="2026"/>
      <c r="Q45" s="2016"/>
      <c r="R45" s="2017"/>
      <c r="S45" s="872"/>
      <c r="T45" s="872"/>
      <c r="U45" s="872"/>
      <c r="V45" s="872"/>
      <c r="W45">
        <f t="shared" si="30"/>
        <v>0</v>
      </c>
      <c r="X45" s="629">
        <f t="shared" si="31"/>
        <v>0</v>
      </c>
      <c r="Y45" s="629">
        <f t="shared" si="32"/>
        <v>0</v>
      </c>
      <c r="Z45" s="629">
        <f t="shared" si="33"/>
        <v>0</v>
      </c>
      <c r="AA45" s="629">
        <f t="shared" si="34"/>
        <v>0</v>
      </c>
      <c r="AB45" s="629">
        <f t="shared" si="35"/>
        <v>0</v>
      </c>
    </row>
    <row r="46" spans="1:28" ht="18" customHeight="1">
      <c r="A46" s="2018"/>
      <c r="B46" s="2020"/>
      <c r="C46" s="2021"/>
      <c r="D46" s="2034"/>
      <c r="E46" s="1747"/>
      <c r="F46" s="1748"/>
      <c r="G46" s="1748"/>
      <c r="H46" s="439">
        <f>SUM(E46,F46)</f>
        <v>0</v>
      </c>
      <c r="I46" s="1309">
        <f>SUM(G46,H46)</f>
        <v>0</v>
      </c>
      <c r="J46" s="1322">
        <f>IFERROR(IF(OR(A46="공동주택",A46="도시형생활주택"),E46/H46,E46/I46),0)</f>
        <v>0</v>
      </c>
      <c r="K46" s="1652">
        <f>IF(A46="발코니확장비",0,총괄장!$C$7*(분양개요!E46/분양개요!$E$5))</f>
        <v>0</v>
      </c>
      <c r="L46" s="2023">
        <f>IFERROR(총괄장!$C$8*K46/총괄장!$C$7,0)</f>
        <v>0</v>
      </c>
      <c r="M46" s="2024">
        <f>O46-L46</f>
        <v>0</v>
      </c>
      <c r="N46" s="2025">
        <f>(IF(AND(OR(A46="공동주택",A46="도시형생활주택"),E46&lt;=85),0,M46*10%))</f>
        <v>0</v>
      </c>
      <c r="O46" s="2026">
        <f>IF(OR(A46="공동주택",A46="도시형생활주택"),H47*D46,I47*D46)</f>
        <v>0</v>
      </c>
      <c r="P46" s="2026">
        <f>N46+O46</f>
        <v>0</v>
      </c>
      <c r="Q46" s="2015">
        <f t="shared" ref="Q46" si="37">O46*C46</f>
        <v>0</v>
      </c>
      <c r="R46" s="2017">
        <f>IFERROR(#REF!/#REF!,0)</f>
        <v>0</v>
      </c>
      <c r="S46" s="872"/>
      <c r="T46" s="872">
        <f>IF(AND(A46="오피스텔",40&lt;E46,E46&lt;=85),C46,(IF(A46="공동주택",C46,IF(A46="도시형생활주택",C46,0))))</f>
        <v>0</v>
      </c>
      <c r="U46" s="872">
        <f>IF(T46&gt;0,Q46,0)</f>
        <v>0</v>
      </c>
      <c r="V46" s="872"/>
      <c r="W46">
        <f t="shared" si="30"/>
        <v>0</v>
      </c>
      <c r="X46" s="629">
        <f t="shared" si="31"/>
        <v>0</v>
      </c>
      <c r="Y46" s="629">
        <f t="shared" si="32"/>
        <v>0</v>
      </c>
      <c r="Z46" s="629">
        <f t="shared" si="33"/>
        <v>0</v>
      </c>
      <c r="AA46" s="629">
        <f t="shared" si="34"/>
        <v>0</v>
      </c>
      <c r="AB46" s="629">
        <f t="shared" si="35"/>
        <v>0</v>
      </c>
    </row>
    <row r="47" spans="1:28" ht="18" customHeight="1">
      <c r="A47" s="2019"/>
      <c r="B47" s="2020"/>
      <c r="C47" s="2021"/>
      <c r="D47" s="2035"/>
      <c r="E47" s="440">
        <f>E46*0.3025</f>
        <v>0</v>
      </c>
      <c r="F47" s="440">
        <f>F46*0.3025</f>
        <v>0</v>
      </c>
      <c r="G47" s="440">
        <f>G46*0.3025</f>
        <v>0</v>
      </c>
      <c r="H47" s="441">
        <f>H46*0.3025</f>
        <v>0</v>
      </c>
      <c r="I47" s="1308">
        <f>I46*0.3025</f>
        <v>0</v>
      </c>
      <c r="J47" s="1321">
        <f>IFERROR(IF(OR(A46="공동주택",A47="도시형생활주택"),E47/H47,E47/I47),0)</f>
        <v>0</v>
      </c>
      <c r="K47" s="1591">
        <f>K46*0.3025</f>
        <v>0</v>
      </c>
      <c r="L47" s="2023"/>
      <c r="M47" s="2024"/>
      <c r="N47" s="2025"/>
      <c r="O47" s="2026"/>
      <c r="P47" s="2026"/>
      <c r="Q47" s="2016"/>
      <c r="R47" s="2017"/>
      <c r="S47" s="872"/>
      <c r="T47" s="872"/>
      <c r="U47" s="872"/>
      <c r="V47" s="872"/>
      <c r="W47">
        <f t="shared" si="30"/>
        <v>0</v>
      </c>
      <c r="X47" s="629">
        <f t="shared" si="31"/>
        <v>0</v>
      </c>
      <c r="Y47" s="629">
        <f t="shared" si="32"/>
        <v>0</v>
      </c>
      <c r="Z47" s="629">
        <f t="shared" si="33"/>
        <v>0</v>
      </c>
      <c r="AA47" s="629">
        <f t="shared" si="34"/>
        <v>0</v>
      </c>
      <c r="AB47" s="629">
        <f t="shared" si="35"/>
        <v>0</v>
      </c>
    </row>
    <row r="48" spans="1:28" ht="18" customHeight="1">
      <c r="A48" s="2018"/>
      <c r="B48" s="2088"/>
      <c r="C48" s="2032"/>
      <c r="D48" s="2034"/>
      <c r="E48" s="1265"/>
      <c r="F48" s="1266"/>
      <c r="G48" s="1266"/>
      <c r="H48" s="439">
        <f>SUM(E48,F48)</f>
        <v>0</v>
      </c>
      <c r="I48" s="1309">
        <f>SUM(G48,H48)</f>
        <v>0</v>
      </c>
      <c r="J48" s="1322">
        <f>IFERROR(IF(OR(A48="공동주택",A48="도시형생활주택"),E48/H48,E48/I48),0)</f>
        <v>0</v>
      </c>
      <c r="K48" s="1650">
        <f>IF(A48="발코니확장비",0,총괄장!$C$7*(분양개요!E48/분양개요!$E$5))</f>
        <v>0</v>
      </c>
      <c r="L48" s="2023">
        <f>IFERROR(총괄장!$C$8*K48/총괄장!$C$7,0)</f>
        <v>0</v>
      </c>
      <c r="M48" s="2024">
        <f>O48-L48</f>
        <v>0</v>
      </c>
      <c r="N48" s="2025">
        <f>(IF(AND(OR(A48="공동주택",A48="도시형생활주택"),E48&lt;=85),0,M48*10%))</f>
        <v>0</v>
      </c>
      <c r="O48" s="2026">
        <f>IF(A48="공동주택",H49*D48,I49*D48)</f>
        <v>0</v>
      </c>
      <c r="P48" s="2026">
        <f>N48+O48</f>
        <v>0</v>
      </c>
      <c r="Q48" s="2015">
        <f t="shared" ref="Q48" si="38">O48*C48</f>
        <v>0</v>
      </c>
      <c r="R48" s="2017">
        <f>IFERROR(#REF!/#REF!,0)</f>
        <v>0</v>
      </c>
      <c r="S48" s="872"/>
      <c r="T48" s="872">
        <f>IF(AND(A48="오피스텔",40&lt;E48,E48&lt;=85),C48,(IF(A48="공동주택",C48,IF(A48="도시형생활주택",C48,0))))</f>
        <v>0</v>
      </c>
      <c r="U48" s="872">
        <f>IF(T48&gt;0,Q48,0)</f>
        <v>0</v>
      </c>
      <c r="V48" s="872"/>
      <c r="W48">
        <f t="shared" si="30"/>
        <v>0</v>
      </c>
      <c r="X48" s="629">
        <f t="shared" si="31"/>
        <v>0</v>
      </c>
      <c r="Y48" s="629">
        <f t="shared" si="32"/>
        <v>0</v>
      </c>
      <c r="Z48" s="629">
        <f t="shared" si="33"/>
        <v>0</v>
      </c>
      <c r="AA48" s="629">
        <f t="shared" si="34"/>
        <v>0</v>
      </c>
      <c r="AB48" s="629">
        <f t="shared" si="35"/>
        <v>0</v>
      </c>
    </row>
    <row r="49" spans="1:28" ht="18" customHeight="1">
      <c r="A49" s="2019"/>
      <c r="B49" s="2089"/>
      <c r="C49" s="2033"/>
      <c r="D49" s="2035"/>
      <c r="E49" s="440">
        <f>E48*0.3025</f>
        <v>0</v>
      </c>
      <c r="F49" s="441">
        <f>F48*0.3025</f>
        <v>0</v>
      </c>
      <c r="G49" s="441">
        <f>G48*0.3025</f>
        <v>0</v>
      </c>
      <c r="H49" s="441">
        <f>H48*0.3025</f>
        <v>0</v>
      </c>
      <c r="I49" s="1308">
        <f>I48*0.3025</f>
        <v>0</v>
      </c>
      <c r="J49" s="1321">
        <f>IFERROR(IF(OR(A48="공동주택",A49="도시형생활주택"),E49/H49,E49/I49),0)</f>
        <v>0</v>
      </c>
      <c r="K49" s="1649">
        <f>K48*0.3025</f>
        <v>0</v>
      </c>
      <c r="L49" s="2023"/>
      <c r="M49" s="2024"/>
      <c r="N49" s="2025"/>
      <c r="O49" s="2026"/>
      <c r="P49" s="2026"/>
      <c r="Q49" s="2016"/>
      <c r="R49" s="2017"/>
      <c r="S49" s="872"/>
      <c r="T49" s="872"/>
      <c r="U49" s="872"/>
      <c r="V49" s="872"/>
      <c r="W49">
        <f t="shared" si="30"/>
        <v>0</v>
      </c>
      <c r="X49" s="629">
        <f t="shared" si="31"/>
        <v>0</v>
      </c>
      <c r="Y49" s="629">
        <f t="shared" si="32"/>
        <v>0</v>
      </c>
      <c r="Z49" s="629">
        <f t="shared" si="33"/>
        <v>0</v>
      </c>
      <c r="AA49" s="629">
        <f t="shared" si="34"/>
        <v>0</v>
      </c>
      <c r="AB49" s="629">
        <f t="shared" si="35"/>
        <v>0</v>
      </c>
    </row>
    <row r="50" spans="1:28" ht="18" customHeight="1">
      <c r="A50" s="2018"/>
      <c r="B50" s="2020"/>
      <c r="C50" s="2021"/>
      <c r="D50" s="2022"/>
      <c r="E50" s="1265"/>
      <c r="F50" s="1266"/>
      <c r="G50" s="1266"/>
      <c r="H50" s="439">
        <f>SUM(E50,F50)</f>
        <v>0</v>
      </c>
      <c r="I50" s="1309">
        <f>SUM(G50,H50)</f>
        <v>0</v>
      </c>
      <c r="J50" s="1322">
        <f>IFERROR(IF(OR(A50="공동주택",A50="도시형생활주택"),E50/H50,E50/I50),0)</f>
        <v>0</v>
      </c>
      <c r="K50" s="1652">
        <f>IF(A50="발코니확장비",0,총괄장!$C$7*(분양개요!E50/분양개요!$E$5))</f>
        <v>0</v>
      </c>
      <c r="L50" s="2023">
        <f>IFERROR(총괄장!$C$8*K50/총괄장!$C$7,0)</f>
        <v>0</v>
      </c>
      <c r="M50" s="2024">
        <f>O50-L50</f>
        <v>0</v>
      </c>
      <c r="N50" s="2025">
        <f>(IF(AND(OR(A50="공동주택",A50="도시형생활주택"),E50&lt;=85),0,M50*10%))</f>
        <v>0</v>
      </c>
      <c r="O50" s="2026">
        <f>IF(OR(A50="공동주택",A50="도시형생활주택"),H51*D50,I51*D50)</f>
        <v>0</v>
      </c>
      <c r="P50" s="2026">
        <f>N50+O50</f>
        <v>0</v>
      </c>
      <c r="Q50" s="2015">
        <f t="shared" ref="Q50" si="39">O50*C50</f>
        <v>0</v>
      </c>
      <c r="R50" s="2017">
        <f>IFERROR(#REF!/#REF!,0)</f>
        <v>0</v>
      </c>
      <c r="S50" s="872"/>
      <c r="T50" s="872">
        <f>IF(AND(A50="오피스텔",40&lt;E50,E50&lt;=85),C50,(IF(A50="공동주택",C50,IF(A50="도시형생활주택",C50,0))))</f>
        <v>0</v>
      </c>
      <c r="U50" s="872">
        <f>IF(T50&gt;0,Q50,0)</f>
        <v>0</v>
      </c>
      <c r="V50" s="872"/>
      <c r="W50">
        <f t="shared" si="30"/>
        <v>0</v>
      </c>
      <c r="X50" s="629">
        <f t="shared" si="31"/>
        <v>0</v>
      </c>
      <c r="Y50" s="629">
        <f t="shared" si="32"/>
        <v>0</v>
      </c>
      <c r="Z50" s="629">
        <f t="shared" si="33"/>
        <v>0</v>
      </c>
      <c r="AA50" s="629">
        <f t="shared" si="34"/>
        <v>0</v>
      </c>
      <c r="AB50" s="629">
        <f t="shared" si="35"/>
        <v>0</v>
      </c>
    </row>
    <row r="51" spans="1:28" ht="18" customHeight="1">
      <c r="A51" s="2019"/>
      <c r="B51" s="2020"/>
      <c r="C51" s="2021"/>
      <c r="D51" s="2022"/>
      <c r="E51" s="440">
        <f>E50*0.3025</f>
        <v>0</v>
      </c>
      <c r="F51" s="441">
        <f>F50*0.3025</f>
        <v>0</v>
      </c>
      <c r="G51" s="441">
        <f>G50*0.3025</f>
        <v>0</v>
      </c>
      <c r="H51" s="441">
        <f>H50*0.3025</f>
        <v>0</v>
      </c>
      <c r="I51" s="1308">
        <f>I50*0.3025</f>
        <v>0</v>
      </c>
      <c r="J51" s="1321">
        <f>IFERROR(IF(OR(A50="공동주택",A51="도시형생활주택"),E51/H51,E51/I51),0)</f>
        <v>0</v>
      </c>
      <c r="K51" s="1591">
        <f>K50*0.3025</f>
        <v>0</v>
      </c>
      <c r="L51" s="2023"/>
      <c r="M51" s="2024"/>
      <c r="N51" s="2025"/>
      <c r="O51" s="2026"/>
      <c r="P51" s="2026"/>
      <c r="Q51" s="2016"/>
      <c r="R51" s="2017"/>
      <c r="S51" s="872"/>
      <c r="T51" s="872"/>
      <c r="U51" s="872"/>
      <c r="V51" s="872"/>
      <c r="W51">
        <f t="shared" si="30"/>
        <v>0</v>
      </c>
      <c r="X51" s="629">
        <f t="shared" si="31"/>
        <v>0</v>
      </c>
      <c r="Y51" s="629">
        <f t="shared" si="32"/>
        <v>0</v>
      </c>
      <c r="Z51" s="629">
        <f t="shared" si="33"/>
        <v>0</v>
      </c>
      <c r="AA51" s="629">
        <f t="shared" si="34"/>
        <v>0</v>
      </c>
      <c r="AB51" s="629">
        <f t="shared" si="35"/>
        <v>0</v>
      </c>
    </row>
    <row r="52" spans="1:28" ht="18" customHeight="1">
      <c r="A52" s="2018"/>
      <c r="B52" s="2020"/>
      <c r="C52" s="2021"/>
      <c r="D52" s="2022"/>
      <c r="E52" s="1265"/>
      <c r="F52" s="1266"/>
      <c r="G52" s="1266"/>
      <c r="H52" s="439">
        <f>SUM(E52,F52)</f>
        <v>0</v>
      </c>
      <c r="I52" s="1309">
        <f>SUM(G52,H52)</f>
        <v>0</v>
      </c>
      <c r="J52" s="1322">
        <f>IFERROR(IF(OR(A52="공동주택",A52="도시형생활주택"),E52/H52,E52/I52),0)</f>
        <v>0</v>
      </c>
      <c r="K52" s="1652">
        <f>IF(A52="발코니확장비",0,총괄장!$C$7*(분양개요!E52/분양개요!$E$5))</f>
        <v>0</v>
      </c>
      <c r="L52" s="2023">
        <f>IFERROR(총괄장!$C$8*K52/총괄장!$C$7,0)</f>
        <v>0</v>
      </c>
      <c r="M52" s="2024">
        <f>O52-L52</f>
        <v>0</v>
      </c>
      <c r="N52" s="2025">
        <f>(IF(AND(OR(A52="공동주택",A52="도시형생활주택"),E52&lt;=85),0,M52*10%))</f>
        <v>0</v>
      </c>
      <c r="O52" s="2026">
        <f>IF(OR(A52="공동주택",A52="도시형생활주택"),H53*D52,I53*D52)</f>
        <v>0</v>
      </c>
      <c r="P52" s="2026">
        <f>N52+O52</f>
        <v>0</v>
      </c>
      <c r="Q52" s="2015">
        <f t="shared" ref="Q52" si="40">O52*C52</f>
        <v>0</v>
      </c>
      <c r="R52" s="2017">
        <f>IFERROR(#REF!/#REF!,0)</f>
        <v>0</v>
      </c>
      <c r="S52" s="872"/>
      <c r="T52" s="872">
        <f>IF(AND(A52="오피스텔",40&lt;E52,E52&lt;=85),C52,(IF(A52="공동주택",C52,IF(A52="도시형생활주택",C52,0))))</f>
        <v>0</v>
      </c>
      <c r="U52" s="872">
        <f>IF(T52&gt;0,Q52,0)</f>
        <v>0</v>
      </c>
      <c r="V52" s="872"/>
      <c r="W52">
        <f t="shared" si="11"/>
        <v>0</v>
      </c>
      <c r="X52" s="629">
        <f t="shared" si="12"/>
        <v>0</v>
      </c>
      <c r="Y52" s="629">
        <f t="shared" si="13"/>
        <v>0</v>
      </c>
      <c r="Z52" s="629">
        <f t="shared" si="14"/>
        <v>0</v>
      </c>
      <c r="AA52" s="629">
        <f t="shared" si="15"/>
        <v>0</v>
      </c>
      <c r="AB52" s="629">
        <f t="shared" si="16"/>
        <v>0</v>
      </c>
    </row>
    <row r="53" spans="1:28" ht="18" customHeight="1">
      <c r="A53" s="2019"/>
      <c r="B53" s="2020"/>
      <c r="C53" s="2021"/>
      <c r="D53" s="2022"/>
      <c r="E53" s="440">
        <f>E52*0.3025</f>
        <v>0</v>
      </c>
      <c r="F53" s="441">
        <f>F52*0.3025</f>
        <v>0</v>
      </c>
      <c r="G53" s="441">
        <f>G52*0.3025</f>
        <v>0</v>
      </c>
      <c r="H53" s="441">
        <f>H52*0.3025</f>
        <v>0</v>
      </c>
      <c r="I53" s="1308">
        <f>I52*0.3025</f>
        <v>0</v>
      </c>
      <c r="J53" s="1321">
        <f>IFERROR(IF(OR(A52="공동주택",A53="도시형생활주택"),E53/H53,E53/I53),0)</f>
        <v>0</v>
      </c>
      <c r="K53" s="1591">
        <f>K52*0.3025</f>
        <v>0</v>
      </c>
      <c r="L53" s="2023"/>
      <c r="M53" s="2024"/>
      <c r="N53" s="2025"/>
      <c r="O53" s="2026"/>
      <c r="P53" s="2026"/>
      <c r="Q53" s="2016"/>
      <c r="R53" s="2017"/>
      <c r="S53" s="872"/>
      <c r="T53" s="872"/>
      <c r="U53" s="872"/>
      <c r="V53" s="872"/>
      <c r="W53">
        <f t="shared" si="11"/>
        <v>0</v>
      </c>
      <c r="X53" s="629">
        <f t="shared" si="12"/>
        <v>0</v>
      </c>
      <c r="Y53" s="629">
        <f t="shared" si="13"/>
        <v>0</v>
      </c>
      <c r="Z53" s="629">
        <f t="shared" si="14"/>
        <v>0</v>
      </c>
      <c r="AA53" s="629">
        <f t="shared" si="15"/>
        <v>0</v>
      </c>
      <c r="AB53" s="629">
        <f t="shared" si="16"/>
        <v>0</v>
      </c>
    </row>
    <row r="54" spans="1:28" ht="18" customHeight="1">
      <c r="A54" s="2018"/>
      <c r="B54" s="2020"/>
      <c r="C54" s="2021"/>
      <c r="D54" s="2022"/>
      <c r="E54" s="1265"/>
      <c r="F54" s="1266"/>
      <c r="G54" s="1266"/>
      <c r="H54" s="439">
        <f>SUM(E54,F54)</f>
        <v>0</v>
      </c>
      <c r="I54" s="1309">
        <f>SUM(G54,H54)</f>
        <v>0</v>
      </c>
      <c r="J54" s="1322">
        <f>IFERROR(IF(OR(A54="공동주택",A54="도시형생활주택"),E54/H54,E54/I54),0)</f>
        <v>0</v>
      </c>
      <c r="K54" s="1652">
        <f>IF(A54="발코니확장비",0,총괄장!$C$7*(분양개요!E54/분양개요!$E$5))</f>
        <v>0</v>
      </c>
      <c r="L54" s="2023">
        <f>IFERROR(총괄장!$C$8*K54/총괄장!$C$7,0)</f>
        <v>0</v>
      </c>
      <c r="M54" s="2024">
        <f>O54-L54</f>
        <v>0</v>
      </c>
      <c r="N54" s="2025">
        <f>(IF(AND(OR(A54="공동주택",A54="도시형생활주택"),E54&lt;=85),0,M54*10%))</f>
        <v>0</v>
      </c>
      <c r="O54" s="2026">
        <f>IF(OR(A54="공동주택",A54="도시형생활주택"),H55*D54,I55*D54)</f>
        <v>0</v>
      </c>
      <c r="P54" s="2026">
        <f>N54+O54</f>
        <v>0</v>
      </c>
      <c r="Q54" s="2015">
        <f t="shared" ref="Q54" si="41">O54*C54</f>
        <v>0</v>
      </c>
      <c r="R54" s="2017">
        <f>IFERROR(#REF!/#REF!,0)</f>
        <v>0</v>
      </c>
      <c r="S54" s="872"/>
      <c r="T54" s="872">
        <f>IF(AND(A54="오피스텔",40&lt;E54,E54&lt;=85),C54,(IF(A54="공동주택",C54,IF(A54="도시형생활주택",C54,0))))</f>
        <v>0</v>
      </c>
      <c r="U54" s="872">
        <f>IF(T54&gt;0,Q54,0)</f>
        <v>0</v>
      </c>
      <c r="V54" s="872"/>
      <c r="W54">
        <f xml:space="preserve"> IFERROR(A54,"")</f>
        <v>0</v>
      </c>
      <c r="X54" s="629">
        <f>C54*E54</f>
        <v>0</v>
      </c>
      <c r="Y54" s="629">
        <f>C54*F54</f>
        <v>0</v>
      </c>
      <c r="Z54" s="629">
        <f>C54*G54</f>
        <v>0</v>
      </c>
      <c r="AA54" s="629">
        <f>C54*H54</f>
        <v>0</v>
      </c>
      <c r="AB54" s="629">
        <f>C54*I54</f>
        <v>0</v>
      </c>
    </row>
    <row r="55" spans="1:28" ht="18" customHeight="1">
      <c r="A55" s="2019"/>
      <c r="B55" s="2020"/>
      <c r="C55" s="2021"/>
      <c r="D55" s="2022"/>
      <c r="E55" s="440">
        <f>E54*0.3025</f>
        <v>0</v>
      </c>
      <c r="F55" s="441">
        <f>F54*0.3025</f>
        <v>0</v>
      </c>
      <c r="G55" s="441">
        <f>G54*0.3025</f>
        <v>0</v>
      </c>
      <c r="H55" s="441">
        <f>H54*0.3025</f>
        <v>0</v>
      </c>
      <c r="I55" s="1308">
        <f>I54*0.3025</f>
        <v>0</v>
      </c>
      <c r="J55" s="1321">
        <f>IFERROR(IF(OR(A54="공동주택",A55="도시형생활주택"),E55/H55,E55/I55),0)</f>
        <v>0</v>
      </c>
      <c r="K55" s="1591">
        <f>K54*0.3025</f>
        <v>0</v>
      </c>
      <c r="L55" s="2023"/>
      <c r="M55" s="2024"/>
      <c r="N55" s="2025"/>
      <c r="O55" s="2026"/>
      <c r="P55" s="2026"/>
      <c r="Q55" s="2016"/>
      <c r="R55" s="2017"/>
      <c r="S55" s="872"/>
      <c r="T55" s="872"/>
      <c r="U55" s="872"/>
      <c r="V55" s="872"/>
      <c r="W55">
        <f xml:space="preserve"> IFERROR(A55,"")</f>
        <v>0</v>
      </c>
      <c r="X55" s="629">
        <f>C55*E55</f>
        <v>0</v>
      </c>
      <c r="Y55" s="629">
        <f>C55*F55</f>
        <v>0</v>
      </c>
      <c r="Z55" s="629">
        <f>C55*G55</f>
        <v>0</v>
      </c>
      <c r="AA55" s="629">
        <f>C55*H55</f>
        <v>0</v>
      </c>
      <c r="AB55" s="629">
        <f>C55*I55</f>
        <v>0</v>
      </c>
    </row>
    <row r="56" spans="1:28" ht="18" customHeight="1">
      <c r="A56" s="2018"/>
      <c r="B56" s="2081"/>
      <c r="C56" s="2083"/>
      <c r="D56" s="2035"/>
      <c r="E56" s="1388"/>
      <c r="F56" s="1389"/>
      <c r="G56" s="1389"/>
      <c r="H56" s="1390">
        <f>SUM(E56,F56)</f>
        <v>0</v>
      </c>
      <c r="I56" s="1391">
        <f>SUM(G56,H56)</f>
        <v>0</v>
      </c>
      <c r="J56" s="1392">
        <f>IFERROR(IF(OR(A56="공동주택",A56="도시형생활주택"),E56/H56,E56/I56),0)</f>
        <v>0</v>
      </c>
      <c r="K56" s="1652">
        <f>IF(A56="발코니확장비",0,총괄장!$C$7*(분양개요!E56/분양개요!$E$5))</f>
        <v>0</v>
      </c>
      <c r="L56" s="2074">
        <f>IFERROR(총괄장!$C$8*K56/총괄장!$C$7,0)</f>
        <v>0</v>
      </c>
      <c r="M56" s="2071">
        <f>O56-L56</f>
        <v>0</v>
      </c>
      <c r="N56" s="2078">
        <f>(IF(AND(OR(A56="공동주택",A56="도시형생활주택"),E56&lt;=85),0,M56*10%))</f>
        <v>0</v>
      </c>
      <c r="O56" s="2076">
        <f>IF(A56="공동주택",H57*D56,I57*D56)</f>
        <v>0</v>
      </c>
      <c r="P56" s="2086">
        <f>N56+O56</f>
        <v>0</v>
      </c>
      <c r="Q56" s="2015">
        <f t="shared" ref="Q56" si="42">O56*C56</f>
        <v>0</v>
      </c>
      <c r="R56" s="2038">
        <f>IFERROR(#REF!/#REF!,0)</f>
        <v>0</v>
      </c>
      <c r="S56" s="872"/>
      <c r="T56" s="872">
        <f>IF(AND(A56="오피스텔",40&lt;E56,E56&lt;=85),C56,(IF(A56="공동주택",C56,IF(A56="도시형생활주택",C56,0))))</f>
        <v>0</v>
      </c>
      <c r="U56" s="872">
        <f>IF(T56&gt;0,Q56,0)</f>
        <v>0</v>
      </c>
      <c r="V56" s="872"/>
      <c r="W56">
        <f xml:space="preserve"> IFERROR(A56,"")</f>
        <v>0</v>
      </c>
      <c r="X56" s="629">
        <f>C56*E56</f>
        <v>0</v>
      </c>
      <c r="Y56" s="629">
        <f>C56*F56</f>
        <v>0</v>
      </c>
      <c r="Z56" s="629">
        <f>C56*G56</f>
        <v>0</v>
      </c>
      <c r="AA56" s="629">
        <f>C56*H56</f>
        <v>0</v>
      </c>
      <c r="AB56" s="629">
        <f>C56*I56</f>
        <v>0</v>
      </c>
    </row>
    <row r="57" spans="1:28" ht="18" customHeight="1">
      <c r="A57" s="2080"/>
      <c r="B57" s="2082"/>
      <c r="C57" s="2084"/>
      <c r="D57" s="2085"/>
      <c r="E57" s="653">
        <f>E56*0.3025</f>
        <v>0</v>
      </c>
      <c r="F57" s="654">
        <f>F56*0.3025</f>
        <v>0</v>
      </c>
      <c r="G57" s="654">
        <f>G56*0.3025</f>
        <v>0</v>
      </c>
      <c r="H57" s="654">
        <f>H56*0.3025</f>
        <v>0</v>
      </c>
      <c r="I57" s="1310">
        <f>I56*0.3025</f>
        <v>0</v>
      </c>
      <c r="J57" s="1323">
        <f>IFERROR(IF(OR(A56="공동주택",A57="도시형생활주택"),E57/H57,E57/I57),0)</f>
        <v>0</v>
      </c>
      <c r="K57" s="1651">
        <f>K56*0.3025</f>
        <v>0</v>
      </c>
      <c r="L57" s="2075"/>
      <c r="M57" s="2072"/>
      <c r="N57" s="2079"/>
      <c r="O57" s="2077"/>
      <c r="P57" s="2087"/>
      <c r="Q57" s="2073"/>
      <c r="R57" s="2070"/>
      <c r="S57" s="872"/>
      <c r="T57" s="872"/>
      <c r="U57" s="872"/>
      <c r="V57" s="872"/>
      <c r="W57">
        <f xml:space="preserve"> IFERROR(A57,"")</f>
        <v>0</v>
      </c>
      <c r="X57" s="629">
        <f>C57*E57</f>
        <v>0</v>
      </c>
      <c r="Y57" s="629">
        <f>C57*F57</f>
        <v>0</v>
      </c>
      <c r="Z57" s="629">
        <f>C57*G57</f>
        <v>0</v>
      </c>
      <c r="AA57" s="629">
        <f>C57*H57</f>
        <v>0</v>
      </c>
      <c r="AB57" s="629">
        <f>C57*I57</f>
        <v>0</v>
      </c>
    </row>
    <row r="58" spans="1:28">
      <c r="U58" s="872"/>
      <c r="V58" s="872"/>
    </row>
    <row r="59" spans="1:28">
      <c r="E59" s="1586"/>
      <c r="H59" s="1586"/>
    </row>
  </sheetData>
  <mergeCells count="243">
    <mergeCell ref="R46:R47"/>
    <mergeCell ref="A48:A49"/>
    <mergeCell ref="B48:B49"/>
    <mergeCell ref="C48:C49"/>
    <mergeCell ref="D48:D49"/>
    <mergeCell ref="L48:L49"/>
    <mergeCell ref="M48:M49"/>
    <mergeCell ref="N48:N49"/>
    <mergeCell ref="O48:O49"/>
    <mergeCell ref="P48:P49"/>
    <mergeCell ref="Q48:Q49"/>
    <mergeCell ref="R48:R49"/>
    <mergeCell ref="A46:A47"/>
    <mergeCell ref="B46:B47"/>
    <mergeCell ref="C46:C47"/>
    <mergeCell ref="D46:D47"/>
    <mergeCell ref="R42:R43"/>
    <mergeCell ref="A44:A45"/>
    <mergeCell ref="B44:B45"/>
    <mergeCell ref="C44:C45"/>
    <mergeCell ref="D44:D45"/>
    <mergeCell ref="L44:L45"/>
    <mergeCell ref="M44:M45"/>
    <mergeCell ref="N44:N45"/>
    <mergeCell ref="O44:O45"/>
    <mergeCell ref="P44:P45"/>
    <mergeCell ref="Q44:Q45"/>
    <mergeCell ref="R44:R45"/>
    <mergeCell ref="C42:C43"/>
    <mergeCell ref="D42:D43"/>
    <mergeCell ref="P56:P57"/>
    <mergeCell ref="M28:M29"/>
    <mergeCell ref="M30:M31"/>
    <mergeCell ref="M32:M33"/>
    <mergeCell ref="M34:M35"/>
    <mergeCell ref="Q28:Q29"/>
    <mergeCell ref="Q30:Q31"/>
    <mergeCell ref="Q32:Q33"/>
    <mergeCell ref="L42:L43"/>
    <mergeCell ref="M42:M43"/>
    <mergeCell ref="N42:N43"/>
    <mergeCell ref="O42:O43"/>
    <mergeCell ref="P42:P43"/>
    <mergeCell ref="Q42:Q43"/>
    <mergeCell ref="L46:L47"/>
    <mergeCell ref="M46:M47"/>
    <mergeCell ref="N46:N47"/>
    <mergeCell ref="O46:O47"/>
    <mergeCell ref="P46:P47"/>
    <mergeCell ref="Q46:Q47"/>
    <mergeCell ref="M40:M41"/>
    <mergeCell ref="L34:L35"/>
    <mergeCell ref="L36:L37"/>
    <mergeCell ref="L38:L39"/>
    <mergeCell ref="L30:L31"/>
    <mergeCell ref="L32:L33"/>
    <mergeCell ref="O56:O57"/>
    <mergeCell ref="N56:N57"/>
    <mergeCell ref="A56:A57"/>
    <mergeCell ref="B56:B57"/>
    <mergeCell ref="C56:C57"/>
    <mergeCell ref="D56:D57"/>
    <mergeCell ref="A38:A39"/>
    <mergeCell ref="B38:B39"/>
    <mergeCell ref="A40:A41"/>
    <mergeCell ref="B40:B41"/>
    <mergeCell ref="C40:C41"/>
    <mergeCell ref="D40:D41"/>
    <mergeCell ref="A52:A53"/>
    <mergeCell ref="B52:B53"/>
    <mergeCell ref="C52:C53"/>
    <mergeCell ref="D52:D53"/>
    <mergeCell ref="C38:C39"/>
    <mergeCell ref="D38:D39"/>
    <mergeCell ref="A42:A43"/>
    <mergeCell ref="B42:B43"/>
    <mergeCell ref="R56:R57"/>
    <mergeCell ref="M56:M57"/>
    <mergeCell ref="C36:C37"/>
    <mergeCell ref="O38:O39"/>
    <mergeCell ref="N38:N39"/>
    <mergeCell ref="P38:P39"/>
    <mergeCell ref="R38:R39"/>
    <mergeCell ref="N40:N41"/>
    <mergeCell ref="P40:P41"/>
    <mergeCell ref="R40:R41"/>
    <mergeCell ref="O40:O41"/>
    <mergeCell ref="O52:O53"/>
    <mergeCell ref="N52:N53"/>
    <mergeCell ref="P52:P53"/>
    <mergeCell ref="R52:R53"/>
    <mergeCell ref="M52:M53"/>
    <mergeCell ref="M36:M37"/>
    <mergeCell ref="L40:L41"/>
    <mergeCell ref="Q40:Q41"/>
    <mergeCell ref="Q52:Q53"/>
    <mergeCell ref="Q38:Q39"/>
    <mergeCell ref="Q56:Q57"/>
    <mergeCell ref="L56:L57"/>
    <mergeCell ref="M38:M39"/>
    <mergeCell ref="A1:C2"/>
    <mergeCell ref="A7:A15"/>
    <mergeCell ref="D3:D4"/>
    <mergeCell ref="B16:B17"/>
    <mergeCell ref="C16:C17"/>
    <mergeCell ref="A5:B5"/>
    <mergeCell ref="A3:B3"/>
    <mergeCell ref="C3:C4"/>
    <mergeCell ref="D28:D29"/>
    <mergeCell ref="D26:D27"/>
    <mergeCell ref="D24:D25"/>
    <mergeCell ref="C18:C19"/>
    <mergeCell ref="D18:D19"/>
    <mergeCell ref="D20:D21"/>
    <mergeCell ref="C26:C27"/>
    <mergeCell ref="A28:A29"/>
    <mergeCell ref="B28:B29"/>
    <mergeCell ref="A24:A25"/>
    <mergeCell ref="A22:A23"/>
    <mergeCell ref="A18:A19"/>
    <mergeCell ref="B22:B23"/>
    <mergeCell ref="C22:C23"/>
    <mergeCell ref="A26:A27"/>
    <mergeCell ref="B26:B27"/>
    <mergeCell ref="R3:R4"/>
    <mergeCell ref="R16:R17"/>
    <mergeCell ref="E3:G3"/>
    <mergeCell ref="J3:J4"/>
    <mergeCell ref="O16:O17"/>
    <mergeCell ref="N16:N17"/>
    <mergeCell ref="P16:P17"/>
    <mergeCell ref="A16:A17"/>
    <mergeCell ref="A20:A21"/>
    <mergeCell ref="B20:B21"/>
    <mergeCell ref="B18:B19"/>
    <mergeCell ref="R18:R19"/>
    <mergeCell ref="O20:O21"/>
    <mergeCell ref="O18:O19"/>
    <mergeCell ref="N18:N19"/>
    <mergeCell ref="L3:Q3"/>
    <mergeCell ref="Q16:Q17"/>
    <mergeCell ref="Q18:Q19"/>
    <mergeCell ref="Q20:Q21"/>
    <mergeCell ref="D16:D17"/>
    <mergeCell ref="K3:K4"/>
    <mergeCell ref="L16:L17"/>
    <mergeCell ref="L18:L19"/>
    <mergeCell ref="L20:L21"/>
    <mergeCell ref="B24:B25"/>
    <mergeCell ref="C24:C25"/>
    <mergeCell ref="C20:C21"/>
    <mergeCell ref="D22:D23"/>
    <mergeCell ref="L22:L23"/>
    <mergeCell ref="L24:L25"/>
    <mergeCell ref="L26:L27"/>
    <mergeCell ref="R22:R23"/>
    <mergeCell ref="O22:O23"/>
    <mergeCell ref="N22:N23"/>
    <mergeCell ref="P22:P23"/>
    <mergeCell ref="M24:M25"/>
    <mergeCell ref="M26:M27"/>
    <mergeCell ref="R26:R27"/>
    <mergeCell ref="M16:M17"/>
    <mergeCell ref="M18:M19"/>
    <mergeCell ref="M20:M21"/>
    <mergeCell ref="M22:M23"/>
    <mergeCell ref="P20:P21"/>
    <mergeCell ref="R24:R25"/>
    <mergeCell ref="O24:O25"/>
    <mergeCell ref="N24:N25"/>
    <mergeCell ref="P24:P25"/>
    <mergeCell ref="R20:R21"/>
    <mergeCell ref="Q34:Q35"/>
    <mergeCell ref="Q36:Q37"/>
    <mergeCell ref="O28:O29"/>
    <mergeCell ref="R30:R31"/>
    <mergeCell ref="A36:A37"/>
    <mergeCell ref="B36:B37"/>
    <mergeCell ref="A34:A35"/>
    <mergeCell ref="B34:B35"/>
    <mergeCell ref="A32:A33"/>
    <mergeCell ref="B32:B33"/>
    <mergeCell ref="A30:A31"/>
    <mergeCell ref="B30:B31"/>
    <mergeCell ref="O30:O31"/>
    <mergeCell ref="N30:N31"/>
    <mergeCell ref="P30:P31"/>
    <mergeCell ref="C34:C35"/>
    <mergeCell ref="C32:C33"/>
    <mergeCell ref="D36:D37"/>
    <mergeCell ref="D34:D35"/>
    <mergeCell ref="D32:D33"/>
    <mergeCell ref="C30:C31"/>
    <mergeCell ref="C28:C29"/>
    <mergeCell ref="D30:D31"/>
    <mergeCell ref="L28:L29"/>
    <mergeCell ref="X14:Z14"/>
    <mergeCell ref="R32:R33"/>
    <mergeCell ref="O34:O35"/>
    <mergeCell ref="N34:N35"/>
    <mergeCell ref="P34:P35"/>
    <mergeCell ref="R34:R35"/>
    <mergeCell ref="O32:O33"/>
    <mergeCell ref="N36:N37"/>
    <mergeCell ref="P36:P37"/>
    <mergeCell ref="R36:R37"/>
    <mergeCell ref="O36:O37"/>
    <mergeCell ref="N28:N29"/>
    <mergeCell ref="P28:P29"/>
    <mergeCell ref="N32:N33"/>
    <mergeCell ref="P32:P33"/>
    <mergeCell ref="R28:R29"/>
    <mergeCell ref="Q22:Q23"/>
    <mergeCell ref="Q24:Q25"/>
    <mergeCell ref="Q26:Q27"/>
    <mergeCell ref="O26:O27"/>
    <mergeCell ref="N26:N27"/>
    <mergeCell ref="P26:P27"/>
    <mergeCell ref="P18:P19"/>
    <mergeCell ref="N20:N21"/>
    <mergeCell ref="Q50:Q51"/>
    <mergeCell ref="R50:R51"/>
    <mergeCell ref="A54:A55"/>
    <mergeCell ref="B54:B55"/>
    <mergeCell ref="C54:C55"/>
    <mergeCell ref="D54:D55"/>
    <mergeCell ref="L54:L55"/>
    <mergeCell ref="M54:M55"/>
    <mergeCell ref="N54:N55"/>
    <mergeCell ref="O54:O55"/>
    <mergeCell ref="P54:P55"/>
    <mergeCell ref="Q54:Q55"/>
    <mergeCell ref="R54:R55"/>
    <mergeCell ref="A50:A51"/>
    <mergeCell ref="B50:B51"/>
    <mergeCell ref="C50:C51"/>
    <mergeCell ref="D50:D51"/>
    <mergeCell ref="L50:L51"/>
    <mergeCell ref="M50:M51"/>
    <mergeCell ref="N50:N51"/>
    <mergeCell ref="O50:O51"/>
    <mergeCell ref="P50:P51"/>
    <mergeCell ref="L52:L53"/>
  </mergeCells>
  <phoneticPr fontId="4" type="noConversion"/>
  <conditionalFormatting sqref="R15:S15 R5:V14">
    <cfRule type="dataBar" priority="3">
      <dataBar>
        <cfvo type="min"/>
        <cfvo type="max"/>
        <color rgb="FFFF555A"/>
      </dataBar>
      <extLst>
        <ext xmlns:x14="http://schemas.microsoft.com/office/spreadsheetml/2009/9/main" uri="{B025F937-C7B1-47D3-B67F-A62EFF666E3E}">
          <x14:id>{8E0F0C97-E3FD-427B-AFBE-8C5E2D1AC8A2}</x14:id>
        </ext>
      </extLst>
    </cfRule>
  </conditionalFormatting>
  <dataValidations count="1">
    <dataValidation type="list" allowBlank="1" showInputMessage="1" showErrorMessage="1" sqref="A16:A57" xr:uid="{00000000-0002-0000-0100-000000000000}">
      <formula1>$B$6:$B$15</formula1>
    </dataValidation>
  </dataValidations>
  <printOptions horizontalCentered="1" verticalCentered="1"/>
  <pageMargins left="0.23622047244094491" right="0.23622047244094491" top="0.74803149606299213" bottom="0.74803149606299213" header="0.31496062992125984" footer="0.31496062992125984"/>
  <pageSetup paperSize="9" scale="51" orientation="landscape" r:id="rId1"/>
  <colBreaks count="1" manualBreakCount="1">
    <brk id="18" max="1048575" man="1"/>
  </colBreaks>
  <ignoredErrors>
    <ignoredError sqref="H16:I16 O17 G39 G41 G53" unlockedFormula="1"/>
    <ignoredError sqref="H17:I27 H52:I53 I28:I29 H30:I41" formula="1" unlockedFormula="1"/>
    <ignoredError sqref="H28"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121860" r:id="rId4" name="Button 4">
              <controlPr defaultSize="0" print="0" autoFill="0" autoPict="0" macro="[0]!분양개요초기화">
                <anchor moveWithCells="1">
                  <from>
                    <xdr:col>9</xdr:col>
                    <xdr:colOff>68580</xdr:colOff>
                    <xdr:row>0</xdr:row>
                    <xdr:rowOff>114300</xdr:rowOff>
                  </from>
                  <to>
                    <xdr:col>11</xdr:col>
                    <xdr:colOff>121920</xdr:colOff>
                    <xdr:row>1</xdr:row>
                    <xdr:rowOff>144780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8E0F0C97-E3FD-427B-AFBE-8C5E2D1AC8A2}">
            <x14:dataBar minLength="0" maxLength="100" border="1" negativeBarBorderColorSameAsPositive="0">
              <x14:cfvo type="autoMin"/>
              <x14:cfvo type="autoMax"/>
              <x14:borderColor rgb="FFFF555A"/>
              <x14:negativeFillColor rgb="FFFF0000"/>
              <x14:negativeBorderColor rgb="FFFF0000"/>
              <x14:axisColor rgb="FF000000"/>
            </x14:dataBar>
          </x14:cfRule>
          <xm:sqref>R15:S15 R5:V14</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7">
    <pageSetUpPr fitToPage="1"/>
  </sheetPr>
  <dimension ref="B1:H27"/>
  <sheetViews>
    <sheetView view="pageBreakPreview" zoomScale="130" zoomScaleNormal="100" zoomScaleSheetLayoutView="130" workbookViewId="0">
      <selection activeCell="B5" sqref="B5:C5"/>
    </sheetView>
  </sheetViews>
  <sheetFormatPr defaultRowHeight="17.399999999999999"/>
  <cols>
    <col min="2" max="2" width="10.59765625" customWidth="1"/>
    <col min="4" max="4" width="15.19921875" bestFit="1" customWidth="1"/>
    <col min="5" max="8" width="15.69921875" customWidth="1"/>
  </cols>
  <sheetData>
    <row r="1" spans="2:8" ht="21">
      <c r="B1" s="1631" t="s">
        <v>1356</v>
      </c>
    </row>
    <row r="2" spans="2:8" ht="20.100000000000001" customHeight="1">
      <c r="B2" s="2091" t="s">
        <v>1357</v>
      </c>
      <c r="C2" s="2091"/>
      <c r="D2" s="2091"/>
      <c r="E2" s="1653" t="s">
        <v>1358</v>
      </c>
      <c r="F2" s="1653" t="s">
        <v>1359</v>
      </c>
      <c r="G2" s="1653" t="s">
        <v>1360</v>
      </c>
      <c r="H2" s="1653" t="s">
        <v>1361</v>
      </c>
    </row>
    <row r="3" spans="2:8">
      <c r="B3" s="2090" t="s">
        <v>1362</v>
      </c>
      <c r="C3" s="2090"/>
      <c r="D3" s="16" t="s">
        <v>1365</v>
      </c>
      <c r="E3" s="1633">
        <f>SUMPRODUCT((분양개요!$A$16:'분양개요'!$A$57="공동주택")*(분양개요!$N$16:'분양개요'!N$57=0)*(분양개요!$I$16:'분양개요'!$I$57)*(분양개요!$C$16:'분양개요'!$C$57))+SUMPRODUCT((분양개요!$A$16:'분양개요'!$A$57="도시형생활주택")*(분양개요!$N$16:'분양개요'!N$57=0)*(분양개요!$I$16:'분양개요'!$I$57)*(분양개요!$C$16:'분양개요'!$C$57))</f>
        <v>55331.880000000005</v>
      </c>
      <c r="F3" s="17">
        <f>SUMPRODUCT((분양개요!$A$16:'분양개요'!$A$57="공동주택")*(분양개요!$N$16:'분양개요'!N$57=0)*(분양개요!$L$16:'분양개요'!$L$57)*(분양개요!$C$16:'분양개요'!$C$57))+SUMPRODUCT((분양개요!$A$16:'분양개요'!$A$57="도시형생활주택")*(분양개요!$N$16:'분양개요'!N$57=0)*(분양개요!$L$16:'분양개요'!$L$57)*(분양개요!$C$16:'분양개요'!$C$57))</f>
        <v>15832021.959311139</v>
      </c>
      <c r="G3" s="17">
        <f>SUMPRODUCT((분양개요!$A$16:'분양개요'!$A$57="공동주택")*(분양개요!$N$16:'분양개요'!N$57=0)*(분양개요!$M$16:'분양개요'!$M$57)*(분양개요!$C$16:'분양개요'!$C$57))+SUMPRODUCT((분양개요!$A$16:'분양개요'!$A$57="도시형생활주택")*(분양개요!$N$16:'분양개요'!N$57=0)*(분양개요!$M$16:'분양개요'!$M$57)*(분양개요!$C$16:'분양개요'!$C$57))</f>
        <v>136830123.66568887</v>
      </c>
      <c r="H3" s="17">
        <f>SUM(F3:G3)</f>
        <v>152662145.625</v>
      </c>
    </row>
    <row r="4" spans="2:8">
      <c r="B4" s="2090"/>
      <c r="C4" s="2090"/>
      <c r="D4" s="16" t="s">
        <v>1375</v>
      </c>
      <c r="E4" s="1633">
        <f>SUMPRODUCT((분양개요!$A$16:'분양개요'!$A$57="공동주택")*(분양개요!$N$16:'분양개요'!N$57&gt;0)*(분양개요!$I$16:'분양개요'!$I$57)*(분양개요!$C$16:'분양개요'!$C$57))+SUMPRODUCT((분양개요!$A$16:'분양개요'!$A$57="도시형생활주택")*(분양개요!$N$16:'분양개요'!N$57&gt;0)*(분양개요!$I$16:'분양개요'!$I$57)*(분양개요!$C$16:'분양개요'!$C$57))+SUMPRODUCT((분양개요!$A$16:'분양개요'!$A$57="지식산업센터")*(분양개요!$N$16:'분양개요'!N$57&gt;0)*(분양개요!$I$16:'분양개요'!$I$57)*(분양개요!$C$16:'분양개요'!$C$57))</f>
        <v>0</v>
      </c>
      <c r="F4" s="17">
        <f>SUMPRODUCT((분양개요!$A$16:'분양개요'!$A$57="공동주택")*(분양개요!$N$16:'분양개요'!N$57&gt;0)*(분양개요!$L$16:'분양개요'!$L$57)*(분양개요!$C$16:'분양개요'!$C$57))+SUMPRODUCT((분양개요!$A$16:'분양개요'!$A$57="도시형생활주택")*(분양개요!$N$16:'분양개요'!N$57&gt;0)*(분양개요!$L$16:'분양개요'!$L$57)*(분양개요!$C$16:'분양개요'!$C$57))*SUMPRODUCT((분양개요!$A$16:'분양개요'!$A$57="지식산업센터")*(분양개요!$N$16:'분양개요'!N$57&gt;0)*(분양개요!$L$16:'분양개요'!$L$57)*(분양개요!$C$16:'분양개요'!$C$57))</f>
        <v>0</v>
      </c>
      <c r="G4" s="17">
        <f>SUMPRODUCT((분양개요!$A$16:'분양개요'!$A$57="공동주택")*(분양개요!$N$16:'분양개요'!N$57&gt;0)*(분양개요!$M$16:'분양개요'!$M$57)*(분양개요!$C$16:'분양개요'!$C$57))+SUMPRODUCT((분양개요!$A$16:'분양개요'!$A$57="도시형생활주택")*(분양개요!$N$16:'분양개요'!N$57&gt;0)*(분양개요!$M$16:'분양개요'!$M$57)*(분양개요!$C$16:'분양개요'!$C$57))*SUMPRODUCT((분양개요!$A$16:'분양개요'!$A$57="지식산업센터")*(분양개요!$N$16:'분양개요'!N$57&gt;0)*(분양개요!$M$16:'분양개요'!$M$57)*(분양개요!$C$16:'분양개요'!$C$57))</f>
        <v>0</v>
      </c>
      <c r="H4" s="17">
        <f>SUM(F4:G4)</f>
        <v>0</v>
      </c>
    </row>
    <row r="5" spans="2:8">
      <c r="B5" s="2090" t="s">
        <v>1363</v>
      </c>
      <c r="C5" s="2090"/>
      <c r="D5" s="16" t="s">
        <v>1366</v>
      </c>
      <c r="E5" s="1633"/>
      <c r="F5" s="17"/>
      <c r="G5" s="17">
        <f>SUMPRODUCT((분양개요!$A$16:$A$57="발코니확장비")*(분양개요!$N$16:$N$57&gt;0)*(분양개요!$N$16:$N$57&gt;0)*(분양개요!$M$16:$M$57)*(분양개요!$C$16:$C$57))</f>
        <v>4392019.7640000004</v>
      </c>
      <c r="H5" s="17">
        <f t="shared" ref="H5:H10" si="0">SUM(F5:G5)</f>
        <v>4392019.7640000004</v>
      </c>
    </row>
    <row r="6" spans="2:8">
      <c r="B6" s="2090" t="s">
        <v>1364</v>
      </c>
      <c r="C6" s="2090"/>
      <c r="D6" s="16" t="s">
        <v>1367</v>
      </c>
      <c r="E6" s="1633">
        <f>SUMPRODUCT((분양개요!$A$16:'분양개요'!$A$57="오피스텔")*(분양개요!$N$16:'분양개요'!N$57&gt;0)*(분양개요!$I$16:'분양개요'!$I$57)*(분양개요!$C$16:'분양개요'!$C$57))</f>
        <v>0</v>
      </c>
      <c r="F6" s="17">
        <f>SUMPRODUCT((분양개요!$A$16:'분양개요'!$A$57="오피스텔")*(분양개요!$N$16:'분양개요'!N$57&gt;0)*(분양개요!$L$16:'분양개요'!$L$57)*(분양개요!$C$16:'분양개요'!$C$57))</f>
        <v>0</v>
      </c>
      <c r="G6" s="17">
        <f>SUMPRODUCT((분양개요!$A$16:'분양개요'!$A$57="오피스텔")*(분양개요!$N$16:'분양개요'!N$57&gt;0)*(분양개요!$M$16:'분양개요'!$M$57)*(분양개요!$C$16:'분양개요'!$C$57))</f>
        <v>0</v>
      </c>
      <c r="H6" s="17">
        <f t="shared" si="0"/>
        <v>0</v>
      </c>
    </row>
    <row r="7" spans="2:8">
      <c r="B7" s="2090" t="s">
        <v>1374</v>
      </c>
      <c r="C7" s="2090"/>
      <c r="D7" s="16" t="s">
        <v>1367</v>
      </c>
      <c r="E7" s="1633">
        <f>SUMPRODUCT((분양개요!$A$16:'분양개요'!$A$57=B7)*(분양개요!$N$16:'분양개요'!N$57&gt;0)*(분양개요!$I$16:'분양개요'!$I$57)*(분양개요!$C$16:'분양개요'!$C$57))</f>
        <v>330</v>
      </c>
      <c r="F7" s="17">
        <f>SUMPRODUCT((분양개요!$A$16:'분양개요'!$A$57=B7)*(분양개요!$N$16:'분양개요'!N$57&gt;0)*(분양개요!$L$16:'분양개요'!$L$57)*(분양개요!$C$16:'분양개요'!$C$57))</f>
        <v>167978.04068886267</v>
      </c>
      <c r="G7" s="17">
        <f>SUMPRODUCT((분양개요!$A$16:'분양개요'!$A$57=B7)*(분양개요!$N$16:'분양개요'!N$57&gt;0)*(분양개요!$M$16:'분양개요'!$M$57)*(분양개요!$C$16:'분양개요'!$C$57))</f>
        <v>1029921.9593111373</v>
      </c>
      <c r="H7" s="17">
        <f t="shared" si="0"/>
        <v>1197900</v>
      </c>
    </row>
    <row r="8" spans="2:8">
      <c r="B8" s="2090" t="s">
        <v>1368</v>
      </c>
      <c r="C8" s="2090"/>
      <c r="D8" s="16" t="s">
        <v>1369</v>
      </c>
      <c r="E8" s="1633">
        <f>E3+E5</f>
        <v>55331.880000000005</v>
      </c>
      <c r="F8" s="17">
        <f>F3+F5</f>
        <v>15832021.959311139</v>
      </c>
      <c r="G8" s="17">
        <f>G3</f>
        <v>136830123.66568887</v>
      </c>
      <c r="H8" s="17">
        <f t="shared" si="0"/>
        <v>152662145.625</v>
      </c>
    </row>
    <row r="9" spans="2:8">
      <c r="B9" s="2090"/>
      <c r="C9" s="2090"/>
      <c r="D9" s="16" t="s">
        <v>1367</v>
      </c>
      <c r="E9" s="1633">
        <f>E4+E6+E7</f>
        <v>330</v>
      </c>
      <c r="F9" s="17">
        <f>F4+F6+F7</f>
        <v>167978.04068886267</v>
      </c>
      <c r="G9" s="17">
        <f>G4+G6+G7+G5</f>
        <v>5421941.7233111374</v>
      </c>
      <c r="H9" s="17">
        <f t="shared" si="0"/>
        <v>5589919.7640000004</v>
      </c>
    </row>
    <row r="10" spans="2:8">
      <c r="B10" s="2090"/>
      <c r="C10" s="2090"/>
      <c r="D10" s="16" t="s">
        <v>1370</v>
      </c>
      <c r="E10" s="1633">
        <f>E8+E9</f>
        <v>55661.880000000005</v>
      </c>
      <c r="F10" s="17">
        <f>F8+F9</f>
        <v>16000000.000000002</v>
      </c>
      <c r="G10" s="17">
        <f>G8+G9</f>
        <v>142252065.389</v>
      </c>
      <c r="H10" s="17">
        <f t="shared" si="0"/>
        <v>158252065.389</v>
      </c>
    </row>
    <row r="11" spans="2:8">
      <c r="F11" s="1593"/>
      <c r="G11" s="1594"/>
    </row>
    <row r="12" spans="2:8" ht="20.100000000000001" customHeight="1">
      <c r="B12" s="2091" t="s">
        <v>1376</v>
      </c>
      <c r="C12" s="2091"/>
      <c r="D12" s="1653" t="s">
        <v>1377</v>
      </c>
      <c r="E12" s="1653" t="s">
        <v>1378</v>
      </c>
      <c r="F12" s="1654" t="s">
        <v>1379</v>
      </c>
      <c r="G12" s="1653" t="s">
        <v>1380</v>
      </c>
      <c r="H12" s="1653" t="s">
        <v>1381</v>
      </c>
    </row>
    <row r="13" spans="2:8">
      <c r="B13" s="2090" t="s">
        <v>1382</v>
      </c>
      <c r="C13" s="2090"/>
      <c r="D13" s="1635">
        <f>E8</f>
        <v>55331.880000000005</v>
      </c>
      <c r="E13" s="1636">
        <f>IFERROR(D13/$D$16,0)</f>
        <v>0.99407134649422546</v>
      </c>
      <c r="F13" s="1632"/>
      <c r="G13" s="17"/>
      <c r="H13" s="1637">
        <f>IFERROR(G13/$G$16,0)</f>
        <v>0</v>
      </c>
    </row>
    <row r="14" spans="2:8">
      <c r="B14" s="2090" t="s">
        <v>1383</v>
      </c>
      <c r="C14" s="2090"/>
      <c r="D14" s="2093">
        <f>E9</f>
        <v>330</v>
      </c>
      <c r="E14" s="2094">
        <f>IFERROR(D14/$D$16,0)</f>
        <v>5.9286535057745081E-3</v>
      </c>
      <c r="F14" s="1638" t="s">
        <v>1425</v>
      </c>
      <c r="G14" s="17">
        <f>F9</f>
        <v>167978.04068886267</v>
      </c>
      <c r="H14" s="1655">
        <f>IFERROR(G14/$G$16,0)</f>
        <v>3.0050170267320972E-2</v>
      </c>
    </row>
    <row r="15" spans="2:8">
      <c r="B15" s="2090"/>
      <c r="C15" s="2090"/>
      <c r="D15" s="2090"/>
      <c r="E15" s="2094">
        <f>D15/$D$16</f>
        <v>0</v>
      </c>
      <c r="F15" s="1639" t="s">
        <v>1426</v>
      </c>
      <c r="G15" s="17">
        <f>G9</f>
        <v>5421941.7233111374</v>
      </c>
      <c r="H15" s="1637">
        <f>IFERROR(G15/$G$16,0)</f>
        <v>0.96994982973267896</v>
      </c>
    </row>
    <row r="16" spans="2:8">
      <c r="B16" s="2090" t="s">
        <v>1384</v>
      </c>
      <c r="C16" s="2090"/>
      <c r="D16" s="1634">
        <f>D13+D14</f>
        <v>55661.880000000005</v>
      </c>
      <c r="E16" s="1636">
        <f>E13+E14</f>
        <v>1</v>
      </c>
      <c r="F16" s="1632"/>
      <c r="G16" s="17">
        <f>SUM(G13:G15)</f>
        <v>5589919.7640000004</v>
      </c>
      <c r="H16" s="1637">
        <f>SUM(H13:H15)</f>
        <v>0.99999999999999989</v>
      </c>
    </row>
    <row r="17" spans="2:8">
      <c r="G17" s="1593"/>
      <c r="H17" s="1595"/>
    </row>
    <row r="18" spans="2:8" ht="20.100000000000001" customHeight="1">
      <c r="B18" s="2091" t="s">
        <v>1376</v>
      </c>
      <c r="C18" s="2091"/>
      <c r="D18" s="1653" t="s">
        <v>1385</v>
      </c>
      <c r="E18" s="1653" t="s">
        <v>1386</v>
      </c>
      <c r="F18" s="1653" t="s">
        <v>1387</v>
      </c>
      <c r="G18" s="1653" t="s">
        <v>1388</v>
      </c>
      <c r="H18" s="1653" t="s">
        <v>1389</v>
      </c>
    </row>
    <row r="19" spans="2:8">
      <c r="B19" s="2090" t="s">
        <v>1390</v>
      </c>
      <c r="C19" s="2090"/>
      <c r="D19" s="17">
        <f>SUMIF('사업수지표 '!$D$23:$D$94,"C",'사업수지표 '!$E$23:$E$94)</f>
        <v>85874802.914999992</v>
      </c>
      <c r="E19" s="17">
        <f>D19*10%*E14</f>
        <v>50912.195135970971</v>
      </c>
      <c r="F19" s="1632"/>
      <c r="G19" s="1632"/>
      <c r="H19" s="1632" t="s">
        <v>1411</v>
      </c>
    </row>
    <row r="20" spans="2:8">
      <c r="B20" s="2090" t="s">
        <v>1391</v>
      </c>
      <c r="C20" s="16" t="s">
        <v>1382</v>
      </c>
      <c r="D20" s="2092">
        <f>SUMIF('사업수지표 '!$D$23:$D$94,"Y",'사업수지표 '!$E$23:$E$94)</f>
        <v>12357222.820149001</v>
      </c>
      <c r="E20" s="2092">
        <f>D20*10%</f>
        <v>1235722.2820149001</v>
      </c>
      <c r="F20" s="17">
        <f>IFERROR(E20*$D$13/$D$16,0)</f>
        <v>1228396.112775469</v>
      </c>
      <c r="G20" s="1640">
        <f>E20-F20</f>
        <v>7326.169239431154</v>
      </c>
      <c r="H20" s="1632"/>
    </row>
    <row r="21" spans="2:8">
      <c r="B21" s="2090"/>
      <c r="C21" s="16" t="s">
        <v>1383</v>
      </c>
      <c r="D21" s="2092"/>
      <c r="E21" s="2092"/>
      <c r="F21" s="17">
        <f>IFERROR(E20*($D$14/$D$16)*($G$14/$G$16),0)</f>
        <v>220.15263305212034</v>
      </c>
      <c r="G21" s="1640">
        <f>E20-F21</f>
        <v>1235502.129381848</v>
      </c>
      <c r="H21" s="1632"/>
    </row>
    <row r="22" spans="2:8">
      <c r="B22" s="2090" t="s">
        <v>1392</v>
      </c>
      <c r="C22" s="2090"/>
      <c r="D22" s="1640">
        <f>D19+D20</f>
        <v>98232025.735148996</v>
      </c>
      <c r="E22" s="1640">
        <f>E19+E20</f>
        <v>1286634.4771508712</v>
      </c>
      <c r="F22" s="1640">
        <f>F19+F20+F21</f>
        <v>1228616.2654085211</v>
      </c>
      <c r="G22" s="1640">
        <f>G19+G20+G21</f>
        <v>1242828.2986212792</v>
      </c>
      <c r="H22" s="1640"/>
    </row>
    <row r="23" spans="2:8">
      <c r="B23" s="1643"/>
      <c r="C23" s="1643"/>
      <c r="D23" s="1644"/>
      <c r="E23" s="1644"/>
      <c r="F23" s="1644"/>
      <c r="G23" s="1644"/>
      <c r="H23" s="1644"/>
    </row>
    <row r="24" spans="2:8" ht="20.100000000000001" customHeight="1">
      <c r="B24" s="2091" t="s">
        <v>1376</v>
      </c>
      <c r="C24" s="2091"/>
      <c r="D24" s="1653" t="s">
        <v>1415</v>
      </c>
      <c r="E24" s="1653" t="s">
        <v>1416</v>
      </c>
      <c r="F24" s="1653" t="s">
        <v>1417</v>
      </c>
      <c r="G24" s="1653" t="s">
        <v>1418</v>
      </c>
      <c r="H24" s="1653" t="s">
        <v>1419</v>
      </c>
    </row>
    <row r="25" spans="2:8">
      <c r="B25" s="2090" t="s">
        <v>1412</v>
      </c>
      <c r="C25" s="2090"/>
      <c r="D25" s="17">
        <f>분양개요!N5</f>
        <v>542194.17233111372</v>
      </c>
      <c r="E25" s="1641">
        <f>E22</f>
        <v>1286634.4771508712</v>
      </c>
      <c r="F25" s="1640">
        <f>F22</f>
        <v>1228616.2654085211</v>
      </c>
      <c r="G25" s="1642">
        <f>D25-E25+F25</f>
        <v>484175.96058876358</v>
      </c>
      <c r="H25" s="1637">
        <f>IFERROR(1-(F25/E25),0)</f>
        <v>4.5093002536995552E-2</v>
      </c>
    </row>
    <row r="27" spans="2:8">
      <c r="E27" s="397">
        <f>D25-E25</f>
        <v>-744440.30481975747</v>
      </c>
    </row>
  </sheetData>
  <sheetProtection algorithmName="SHA-512" hashValue="VRe+2kD8OvbHGHfxwmXOUn71uugsCuugaQM2NdIK07KxbIZ2GGgHcOJWYXQjuB1VwTI5cqG3dvZNs1TRwIgOoQ==" saltValue="P8/1ItjBDyL/5UEMfWvEtw==" spinCount="100000" sheet="1" objects="1" scenarios="1"/>
  <mergeCells count="20">
    <mergeCell ref="E20:E21"/>
    <mergeCell ref="B12:C12"/>
    <mergeCell ref="B24:C24"/>
    <mergeCell ref="B25:C25"/>
    <mergeCell ref="B19:C19"/>
    <mergeCell ref="B18:C18"/>
    <mergeCell ref="B20:B21"/>
    <mergeCell ref="B22:C22"/>
    <mergeCell ref="D20:D21"/>
    <mergeCell ref="B13:C13"/>
    <mergeCell ref="B14:C15"/>
    <mergeCell ref="D14:D15"/>
    <mergeCell ref="E14:E15"/>
    <mergeCell ref="B16:C16"/>
    <mergeCell ref="B7:C7"/>
    <mergeCell ref="B6:C6"/>
    <mergeCell ref="B5:C5"/>
    <mergeCell ref="B8:C10"/>
    <mergeCell ref="B2:D2"/>
    <mergeCell ref="B3:C4"/>
  </mergeCells>
  <phoneticPr fontId="4" type="noConversion"/>
  <pageMargins left="0.25" right="0.25" top="0.75" bottom="0.75" header="0.3" footer="0.3"/>
  <pageSetup paperSize="9" scale="9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tabColor rgb="FF00B050"/>
    <pageSetUpPr fitToPage="1"/>
  </sheetPr>
  <dimension ref="B1:R38"/>
  <sheetViews>
    <sheetView topLeftCell="F1" workbookViewId="0">
      <selection activeCell="M6" sqref="M6:N6"/>
    </sheetView>
  </sheetViews>
  <sheetFormatPr defaultColWidth="9" defaultRowHeight="15.6"/>
  <cols>
    <col min="1" max="1" width="2" style="655" customWidth="1"/>
    <col min="2" max="2" width="27" style="655" customWidth="1"/>
    <col min="3" max="3" width="12.3984375" style="655" customWidth="1"/>
    <col min="4" max="4" width="12.59765625" style="655" customWidth="1"/>
    <col min="5" max="5" width="14.69921875" style="655" customWidth="1"/>
    <col min="6" max="6" width="15.09765625" style="655" customWidth="1"/>
    <col min="7" max="7" width="14.69921875" style="655" customWidth="1"/>
    <col min="8" max="8" width="12.09765625" style="655" customWidth="1"/>
    <col min="9" max="9" width="20.19921875" style="655" customWidth="1"/>
    <col min="10" max="10" width="11" style="655" customWidth="1"/>
    <col min="11" max="11" width="11.5" style="655" customWidth="1"/>
    <col min="12" max="12" width="5" style="655" customWidth="1"/>
    <col min="13" max="14" width="7.3984375" style="655" bestFit="1" customWidth="1"/>
    <col min="15" max="15" width="6.09765625" style="655" bestFit="1" customWidth="1"/>
    <col min="16" max="17" width="7.3984375" style="655" bestFit="1" customWidth="1"/>
    <col min="18" max="18" width="7.19921875" style="655" customWidth="1"/>
    <col min="19" max="58" width="3.59765625" style="655" customWidth="1"/>
    <col min="59" max="16384" width="9" style="655"/>
  </cols>
  <sheetData>
    <row r="1" spans="2:18">
      <c r="B1" s="2056" t="s">
        <v>1071</v>
      </c>
      <c r="C1" s="2056"/>
      <c r="D1" s="2056"/>
    </row>
    <row r="2" spans="2:18">
      <c r="B2" s="2056"/>
      <c r="C2" s="2056"/>
      <c r="D2" s="2056"/>
    </row>
    <row r="3" spans="2:18">
      <c r="E3" s="656" t="s">
        <v>1003</v>
      </c>
    </row>
    <row r="4" spans="2:18" s="663" customFormat="1" ht="15.9" customHeight="1">
      <c r="B4" s="657" t="s">
        <v>950</v>
      </c>
      <c r="C4" s="658" t="s">
        <v>1001</v>
      </c>
      <c r="D4" s="659" t="s">
        <v>1002</v>
      </c>
      <c r="E4" s="660" t="s">
        <v>969</v>
      </c>
      <c r="F4" s="661"/>
      <c r="G4" s="662" t="s">
        <v>109</v>
      </c>
      <c r="H4" s="486"/>
      <c r="I4" s="486"/>
      <c r="J4" s="486"/>
      <c r="K4" s="486"/>
      <c r="M4" s="2100" t="s">
        <v>1511</v>
      </c>
      <c r="N4" s="2096"/>
      <c r="O4" s="2101"/>
      <c r="P4" s="2095" t="s">
        <v>1512</v>
      </c>
      <c r="Q4" s="2096"/>
      <c r="R4" s="2097"/>
    </row>
    <row r="5" spans="2:18" s="663" customFormat="1" ht="15.9" customHeight="1">
      <c r="B5" s="664" t="s">
        <v>951</v>
      </c>
      <c r="C5" s="1240">
        <f>SUM(C6:C22)</f>
        <v>2000000</v>
      </c>
      <c r="D5" s="1242">
        <f>SUM(D6:D22)</f>
        <v>14000000</v>
      </c>
      <c r="E5" s="1243">
        <f>SUM(C5,D5)</f>
        <v>16000000</v>
      </c>
      <c r="F5" s="661"/>
      <c r="G5" s="665" t="s">
        <v>1152</v>
      </c>
      <c r="H5" s="666" t="s">
        <v>1153</v>
      </c>
      <c r="I5" s="666" t="s">
        <v>1154</v>
      </c>
      <c r="J5" s="666" t="s">
        <v>1155</v>
      </c>
      <c r="K5" s="660" t="s">
        <v>1156</v>
      </c>
      <c r="M5" s="665" t="s">
        <v>1513</v>
      </c>
      <c r="N5" s="666" t="s">
        <v>1514</v>
      </c>
      <c r="O5" s="666" t="s">
        <v>1515</v>
      </c>
      <c r="P5" s="666" t="s">
        <v>1513</v>
      </c>
      <c r="Q5" s="666" t="s">
        <v>1514</v>
      </c>
      <c r="R5" s="660" t="s">
        <v>1515</v>
      </c>
    </row>
    <row r="6" spans="2:18" s="673" customFormat="1" ht="15.9" customHeight="1">
      <c r="B6" s="667" t="s">
        <v>1302</v>
      </c>
      <c r="C6" s="1267">
        <v>2000000</v>
      </c>
      <c r="D6" s="1241">
        <f>E6-C6</f>
        <v>14000000</v>
      </c>
      <c r="E6" s="1270">
        <f>총괄장!C8</f>
        <v>16000000</v>
      </c>
      <c r="F6" s="669"/>
      <c r="G6" s="670" t="str">
        <f>분양개요!B7</f>
        <v>공동주택</v>
      </c>
      <c r="H6" s="671">
        <v>0.1</v>
      </c>
      <c r="I6" s="1273">
        <v>0.6</v>
      </c>
      <c r="J6" s="671">
        <f t="shared" ref="J6:J14" si="0">1-H6-I6</f>
        <v>0.30000000000000004</v>
      </c>
      <c r="K6" s="672">
        <f t="shared" ref="K6:K14" si="1">SUM(H6:J6)</f>
        <v>1</v>
      </c>
      <c r="M6" s="1821">
        <v>0.2</v>
      </c>
      <c r="N6" s="1273">
        <f t="shared" ref="M6:N13" si="2">$M$6</f>
        <v>0.2</v>
      </c>
      <c r="O6" s="1273">
        <v>1</v>
      </c>
      <c r="P6" s="671">
        <f t="shared" ref="P6:R14" si="3">1-M6</f>
        <v>0.8</v>
      </c>
      <c r="Q6" s="671">
        <f t="shared" si="3"/>
        <v>0.8</v>
      </c>
      <c r="R6" s="672">
        <f t="shared" si="3"/>
        <v>0</v>
      </c>
    </row>
    <row r="7" spans="2:18" s="673" customFormat="1" ht="15.9" customHeight="1">
      <c r="B7" s="667" t="s">
        <v>1301</v>
      </c>
      <c r="C7" s="1268"/>
      <c r="D7" s="668">
        <f t="shared" ref="D7:D22" si="4">E7-C7</f>
        <v>0</v>
      </c>
      <c r="E7" s="1271"/>
      <c r="F7" s="669"/>
      <c r="G7" s="483" t="str">
        <f>분양개요!B8</f>
        <v>오피스텔</v>
      </c>
      <c r="H7" s="484">
        <v>0.1</v>
      </c>
      <c r="I7" s="1274">
        <v>0.6</v>
      </c>
      <c r="J7" s="484">
        <f t="shared" si="0"/>
        <v>0.30000000000000004</v>
      </c>
      <c r="K7" s="674">
        <f t="shared" si="1"/>
        <v>1</v>
      </c>
      <c r="M7" s="1822">
        <f t="shared" si="2"/>
        <v>0.2</v>
      </c>
      <c r="N7" s="1274">
        <f t="shared" si="2"/>
        <v>0.2</v>
      </c>
      <c r="O7" s="1274">
        <v>1</v>
      </c>
      <c r="P7" s="484">
        <f t="shared" si="3"/>
        <v>0.8</v>
      </c>
      <c r="Q7" s="484">
        <f t="shared" si="3"/>
        <v>0.8</v>
      </c>
      <c r="R7" s="674">
        <f t="shared" si="3"/>
        <v>0</v>
      </c>
    </row>
    <row r="8" spans="2:18" s="673" customFormat="1" ht="15.9" customHeight="1">
      <c r="B8" s="667" t="s">
        <v>1300</v>
      </c>
      <c r="C8" s="1268"/>
      <c r="D8" s="668">
        <f t="shared" si="4"/>
        <v>0</v>
      </c>
      <c r="E8" s="1271"/>
      <c r="F8" s="669"/>
      <c r="G8" s="483" t="str">
        <f>분양개요!B9</f>
        <v>근린생활시설</v>
      </c>
      <c r="H8" s="484">
        <v>0.1</v>
      </c>
      <c r="I8" s="1274">
        <v>0.4</v>
      </c>
      <c r="J8" s="484">
        <f t="shared" si="0"/>
        <v>0.5</v>
      </c>
      <c r="K8" s="674">
        <f t="shared" si="1"/>
        <v>1</v>
      </c>
      <c r="M8" s="1822">
        <f t="shared" si="2"/>
        <v>0.2</v>
      </c>
      <c r="N8" s="1274">
        <f t="shared" si="2"/>
        <v>0.2</v>
      </c>
      <c r="O8" s="1274">
        <v>1</v>
      </c>
      <c r="P8" s="484">
        <f t="shared" si="3"/>
        <v>0.8</v>
      </c>
      <c r="Q8" s="484">
        <f t="shared" si="3"/>
        <v>0.8</v>
      </c>
      <c r="R8" s="674">
        <f t="shared" si="3"/>
        <v>0</v>
      </c>
    </row>
    <row r="9" spans="2:18" s="673" customFormat="1" ht="15.9" customHeight="1">
      <c r="B9" s="667" t="s">
        <v>1299</v>
      </c>
      <c r="C9" s="1268"/>
      <c r="D9" s="668">
        <f t="shared" si="4"/>
        <v>0</v>
      </c>
      <c r="E9" s="1271"/>
      <c r="F9" s="669"/>
      <c r="G9" s="483" t="str">
        <f>분양개요!B10</f>
        <v>도시형생활주택</v>
      </c>
      <c r="H9" s="484">
        <v>0.1</v>
      </c>
      <c r="I9" s="1274">
        <v>0.6</v>
      </c>
      <c r="J9" s="484">
        <f t="shared" si="0"/>
        <v>0.30000000000000004</v>
      </c>
      <c r="K9" s="674">
        <f t="shared" si="1"/>
        <v>1</v>
      </c>
      <c r="M9" s="1822">
        <f t="shared" si="2"/>
        <v>0.2</v>
      </c>
      <c r="N9" s="1274">
        <f t="shared" si="2"/>
        <v>0.2</v>
      </c>
      <c r="O9" s="1274">
        <v>1</v>
      </c>
      <c r="P9" s="484">
        <f t="shared" si="3"/>
        <v>0.8</v>
      </c>
      <c r="Q9" s="484">
        <f t="shared" si="3"/>
        <v>0.8</v>
      </c>
      <c r="R9" s="674">
        <f t="shared" si="3"/>
        <v>0</v>
      </c>
    </row>
    <row r="10" spans="2:18" s="673" customFormat="1" ht="15.9" customHeight="1">
      <c r="B10" s="667" t="s">
        <v>1298</v>
      </c>
      <c r="C10" s="1268"/>
      <c r="D10" s="668">
        <f t="shared" si="4"/>
        <v>0</v>
      </c>
      <c r="E10" s="1271"/>
      <c r="F10" s="669"/>
      <c r="G10" s="483" t="str">
        <f>분양개요!B11</f>
        <v>지식산업센터</v>
      </c>
      <c r="H10" s="484">
        <v>0.1</v>
      </c>
      <c r="I10" s="1274">
        <v>0.5</v>
      </c>
      <c r="J10" s="484">
        <f t="shared" si="0"/>
        <v>0.4</v>
      </c>
      <c r="K10" s="674">
        <f t="shared" si="1"/>
        <v>1</v>
      </c>
      <c r="M10" s="1822">
        <f t="shared" si="2"/>
        <v>0.2</v>
      </c>
      <c r="N10" s="1274">
        <f t="shared" si="2"/>
        <v>0.2</v>
      </c>
      <c r="O10" s="1274">
        <v>1</v>
      </c>
      <c r="P10" s="484">
        <f t="shared" si="3"/>
        <v>0.8</v>
      </c>
      <c r="Q10" s="484">
        <f t="shared" si="3"/>
        <v>0.8</v>
      </c>
      <c r="R10" s="674">
        <f t="shared" si="3"/>
        <v>0</v>
      </c>
    </row>
    <row r="11" spans="2:18" s="673" customFormat="1" ht="15.9" customHeight="1">
      <c r="B11" s="667" t="s">
        <v>1297</v>
      </c>
      <c r="C11" s="1268"/>
      <c r="D11" s="668">
        <f t="shared" si="4"/>
        <v>0</v>
      </c>
      <c r="E11" s="1271"/>
      <c r="F11" s="669"/>
      <c r="G11" s="483" t="str">
        <f>분양개요!B12</f>
        <v>물류센터</v>
      </c>
      <c r="H11" s="484">
        <v>0.1</v>
      </c>
      <c r="I11" s="1274">
        <v>0</v>
      </c>
      <c r="J11" s="484">
        <f t="shared" si="0"/>
        <v>0.9</v>
      </c>
      <c r="K11" s="674">
        <f t="shared" si="1"/>
        <v>1</v>
      </c>
      <c r="M11" s="1822">
        <f t="shared" si="2"/>
        <v>0.2</v>
      </c>
      <c r="N11" s="1274">
        <f t="shared" si="2"/>
        <v>0.2</v>
      </c>
      <c r="O11" s="1274">
        <v>1</v>
      </c>
      <c r="P11" s="484">
        <f t="shared" si="3"/>
        <v>0.8</v>
      </c>
      <c r="Q11" s="484">
        <f t="shared" si="3"/>
        <v>0.8</v>
      </c>
      <c r="R11" s="674">
        <f t="shared" si="3"/>
        <v>0</v>
      </c>
    </row>
    <row r="12" spans="2:18" s="673" customFormat="1" ht="15.9" customHeight="1">
      <c r="B12" s="667" t="s">
        <v>1295</v>
      </c>
      <c r="C12" s="1268"/>
      <c r="D12" s="668">
        <f t="shared" si="4"/>
        <v>0</v>
      </c>
      <c r="E12" s="1271"/>
      <c r="F12" s="669"/>
      <c r="G12" s="483" t="str">
        <f>분양개요!B13</f>
        <v>생활형숙박시설</v>
      </c>
      <c r="H12" s="484">
        <v>0.1</v>
      </c>
      <c r="I12" s="1274">
        <v>0.5</v>
      </c>
      <c r="J12" s="484">
        <f t="shared" si="0"/>
        <v>0.4</v>
      </c>
      <c r="K12" s="674">
        <f t="shared" si="1"/>
        <v>1</v>
      </c>
      <c r="M12" s="1822">
        <f t="shared" si="2"/>
        <v>0.2</v>
      </c>
      <c r="N12" s="1274">
        <f t="shared" si="2"/>
        <v>0.2</v>
      </c>
      <c r="O12" s="1274">
        <v>1</v>
      </c>
      <c r="P12" s="484">
        <f t="shared" si="3"/>
        <v>0.8</v>
      </c>
      <c r="Q12" s="484">
        <f t="shared" si="3"/>
        <v>0.8</v>
      </c>
      <c r="R12" s="674">
        <f t="shared" si="3"/>
        <v>0</v>
      </c>
    </row>
    <row r="13" spans="2:18" s="673" customFormat="1" ht="15.9" customHeight="1">
      <c r="B13" s="667" t="s">
        <v>1296</v>
      </c>
      <c r="C13" s="1268"/>
      <c r="D13" s="668">
        <f t="shared" si="4"/>
        <v>0</v>
      </c>
      <c r="E13" s="1271"/>
      <c r="F13" s="669"/>
      <c r="G13" s="483" t="str">
        <f>분양개요!B14</f>
        <v>분양형호텔</v>
      </c>
      <c r="H13" s="484">
        <v>0.1</v>
      </c>
      <c r="I13" s="1274">
        <v>0.5</v>
      </c>
      <c r="J13" s="484">
        <f t="shared" si="0"/>
        <v>0.4</v>
      </c>
      <c r="K13" s="674">
        <f t="shared" si="1"/>
        <v>1</v>
      </c>
      <c r="M13" s="1822">
        <f t="shared" si="2"/>
        <v>0.2</v>
      </c>
      <c r="N13" s="1274">
        <f t="shared" si="2"/>
        <v>0.2</v>
      </c>
      <c r="O13" s="1274">
        <v>1</v>
      </c>
      <c r="P13" s="484">
        <f t="shared" si="3"/>
        <v>0.8</v>
      </c>
      <c r="Q13" s="484">
        <f t="shared" si="3"/>
        <v>0.8</v>
      </c>
      <c r="R13" s="674">
        <f t="shared" si="3"/>
        <v>0</v>
      </c>
    </row>
    <row r="14" spans="2:18" s="673" customFormat="1" ht="15.9" customHeight="1">
      <c r="B14" s="667" t="s">
        <v>1303</v>
      </c>
      <c r="C14" s="1268"/>
      <c r="D14" s="668">
        <f t="shared" si="4"/>
        <v>0</v>
      </c>
      <c r="E14" s="1271"/>
      <c r="F14" s="669"/>
      <c r="G14" s="675" t="str">
        <f>분양개요!B15</f>
        <v>발코니확장비</v>
      </c>
      <c r="H14" s="676">
        <v>0.1</v>
      </c>
      <c r="I14" s="1275">
        <v>0</v>
      </c>
      <c r="J14" s="676">
        <f t="shared" si="0"/>
        <v>0.9</v>
      </c>
      <c r="K14" s="677">
        <f t="shared" si="1"/>
        <v>1</v>
      </c>
      <c r="M14" s="1823">
        <f t="shared" ref="M14" si="5">$M$6</f>
        <v>0.2</v>
      </c>
      <c r="N14" s="1275"/>
      <c r="O14" s="1275">
        <v>1</v>
      </c>
      <c r="P14" s="1824">
        <f t="shared" si="3"/>
        <v>0.8</v>
      </c>
      <c r="Q14" s="676">
        <f>1-N14</f>
        <v>1</v>
      </c>
      <c r="R14" s="677">
        <f>1-O14</f>
        <v>0</v>
      </c>
    </row>
    <row r="15" spans="2:18" s="673" customFormat="1" ht="15.9" customHeight="1">
      <c r="B15" s="667" t="s">
        <v>952</v>
      </c>
      <c r="C15" s="1268"/>
      <c r="D15" s="668">
        <f t="shared" si="4"/>
        <v>0</v>
      </c>
      <c r="E15" s="1271"/>
      <c r="F15" s="669"/>
      <c r="G15" s="669"/>
      <c r="H15" s="669"/>
      <c r="I15" s="669"/>
      <c r="J15" s="669"/>
      <c r="K15" s="669"/>
    </row>
    <row r="16" spans="2:18" s="673" customFormat="1" ht="15.9" customHeight="1">
      <c r="B16" s="667" t="s">
        <v>1293</v>
      </c>
      <c r="C16" s="1268"/>
      <c r="D16" s="668">
        <f t="shared" si="4"/>
        <v>0</v>
      </c>
      <c r="E16" s="1271"/>
      <c r="F16" s="669"/>
      <c r="G16" s="669"/>
      <c r="H16" s="669"/>
      <c r="I16" s="669"/>
      <c r="J16" s="669"/>
      <c r="K16" s="669"/>
    </row>
    <row r="17" spans="2:11" s="673" customFormat="1" ht="15.9" customHeight="1">
      <c r="B17" s="667" t="s">
        <v>1294</v>
      </c>
      <c r="C17" s="1268"/>
      <c r="D17" s="668">
        <f t="shared" si="4"/>
        <v>0</v>
      </c>
      <c r="E17" s="1271"/>
      <c r="F17" s="669"/>
      <c r="G17" s="669"/>
      <c r="H17" s="669"/>
      <c r="I17" s="669"/>
      <c r="J17" s="669"/>
      <c r="K17" s="669"/>
    </row>
    <row r="18" spans="2:11" s="673" customFormat="1" ht="15.9" customHeight="1">
      <c r="B18" s="667"/>
      <c r="C18" s="1268"/>
      <c r="D18" s="668">
        <f t="shared" si="4"/>
        <v>0</v>
      </c>
      <c r="E18" s="1271"/>
      <c r="F18" s="669"/>
      <c r="G18" s="669"/>
      <c r="H18" s="669"/>
      <c r="I18" s="669"/>
      <c r="J18" s="669"/>
      <c r="K18" s="669"/>
    </row>
    <row r="19" spans="2:11" s="673" customFormat="1" ht="15.9" customHeight="1">
      <c r="B19" s="667"/>
      <c r="C19" s="1268"/>
      <c r="D19" s="668">
        <f t="shared" si="4"/>
        <v>0</v>
      </c>
      <c r="E19" s="1271"/>
      <c r="F19" s="669"/>
      <c r="G19" s="669"/>
      <c r="H19" s="669"/>
      <c r="I19" s="669"/>
      <c r="J19" s="669"/>
      <c r="K19" s="669"/>
    </row>
    <row r="20" spans="2:11" s="673" customFormat="1" ht="15.9" customHeight="1">
      <c r="B20" s="667"/>
      <c r="C20" s="1268"/>
      <c r="D20" s="668">
        <f t="shared" si="4"/>
        <v>0</v>
      </c>
      <c r="E20" s="1271"/>
      <c r="F20" s="669"/>
      <c r="G20" s="669"/>
      <c r="H20" s="669"/>
      <c r="I20" s="669"/>
      <c r="J20" s="669"/>
      <c r="K20" s="669"/>
    </row>
    <row r="21" spans="2:11" s="673" customFormat="1" ht="15.9" customHeight="1">
      <c r="B21" s="667"/>
      <c r="C21" s="1268"/>
      <c r="D21" s="668">
        <f t="shared" si="4"/>
        <v>0</v>
      </c>
      <c r="E21" s="1271"/>
      <c r="F21" s="669"/>
      <c r="G21" s="669"/>
      <c r="H21" s="669"/>
      <c r="I21" s="669"/>
      <c r="J21" s="669"/>
      <c r="K21" s="669"/>
    </row>
    <row r="22" spans="2:11" s="673" customFormat="1" ht="15.9" customHeight="1">
      <c r="B22" s="678"/>
      <c r="C22" s="1269"/>
      <c r="D22" s="679">
        <f t="shared" si="4"/>
        <v>0</v>
      </c>
      <c r="E22" s="1272"/>
      <c r="F22" s="669"/>
      <c r="G22" s="669"/>
      <c r="H22" s="669"/>
      <c r="I22" s="669"/>
      <c r="J22" s="669"/>
      <c r="K22" s="669"/>
    </row>
    <row r="23" spans="2:11" s="673" customFormat="1" ht="15.9" customHeight="1"/>
    <row r="24" spans="2:11" s="673" customFormat="1" ht="15.9" customHeight="1">
      <c r="B24" s="2056" t="s">
        <v>1305</v>
      </c>
      <c r="C24" s="2056"/>
      <c r="D24" s="2056"/>
    </row>
    <row r="25" spans="2:11" s="673" customFormat="1" ht="15.9" customHeight="1">
      <c r="B25" s="2056"/>
      <c r="C25" s="2056"/>
      <c r="D25" s="2056"/>
    </row>
    <row r="26" spans="2:11" s="673" customFormat="1" ht="15.9" customHeight="1">
      <c r="B26" s="665" t="s">
        <v>1072</v>
      </c>
      <c r="C26" s="666" t="s">
        <v>1073</v>
      </c>
      <c r="D26" s="666" t="s">
        <v>1074</v>
      </c>
      <c r="E26" s="666" t="s">
        <v>1085</v>
      </c>
      <c r="F26" s="666" t="s">
        <v>1076</v>
      </c>
      <c r="G26" s="666" t="s">
        <v>1122</v>
      </c>
      <c r="H26" s="666" t="s">
        <v>1100</v>
      </c>
      <c r="I26" s="2098" t="s">
        <v>1123</v>
      </c>
      <c r="J26" s="2099"/>
    </row>
    <row r="27" spans="2:11" s="673" customFormat="1" ht="15.9" customHeight="1">
      <c r="B27" s="680">
        <f>총괄장!P6</f>
        <v>30</v>
      </c>
      <c r="C27" s="628">
        <f>B27-G27-J27</f>
        <v>22</v>
      </c>
      <c r="D27" s="1332">
        <f t="shared" ref="D27:D32" si="6">I6*10</f>
        <v>6</v>
      </c>
      <c r="E27" s="1328">
        <f>QUOTIENT(C27,D27)+1</f>
        <v>4</v>
      </c>
      <c r="F27" s="628" t="str">
        <f t="shared" ref="F27:F34" si="7">G6</f>
        <v>공동주택</v>
      </c>
      <c r="G27" s="1276">
        <f>IF(B27&lt;28,3,IF(B27&lt;32,4,5))</f>
        <v>4</v>
      </c>
      <c r="H27" s="681">
        <f>B27-J27</f>
        <v>26</v>
      </c>
      <c r="I27" s="682" t="s">
        <v>1304</v>
      </c>
      <c r="J27" s="1277">
        <v>4</v>
      </c>
    </row>
    <row r="28" spans="2:11" s="673" customFormat="1" ht="15.9" customHeight="1">
      <c r="B28" s="683">
        <f>B27</f>
        <v>30</v>
      </c>
      <c r="C28" s="617">
        <f t="shared" ref="C28:C34" si="8">B28-G28-J28</f>
        <v>22</v>
      </c>
      <c r="D28" s="1333">
        <f t="shared" si="6"/>
        <v>6</v>
      </c>
      <c r="E28" s="1329">
        <f t="shared" ref="E28:E34" si="9">QUOTIENT(C28,D28)+1</f>
        <v>4</v>
      </c>
      <c r="F28" s="617" t="str">
        <f t="shared" si="7"/>
        <v>오피스텔</v>
      </c>
      <c r="G28" s="1276">
        <f>IF(B28&lt;28,3,IF(B28&lt;32,4,5))</f>
        <v>4</v>
      </c>
      <c r="H28" s="681">
        <f>B28-J28</f>
        <v>26</v>
      </c>
      <c r="I28" s="684" t="str">
        <f t="shared" ref="I28:I34" si="10">I27</f>
        <v>최종 납부월</v>
      </c>
      <c r="J28" s="1278">
        <v>4</v>
      </c>
    </row>
    <row r="29" spans="2:11" s="673" customFormat="1" ht="15.9" customHeight="1">
      <c r="B29" s="683">
        <f>B28</f>
        <v>30</v>
      </c>
      <c r="C29" s="617">
        <f t="shared" si="8"/>
        <v>25</v>
      </c>
      <c r="D29" s="1333">
        <f t="shared" si="6"/>
        <v>4</v>
      </c>
      <c r="E29" s="1329">
        <f>IFERROR((QUOTIENT(C29,D29)+1),0)</f>
        <v>7</v>
      </c>
      <c r="F29" s="617" t="str">
        <f t="shared" si="7"/>
        <v>근린생활시설</v>
      </c>
      <c r="G29" s="1276">
        <v>3</v>
      </c>
      <c r="H29" s="681">
        <f>B29-J29</f>
        <v>28</v>
      </c>
      <c r="I29" s="684" t="str">
        <f t="shared" si="10"/>
        <v>최종 납부월</v>
      </c>
      <c r="J29" s="1278">
        <v>2</v>
      </c>
    </row>
    <row r="30" spans="2:11" s="673" customFormat="1" ht="15.9" customHeight="1">
      <c r="B30" s="683">
        <f>B29</f>
        <v>30</v>
      </c>
      <c r="C30" s="617">
        <f t="shared" si="8"/>
        <v>22</v>
      </c>
      <c r="D30" s="1333">
        <f t="shared" si="6"/>
        <v>6</v>
      </c>
      <c r="E30" s="1329">
        <f t="shared" si="9"/>
        <v>4</v>
      </c>
      <c r="F30" s="617" t="str">
        <f t="shared" si="7"/>
        <v>도시형생활주택</v>
      </c>
      <c r="G30" s="1276">
        <f>IF(B30&lt;28,3,IF(B30&lt;32,4,5))</f>
        <v>4</v>
      </c>
      <c r="H30" s="681">
        <f>H28</f>
        <v>26</v>
      </c>
      <c r="I30" s="684" t="str">
        <f t="shared" si="10"/>
        <v>최종 납부월</v>
      </c>
      <c r="J30" s="1278">
        <v>4</v>
      </c>
    </row>
    <row r="31" spans="2:11" s="673" customFormat="1" ht="15.9" customHeight="1">
      <c r="B31" s="683">
        <f>B30</f>
        <v>30</v>
      </c>
      <c r="C31" s="617">
        <f t="shared" si="8"/>
        <v>23</v>
      </c>
      <c r="D31" s="1333">
        <f t="shared" si="6"/>
        <v>5</v>
      </c>
      <c r="E31" s="1329">
        <f t="shared" si="9"/>
        <v>5</v>
      </c>
      <c r="F31" s="617" t="str">
        <f t="shared" si="7"/>
        <v>지식산업센터</v>
      </c>
      <c r="G31" s="1276">
        <v>3</v>
      </c>
      <c r="H31" s="681">
        <f>H28</f>
        <v>26</v>
      </c>
      <c r="I31" s="684" t="str">
        <f t="shared" si="10"/>
        <v>최종 납부월</v>
      </c>
      <c r="J31" s="1278">
        <v>4</v>
      </c>
    </row>
    <row r="32" spans="2:11" s="673" customFormat="1" ht="15.9" customHeight="1">
      <c r="B32" s="683">
        <f>B31</f>
        <v>30</v>
      </c>
      <c r="C32" s="617">
        <f t="shared" si="8"/>
        <v>26</v>
      </c>
      <c r="D32" s="1333">
        <f t="shared" si="6"/>
        <v>0</v>
      </c>
      <c r="E32" s="1329">
        <f>C32</f>
        <v>26</v>
      </c>
      <c r="F32" s="617" t="str">
        <f t="shared" si="7"/>
        <v>물류센터</v>
      </c>
      <c r="G32" s="1276">
        <v>3</v>
      </c>
      <c r="H32" s="681">
        <f>공사기간</f>
        <v>30</v>
      </c>
      <c r="I32" s="684" t="str">
        <f t="shared" si="10"/>
        <v>최종 납부월</v>
      </c>
      <c r="J32" s="1278">
        <v>1</v>
      </c>
    </row>
    <row r="33" spans="2:10" s="673" customFormat="1" ht="15.9" customHeight="1">
      <c r="B33" s="683">
        <f>B31</f>
        <v>30</v>
      </c>
      <c r="C33" s="617">
        <f t="shared" si="8"/>
        <v>22</v>
      </c>
      <c r="D33" s="1333">
        <f>I12*10</f>
        <v>5</v>
      </c>
      <c r="E33" s="1329">
        <f t="shared" si="9"/>
        <v>5</v>
      </c>
      <c r="F33" s="617" t="str">
        <f t="shared" si="7"/>
        <v>생활형숙박시설</v>
      </c>
      <c r="G33" s="1276">
        <f>IF(B33&lt;28,3,IF(B33&lt;32,4,5))</f>
        <v>4</v>
      </c>
      <c r="H33" s="681">
        <f>H28</f>
        <v>26</v>
      </c>
      <c r="I33" s="685" t="str">
        <f>I31</f>
        <v>최종 납부월</v>
      </c>
      <c r="J33" s="1278">
        <v>4</v>
      </c>
    </row>
    <row r="34" spans="2:10" s="673" customFormat="1" ht="15.9" customHeight="1">
      <c r="B34" s="686">
        <f>B31</f>
        <v>30</v>
      </c>
      <c r="C34" s="627">
        <f t="shared" si="8"/>
        <v>22</v>
      </c>
      <c r="D34" s="1334">
        <f>I13*10</f>
        <v>5</v>
      </c>
      <c r="E34" s="1330">
        <f t="shared" si="9"/>
        <v>5</v>
      </c>
      <c r="F34" s="627" t="str">
        <f t="shared" si="7"/>
        <v>분양형호텔</v>
      </c>
      <c r="G34" s="1700">
        <f>IF(B34&lt;28,3,IF(B34&lt;32,4,5))</f>
        <v>4</v>
      </c>
      <c r="H34" s="1701">
        <f>H28</f>
        <v>26</v>
      </c>
      <c r="I34" s="687" t="str">
        <f t="shared" si="10"/>
        <v>최종 납부월</v>
      </c>
      <c r="J34" s="1662">
        <v>4</v>
      </c>
    </row>
    <row r="35" spans="2:10" s="673" customFormat="1" ht="15.9" customHeight="1">
      <c r="B35" s="2056" t="s">
        <v>1306</v>
      </c>
      <c r="C35" s="2056"/>
      <c r="D35" s="2056"/>
    </row>
    <row r="36" spans="2:10" s="673" customFormat="1" ht="15.9" customHeight="1">
      <c r="B36" s="2056"/>
      <c r="C36" s="2056"/>
      <c r="D36" s="2056"/>
    </row>
    <row r="37" spans="2:10" s="673" customFormat="1" ht="15.9" customHeight="1">
      <c r="B37" s="665" t="s">
        <v>1072</v>
      </c>
      <c r="C37" s="666"/>
      <c r="D37" s="666" t="s">
        <v>1074</v>
      </c>
      <c r="E37" s="666" t="s">
        <v>1085</v>
      </c>
      <c r="F37" s="660" t="s">
        <v>992</v>
      </c>
    </row>
    <row r="38" spans="2:10" s="673" customFormat="1" ht="15.9" customHeight="1">
      <c r="B38" s="688">
        <f>B27</f>
        <v>30</v>
      </c>
      <c r="C38" s="689"/>
      <c r="D38" s="1335">
        <f>IF(B38&lt;=10,3,IF(B38&lt;=20,7,IF(B38&lt;=60,10)))</f>
        <v>10</v>
      </c>
      <c r="E38" s="1331">
        <f>IFERROR(ROUNDUP(B38/(D38),0),0)</f>
        <v>3</v>
      </c>
      <c r="F38" s="690" t="str">
        <f>F27</f>
        <v>공동주택</v>
      </c>
    </row>
  </sheetData>
  <sheetProtection algorithmName="SHA-512" hashValue="z5saPdWAUczNtTgc6+0H0JJt8HLlakf8fyQNIyVpbKzN5++OX+DfKHa9VfN5L8xdipjMUBtq0kP6CAiuSif0+A==" saltValue="DKAqur+5lPUM5XzQ2obN7g==" spinCount="100000" sheet="1" objects="1" scenarios="1"/>
  <mergeCells count="6">
    <mergeCell ref="P4:R4"/>
    <mergeCell ref="B1:D2"/>
    <mergeCell ref="B24:D25"/>
    <mergeCell ref="B35:D36"/>
    <mergeCell ref="I26:J26"/>
    <mergeCell ref="M4:O4"/>
  </mergeCells>
  <phoneticPr fontId="4" type="noConversion"/>
  <pageMargins left="0.7" right="0.7" top="0.75" bottom="0.75" header="0.3" footer="0.3"/>
  <pageSetup paperSize="9" scale="79" orientation="landscape"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5">
    <tabColor rgb="FF00B0F0"/>
  </sheetPr>
  <dimension ref="A1:DP150"/>
  <sheetViews>
    <sheetView view="pageBreakPreview" zoomScale="85" zoomScaleNormal="100" zoomScaleSheetLayoutView="85" workbookViewId="0">
      <pane xSplit="3" ySplit="5" topLeftCell="D6" activePane="bottomRight" state="frozen"/>
      <selection activeCell="W10" activeCellId="8" sqref="C2:O4 C6:D6 C7 C8:D8 C10:D11 H6:H8 L8:M11 P6:Q6 W10"/>
      <selection pane="topRight" activeCell="W10" activeCellId="8" sqref="C2:O4 C6:D6 C7 C8:D8 C10:D11 H6:H8 L8:M11 P6:Q6 W10"/>
      <selection pane="bottomLeft" activeCell="W10" activeCellId="8" sqref="C2:O4 C6:D6 C7 C8:D8 C10:D11 H6:H8 L8:M11 P6:Q6 W10"/>
      <selection pane="bottomRight" activeCell="I8" sqref="I8:AE8"/>
    </sheetView>
  </sheetViews>
  <sheetFormatPr defaultColWidth="9" defaultRowHeight="15.6"/>
  <cols>
    <col min="1" max="1" width="2" style="655" customWidth="1"/>
    <col min="2" max="2" width="14.5" style="655" customWidth="1"/>
    <col min="3" max="3" width="9.3984375" style="655" customWidth="1"/>
    <col min="4" max="4" width="5" style="655" customWidth="1"/>
    <col min="5" max="5" width="7" style="655" bestFit="1" customWidth="1"/>
    <col min="6" max="7" width="5" style="655" customWidth="1"/>
    <col min="8" max="8" width="4.09765625" style="655" customWidth="1"/>
    <col min="9" max="9" width="5.19921875" style="655" customWidth="1"/>
    <col min="10" max="10" width="4.59765625" style="655" bestFit="1" customWidth="1"/>
    <col min="11" max="11" width="5" style="655" bestFit="1" customWidth="1"/>
    <col min="12" max="12" width="5.09765625" style="655" bestFit="1" customWidth="1"/>
    <col min="13" max="18" width="4.59765625" style="655" bestFit="1" customWidth="1"/>
    <col min="19" max="24" width="5.19921875" style="655" bestFit="1" customWidth="1"/>
    <col min="25" max="25" width="6.8984375" style="655" bestFit="1" customWidth="1"/>
    <col min="26" max="47" width="5.19921875" style="655" bestFit="1" customWidth="1"/>
    <col min="48" max="52" width="6" style="655" bestFit="1" customWidth="1"/>
    <col min="53" max="67" width="6" style="655" customWidth="1"/>
    <col min="68" max="68" width="6" style="655" bestFit="1" customWidth="1"/>
    <col min="69" max="71" width="6" style="655" customWidth="1"/>
    <col min="72" max="16384" width="9" style="655"/>
  </cols>
  <sheetData>
    <row r="1" spans="1:72">
      <c r="B1" s="2056" t="s">
        <v>1195</v>
      </c>
      <c r="C1" s="2056"/>
      <c r="D1" s="2056"/>
      <c r="E1" s="2056"/>
      <c r="F1" s="2056"/>
      <c r="G1" s="2056"/>
      <c r="H1" s="2056"/>
      <c r="I1" s="2056"/>
      <c r="J1" s="2056"/>
      <c r="K1" s="2056"/>
    </row>
    <row r="2" spans="1:72">
      <c r="B2" s="2056"/>
      <c r="C2" s="2056"/>
      <c r="D2" s="2056"/>
      <c r="E2" s="2056"/>
      <c r="F2" s="2056"/>
      <c r="G2" s="2056"/>
      <c r="H2" s="2056"/>
      <c r="I2" s="2056"/>
      <c r="J2" s="2056"/>
      <c r="K2" s="2056"/>
      <c r="BQ2" s="1928" t="s">
        <v>1611</v>
      </c>
      <c r="BR2" s="1929" t="s">
        <v>1612</v>
      </c>
      <c r="BS2" s="1929" t="s">
        <v>1613</v>
      </c>
    </row>
    <row r="3" spans="1:72" ht="15" customHeight="1">
      <c r="A3" s="712"/>
      <c r="B3" s="713" t="s">
        <v>1203</v>
      </c>
      <c r="C3" s="466"/>
      <c r="D3" s="466"/>
      <c r="E3" s="466"/>
      <c r="F3" s="467">
        <v>1</v>
      </c>
      <c r="G3" s="467">
        <v>2</v>
      </c>
      <c r="H3" s="467">
        <v>3</v>
      </c>
      <c r="I3" s="467">
        <v>4</v>
      </c>
      <c r="J3" s="467">
        <v>5</v>
      </c>
      <c r="K3" s="467">
        <v>6</v>
      </c>
      <c r="L3" s="467">
        <v>7</v>
      </c>
      <c r="M3" s="467">
        <v>8</v>
      </c>
      <c r="N3" s="467">
        <v>9</v>
      </c>
      <c r="O3" s="467">
        <v>10</v>
      </c>
      <c r="P3" s="467">
        <v>11</v>
      </c>
      <c r="Q3" s="467">
        <v>12</v>
      </c>
      <c r="R3" s="467">
        <v>13</v>
      </c>
      <c r="S3" s="467">
        <v>14</v>
      </c>
      <c r="T3" s="467">
        <v>15</v>
      </c>
      <c r="U3" s="467">
        <v>16</v>
      </c>
      <c r="V3" s="467">
        <v>17</v>
      </c>
      <c r="W3" s="467">
        <v>18</v>
      </c>
      <c r="X3" s="467">
        <v>19</v>
      </c>
      <c r="Y3" s="467">
        <v>20</v>
      </c>
      <c r="Z3" s="467">
        <v>21</v>
      </c>
      <c r="AA3" s="467">
        <v>22</v>
      </c>
      <c r="AB3" s="467">
        <v>23</v>
      </c>
      <c r="AC3" s="467">
        <v>24</v>
      </c>
      <c r="AD3" s="467">
        <v>25</v>
      </c>
      <c r="AE3" s="467">
        <v>26</v>
      </c>
      <c r="AF3" s="467">
        <v>27</v>
      </c>
      <c r="AG3" s="467">
        <v>28</v>
      </c>
      <c r="AH3" s="467">
        <v>29</v>
      </c>
      <c r="AI3" s="467">
        <v>30</v>
      </c>
      <c r="AJ3" s="467">
        <v>31</v>
      </c>
      <c r="AK3" s="467">
        <v>32</v>
      </c>
      <c r="AL3" s="467">
        <v>33</v>
      </c>
      <c r="AM3" s="467">
        <v>34</v>
      </c>
      <c r="AN3" s="467">
        <v>35</v>
      </c>
      <c r="AO3" s="467">
        <v>36</v>
      </c>
      <c r="AP3" s="467">
        <v>37</v>
      </c>
      <c r="AQ3" s="467">
        <v>38</v>
      </c>
      <c r="AR3" s="467">
        <v>39</v>
      </c>
      <c r="AS3" s="467">
        <v>40</v>
      </c>
      <c r="AT3" s="467">
        <v>41</v>
      </c>
      <c r="AU3" s="467">
        <v>42</v>
      </c>
      <c r="AV3" s="467">
        <v>43</v>
      </c>
      <c r="AW3" s="467">
        <v>44</v>
      </c>
      <c r="AX3" s="467">
        <v>45</v>
      </c>
      <c r="AY3" s="467">
        <v>46</v>
      </c>
      <c r="AZ3" s="467">
        <v>47</v>
      </c>
      <c r="BA3" s="467">
        <v>48</v>
      </c>
      <c r="BB3" s="467">
        <v>49</v>
      </c>
      <c r="BC3" s="467">
        <v>50</v>
      </c>
      <c r="BD3" s="467">
        <v>51</v>
      </c>
      <c r="BE3" s="467">
        <v>52</v>
      </c>
      <c r="BF3" s="467">
        <v>53</v>
      </c>
      <c r="BG3" s="467">
        <v>54</v>
      </c>
      <c r="BH3" s="467">
        <v>55</v>
      </c>
      <c r="BI3" s="467">
        <v>56</v>
      </c>
      <c r="BJ3" s="467">
        <v>57</v>
      </c>
      <c r="BK3" s="467">
        <v>58</v>
      </c>
      <c r="BL3" s="467">
        <v>59</v>
      </c>
      <c r="BM3" s="467">
        <v>60</v>
      </c>
      <c r="BN3" s="467">
        <v>61</v>
      </c>
      <c r="BO3" s="467">
        <v>62</v>
      </c>
      <c r="BP3" s="442">
        <v>63</v>
      </c>
      <c r="BQ3" s="395">
        <f>BQ4+3</f>
        <v>34</v>
      </c>
      <c r="BR3" s="395">
        <f>BR4+3</f>
        <v>35</v>
      </c>
      <c r="BS3" s="395">
        <f>BS4+3</f>
        <v>36</v>
      </c>
      <c r="BT3" s="444"/>
    </row>
    <row r="4" spans="1:72" ht="15" customHeight="1">
      <c r="A4" s="714"/>
      <c r="B4" s="715" t="s">
        <v>1204</v>
      </c>
      <c r="C4" s="451"/>
      <c r="D4" s="451"/>
      <c r="E4" s="451"/>
      <c r="F4" s="451"/>
      <c r="G4" s="451"/>
      <c r="H4" s="451"/>
      <c r="I4" s="445">
        <v>1</v>
      </c>
      <c r="J4" s="445">
        <v>2</v>
      </c>
      <c r="K4" s="445">
        <v>3</v>
      </c>
      <c r="L4" s="445">
        <v>4</v>
      </c>
      <c r="M4" s="445">
        <v>5</v>
      </c>
      <c r="N4" s="445">
        <v>6</v>
      </c>
      <c r="O4" s="445">
        <v>7</v>
      </c>
      <c r="P4" s="445">
        <v>8</v>
      </c>
      <c r="Q4" s="445">
        <v>9</v>
      </c>
      <c r="R4" s="445">
        <v>10</v>
      </c>
      <c r="S4" s="445">
        <v>11</v>
      </c>
      <c r="T4" s="445">
        <v>12</v>
      </c>
      <c r="U4" s="445">
        <v>13</v>
      </c>
      <c r="V4" s="445">
        <v>14</v>
      </c>
      <c r="W4" s="445">
        <v>15</v>
      </c>
      <c r="X4" s="445">
        <v>16</v>
      </c>
      <c r="Y4" s="445">
        <v>17</v>
      </c>
      <c r="Z4" s="445">
        <v>18</v>
      </c>
      <c r="AA4" s="445">
        <v>19</v>
      </c>
      <c r="AB4" s="445">
        <v>20</v>
      </c>
      <c r="AC4" s="445">
        <v>21</v>
      </c>
      <c r="AD4" s="445">
        <v>22</v>
      </c>
      <c r="AE4" s="445">
        <v>23</v>
      </c>
      <c r="AF4" s="445">
        <v>24</v>
      </c>
      <c r="AG4" s="445">
        <v>25</v>
      </c>
      <c r="AH4" s="445">
        <v>26</v>
      </c>
      <c r="AI4" s="445">
        <v>27</v>
      </c>
      <c r="AJ4" s="445">
        <v>28</v>
      </c>
      <c r="AK4" s="445">
        <v>29</v>
      </c>
      <c r="AL4" s="445">
        <v>30</v>
      </c>
      <c r="AM4" s="445">
        <v>31</v>
      </c>
      <c r="AN4" s="445">
        <v>32</v>
      </c>
      <c r="AO4" s="445">
        <v>33</v>
      </c>
      <c r="AP4" s="445">
        <v>34</v>
      </c>
      <c r="AQ4" s="445">
        <v>35</v>
      </c>
      <c r="AR4" s="445">
        <v>36</v>
      </c>
      <c r="AS4" s="445">
        <v>37</v>
      </c>
      <c r="AT4" s="445">
        <v>38</v>
      </c>
      <c r="AU4" s="445">
        <v>39</v>
      </c>
      <c r="AV4" s="445">
        <v>40</v>
      </c>
      <c r="AW4" s="445">
        <v>41</v>
      </c>
      <c r="AX4" s="445">
        <v>42</v>
      </c>
      <c r="AY4" s="445">
        <v>43</v>
      </c>
      <c r="AZ4" s="445">
        <v>44</v>
      </c>
      <c r="BA4" s="445">
        <v>45</v>
      </c>
      <c r="BB4" s="445">
        <v>46</v>
      </c>
      <c r="BC4" s="445">
        <v>47</v>
      </c>
      <c r="BD4" s="445">
        <v>48</v>
      </c>
      <c r="BE4" s="445">
        <v>49</v>
      </c>
      <c r="BF4" s="445">
        <v>50</v>
      </c>
      <c r="BG4" s="445">
        <v>51</v>
      </c>
      <c r="BH4" s="445">
        <v>52</v>
      </c>
      <c r="BI4" s="445">
        <v>53</v>
      </c>
      <c r="BJ4" s="445">
        <v>54</v>
      </c>
      <c r="BK4" s="445">
        <v>55</v>
      </c>
      <c r="BL4" s="445">
        <v>56</v>
      </c>
      <c r="BM4" s="445">
        <v>57</v>
      </c>
      <c r="BN4" s="445">
        <v>58</v>
      </c>
      <c r="BO4" s="445">
        <v>59</v>
      </c>
      <c r="BP4" s="446">
        <v>60</v>
      </c>
      <c r="BQ4" s="395">
        <f>공사기간+1</f>
        <v>31</v>
      </c>
      <c r="BR4" s="395">
        <f>BQ4+1</f>
        <v>32</v>
      </c>
      <c r="BS4" s="395">
        <f>BR4+1</f>
        <v>33</v>
      </c>
    </row>
    <row r="5" spans="1:72" ht="15" customHeight="1">
      <c r="A5" s="716"/>
      <c r="B5" s="717" t="s">
        <v>1028</v>
      </c>
      <c r="C5" s="637"/>
      <c r="D5" s="718" t="s">
        <v>1177</v>
      </c>
      <c r="E5" s="719" t="s">
        <v>1180</v>
      </c>
      <c r="F5" s="720" t="s">
        <v>1178</v>
      </c>
      <c r="G5" s="468"/>
      <c r="H5" s="468"/>
      <c r="I5" s="429" t="s">
        <v>1202</v>
      </c>
      <c r="J5" s="469">
        <f>IF(J4=총괄장!$P$6,"준공",0)</f>
        <v>0</v>
      </c>
      <c r="K5" s="469">
        <f>IF(K4=총괄장!$P$6,"준공",0)</f>
        <v>0</v>
      </c>
      <c r="L5" s="469">
        <f>IF(L4=총괄장!$P$6,"준공",0)</f>
        <v>0</v>
      </c>
      <c r="M5" s="469">
        <f>IF(M4=총괄장!$P$6,"준공",0)</f>
        <v>0</v>
      </c>
      <c r="N5" s="469">
        <f>IF(N4=총괄장!$P$6,"준공",0)</f>
        <v>0</v>
      </c>
      <c r="O5" s="469">
        <f>IF(O4=총괄장!$P$6,"준공",0)</f>
        <v>0</v>
      </c>
      <c r="P5" s="469">
        <f>IF(P4=총괄장!$P$6,"준공",0)</f>
        <v>0</v>
      </c>
      <c r="Q5" s="469">
        <f>IF(Q4=총괄장!$P$6,"준공",0)</f>
        <v>0</v>
      </c>
      <c r="R5" s="469">
        <f>IF(R4=총괄장!$P$6,"준공",0)</f>
        <v>0</v>
      </c>
      <c r="S5" s="469">
        <f>IF(S4=총괄장!$P$6,"준공",0)</f>
        <v>0</v>
      </c>
      <c r="T5" s="469">
        <f>IF(T4=총괄장!$P$6,"준공",0)</f>
        <v>0</v>
      </c>
      <c r="U5" s="469">
        <f>IF(U4=총괄장!$P$6,"준공",0)</f>
        <v>0</v>
      </c>
      <c r="V5" s="469">
        <f>IF(V4=총괄장!$P$6,"준공",0)</f>
        <v>0</v>
      </c>
      <c r="W5" s="469">
        <f>IF(W4=총괄장!$P$6,"준공",0)</f>
        <v>0</v>
      </c>
      <c r="X5" s="469">
        <f>IF(X4=총괄장!$P$6,"준공",0)</f>
        <v>0</v>
      </c>
      <c r="Y5" s="469">
        <f>IF(Y4=총괄장!$P$6,"준공",0)</f>
        <v>0</v>
      </c>
      <c r="Z5" s="469">
        <f>IF(Z4=총괄장!$P$6,"준공",0)</f>
        <v>0</v>
      </c>
      <c r="AA5" s="469">
        <f>IF(AA4=총괄장!$P$6,"준공",0)</f>
        <v>0</v>
      </c>
      <c r="AB5" s="469">
        <f>IF(AB4=총괄장!$P$6,"준공",0)</f>
        <v>0</v>
      </c>
      <c r="AC5" s="469">
        <f>IF(AC4=총괄장!$P$6,"준공",0)</f>
        <v>0</v>
      </c>
      <c r="AD5" s="469">
        <f>IF(AD4=총괄장!$P$6,"준공",0)</f>
        <v>0</v>
      </c>
      <c r="AE5" s="469">
        <f>IF(AE4=총괄장!$P$6,"준공",0)</f>
        <v>0</v>
      </c>
      <c r="AF5" s="469">
        <f>IF(AF4=총괄장!$P$6,"준공",0)</f>
        <v>0</v>
      </c>
      <c r="AG5" s="469">
        <f>IF(AG4=총괄장!$P$6,"준공",0)</f>
        <v>0</v>
      </c>
      <c r="AH5" s="469">
        <f>IF(AH4=총괄장!$P$6,"준공",0)</f>
        <v>0</v>
      </c>
      <c r="AI5" s="469">
        <f>IF(AI4=총괄장!$P$6,"준공",0)</f>
        <v>0</v>
      </c>
      <c r="AJ5" s="469">
        <f>IF(AJ4=총괄장!$P$6,"준공",0)</f>
        <v>0</v>
      </c>
      <c r="AK5" s="469">
        <f>IF(AK4=총괄장!$P$6,"준공",0)</f>
        <v>0</v>
      </c>
      <c r="AL5" s="469" t="str">
        <f>IF(AL4=총괄장!$P$6,"준공",0)</f>
        <v>준공</v>
      </c>
      <c r="AM5" s="469">
        <f>IF(AM4=총괄장!$P$6,"준공",0)</f>
        <v>0</v>
      </c>
      <c r="AN5" s="469">
        <f>IF(AN4=총괄장!$P$6,"준공",0)</f>
        <v>0</v>
      </c>
      <c r="AO5" s="469">
        <f>IF(AO4=총괄장!$P$6,"준공",0)</f>
        <v>0</v>
      </c>
      <c r="AP5" s="469">
        <f>IF(AP4=총괄장!$P$6,"준공",0)</f>
        <v>0</v>
      </c>
      <c r="AQ5" s="469">
        <f>IF(AQ4=총괄장!$P$6,"준공",0)</f>
        <v>0</v>
      </c>
      <c r="AR5" s="469">
        <f>IF(AR4=총괄장!$P$6,"준공",0)</f>
        <v>0</v>
      </c>
      <c r="AS5" s="469">
        <f>IF(AS4=총괄장!$P$6,"준공",0)</f>
        <v>0</v>
      </c>
      <c r="AT5" s="469">
        <f>IF(AT4=총괄장!$P$6,"준공",0)</f>
        <v>0</v>
      </c>
      <c r="AU5" s="469">
        <f>IF(AU4=총괄장!$P$6,"준공",0)</f>
        <v>0</v>
      </c>
      <c r="AV5" s="469">
        <f>IF(AV4=총괄장!$P$6,"준공",0)</f>
        <v>0</v>
      </c>
      <c r="AW5" s="469">
        <f>IF(AW4=총괄장!$P$6,"준공",0)</f>
        <v>0</v>
      </c>
      <c r="AX5" s="469">
        <f>IF(AX4=총괄장!$P$6,"준공",0)</f>
        <v>0</v>
      </c>
      <c r="AY5" s="469">
        <f>IF(AY4=총괄장!$P$6,"준공",0)</f>
        <v>0</v>
      </c>
      <c r="AZ5" s="469">
        <f>IF(AZ4=총괄장!$P$6,"준공",0)</f>
        <v>0</v>
      </c>
      <c r="BA5" s="469">
        <f>IF(BA4=총괄장!$P$6,"준공",0)</f>
        <v>0</v>
      </c>
      <c r="BB5" s="469">
        <f>IF(BB4=총괄장!$P$6,"준공",0)</f>
        <v>0</v>
      </c>
      <c r="BC5" s="469">
        <f>IF(BC4=총괄장!$P$6,"준공",0)</f>
        <v>0</v>
      </c>
      <c r="BD5" s="469">
        <f>IF(BD4=총괄장!$P$6,"준공",0)</f>
        <v>0</v>
      </c>
      <c r="BE5" s="469">
        <f>IF(BE4=총괄장!$P$6,"준공",0)</f>
        <v>0</v>
      </c>
      <c r="BF5" s="469">
        <f>IF(BF4=총괄장!$P$6,"준공",0)</f>
        <v>0</v>
      </c>
      <c r="BG5" s="469">
        <f>IF(BG4=총괄장!$P$6,"준공",0)</f>
        <v>0</v>
      </c>
      <c r="BH5" s="469">
        <f>IF(BH4=총괄장!$P$6,"준공",0)</f>
        <v>0</v>
      </c>
      <c r="BI5" s="469">
        <f>IF(BI4=총괄장!$P$6,"준공",0)</f>
        <v>0</v>
      </c>
      <c r="BJ5" s="469">
        <f>IF(BJ4=총괄장!$P$6,"준공",0)</f>
        <v>0</v>
      </c>
      <c r="BK5" s="469">
        <f>IF(BK4=총괄장!$P$6,"준공",0)</f>
        <v>0</v>
      </c>
      <c r="BL5" s="469">
        <f>IF(BL4=총괄장!$P$6,"준공",0)</f>
        <v>0</v>
      </c>
      <c r="BM5" s="469">
        <f>IF(BM4=총괄장!$P$6,"준공",0)</f>
        <v>0</v>
      </c>
      <c r="BN5" s="469">
        <f>IF(BN4=총괄장!$P$6,"준공",0)</f>
        <v>0</v>
      </c>
      <c r="BO5" s="469">
        <f>IF(BO4=총괄장!$P$6,"준공",0)</f>
        <v>0</v>
      </c>
      <c r="BP5" s="443">
        <f>IF(BP4=총괄장!$P$6,"준공",0)</f>
        <v>0</v>
      </c>
      <c r="BQ5" s="1919" t="s">
        <v>1608</v>
      </c>
      <c r="BR5" s="1919" t="s">
        <v>1609</v>
      </c>
      <c r="BS5" s="1919" t="s">
        <v>1610</v>
      </c>
    </row>
    <row r="6" spans="1:72" ht="11.25" customHeight="1">
      <c r="B6" s="721"/>
      <c r="C6" s="722" t="s">
        <v>248</v>
      </c>
      <c r="D6" s="447"/>
      <c r="E6" s="394"/>
      <c r="F6" s="394"/>
      <c r="G6" s="394"/>
      <c r="H6" s="394"/>
      <c r="I6" s="430" t="s">
        <v>1201</v>
      </c>
      <c r="J6" s="636"/>
      <c r="K6" s="636"/>
    </row>
    <row r="7" spans="1:72" ht="11.25" customHeight="1">
      <c r="B7" s="721"/>
      <c r="C7" s="636"/>
      <c r="D7" s="448"/>
      <c r="E7" s="636"/>
      <c r="F7" s="636"/>
      <c r="G7" s="636"/>
      <c r="H7" s="636"/>
      <c r="I7" s="395"/>
      <c r="J7" s="636"/>
      <c r="K7" s="636"/>
      <c r="BQ7" s="655" t="s">
        <v>1614</v>
      </c>
    </row>
    <row r="8" spans="1:72">
      <c r="B8" s="723" t="str">
        <f>CF분석!B193</f>
        <v>공동주택</v>
      </c>
      <c r="C8" s="724"/>
      <c r="D8" s="725">
        <f>SUM(E8:BP8)</f>
        <v>1.0000000000000002</v>
      </c>
      <c r="E8" s="691"/>
      <c r="F8" s="1935"/>
      <c r="G8" s="1935"/>
      <c r="H8" s="692"/>
      <c r="I8" s="692">
        <v>0.2</v>
      </c>
      <c r="J8" s="692">
        <v>0.15</v>
      </c>
      <c r="K8" s="692">
        <v>0.12</v>
      </c>
      <c r="L8" s="692">
        <v>0.1</v>
      </c>
      <c r="M8" s="692">
        <v>0.08</v>
      </c>
      <c r="N8" s="692">
        <v>7.0000000000000007E-2</v>
      </c>
      <c r="O8" s="692">
        <v>0.06</v>
      </c>
      <c r="P8" s="692">
        <v>0.05</v>
      </c>
      <c r="Q8" s="692">
        <v>0.05</v>
      </c>
      <c r="R8" s="692">
        <v>0.04</v>
      </c>
      <c r="S8" s="692">
        <v>0.04</v>
      </c>
      <c r="T8" s="692">
        <v>0.04</v>
      </c>
      <c r="U8" s="692"/>
      <c r="V8" s="692"/>
      <c r="W8" s="692"/>
      <c r="X8" s="692"/>
      <c r="Y8" s="692"/>
      <c r="Z8" s="692"/>
      <c r="AA8" s="692"/>
      <c r="AB8" s="692"/>
      <c r="AC8" s="692"/>
      <c r="AD8" s="692"/>
      <c r="AE8" s="692"/>
      <c r="AF8" s="692"/>
      <c r="AG8" s="692"/>
      <c r="AH8" s="692"/>
      <c r="AI8" s="692"/>
      <c r="AJ8" s="692"/>
      <c r="AK8" s="692"/>
      <c r="AL8" s="692"/>
      <c r="AM8" s="692"/>
      <c r="AN8" s="692"/>
      <c r="AO8" s="692"/>
      <c r="AP8" s="692"/>
      <c r="AQ8" s="692"/>
      <c r="AR8" s="692"/>
      <c r="AS8" s="692"/>
      <c r="AT8" s="692"/>
      <c r="AU8" s="692"/>
      <c r="AV8" s="692"/>
      <c r="AW8" s="692"/>
      <c r="AX8" s="692"/>
      <c r="AY8" s="692"/>
      <c r="AZ8" s="692"/>
      <c r="BA8" s="692"/>
      <c r="BB8" s="692"/>
      <c r="BC8" s="692"/>
      <c r="BD8" s="692"/>
      <c r="BE8" s="692"/>
      <c r="BF8" s="692"/>
      <c r="BG8" s="692"/>
      <c r="BH8" s="692"/>
      <c r="BI8" s="692"/>
      <c r="BJ8" s="692"/>
      <c r="BK8" s="692"/>
      <c r="BL8" s="692"/>
      <c r="BM8" s="692"/>
      <c r="BN8" s="692"/>
      <c r="BO8" s="692"/>
      <c r="BP8" s="693"/>
      <c r="BQ8" s="1920">
        <v>0.1</v>
      </c>
      <c r="BR8" s="1920">
        <v>0.2</v>
      </c>
      <c r="BS8" s="1949">
        <f>1-BQ8-BR8</f>
        <v>0.7</v>
      </c>
    </row>
    <row r="9" spans="1:72">
      <c r="B9" s="726" t="s">
        <v>1031</v>
      </c>
      <c r="C9" s="727"/>
      <c r="D9" s="728"/>
      <c r="E9" s="727"/>
      <c r="F9" s="729">
        <f t="shared" ref="F9:H9" si="0">E9+F8</f>
        <v>0</v>
      </c>
      <c r="G9" s="729">
        <f t="shared" si="0"/>
        <v>0</v>
      </c>
      <c r="H9" s="729">
        <f t="shared" si="0"/>
        <v>0</v>
      </c>
      <c r="I9" s="729">
        <f>H9+I8</f>
        <v>0.2</v>
      </c>
      <c r="J9" s="729">
        <f t="shared" ref="J9:AZ9" si="1">I9+J8</f>
        <v>0.35</v>
      </c>
      <c r="K9" s="729">
        <f t="shared" si="1"/>
        <v>0.47</v>
      </c>
      <c r="L9" s="729">
        <f t="shared" si="1"/>
        <v>0.56999999999999995</v>
      </c>
      <c r="M9" s="729">
        <f t="shared" si="1"/>
        <v>0.64999999999999991</v>
      </c>
      <c r="N9" s="729">
        <f t="shared" si="1"/>
        <v>0.72</v>
      </c>
      <c r="O9" s="729">
        <f t="shared" si="1"/>
        <v>0.78</v>
      </c>
      <c r="P9" s="729">
        <f t="shared" si="1"/>
        <v>0.83000000000000007</v>
      </c>
      <c r="Q9" s="729">
        <f t="shared" si="1"/>
        <v>0.88000000000000012</v>
      </c>
      <c r="R9" s="729">
        <f t="shared" si="1"/>
        <v>0.92000000000000015</v>
      </c>
      <c r="S9" s="729">
        <f t="shared" si="1"/>
        <v>0.96000000000000019</v>
      </c>
      <c r="T9" s="729">
        <f t="shared" si="1"/>
        <v>1.0000000000000002</v>
      </c>
      <c r="U9" s="729">
        <f t="shared" si="1"/>
        <v>1.0000000000000002</v>
      </c>
      <c r="V9" s="729">
        <f t="shared" si="1"/>
        <v>1.0000000000000002</v>
      </c>
      <c r="W9" s="729">
        <f t="shared" si="1"/>
        <v>1.0000000000000002</v>
      </c>
      <c r="X9" s="729">
        <f t="shared" si="1"/>
        <v>1.0000000000000002</v>
      </c>
      <c r="Y9" s="729">
        <f t="shared" si="1"/>
        <v>1.0000000000000002</v>
      </c>
      <c r="Z9" s="729">
        <f t="shared" si="1"/>
        <v>1.0000000000000002</v>
      </c>
      <c r="AA9" s="729">
        <f t="shared" si="1"/>
        <v>1.0000000000000002</v>
      </c>
      <c r="AB9" s="729">
        <f t="shared" si="1"/>
        <v>1.0000000000000002</v>
      </c>
      <c r="AC9" s="729">
        <f t="shared" si="1"/>
        <v>1.0000000000000002</v>
      </c>
      <c r="AD9" s="729">
        <f t="shared" si="1"/>
        <v>1.0000000000000002</v>
      </c>
      <c r="AE9" s="729">
        <f t="shared" si="1"/>
        <v>1.0000000000000002</v>
      </c>
      <c r="AF9" s="729">
        <f t="shared" si="1"/>
        <v>1.0000000000000002</v>
      </c>
      <c r="AG9" s="729">
        <f t="shared" si="1"/>
        <v>1.0000000000000002</v>
      </c>
      <c r="AH9" s="729">
        <f t="shared" si="1"/>
        <v>1.0000000000000002</v>
      </c>
      <c r="AI9" s="729">
        <f t="shared" si="1"/>
        <v>1.0000000000000002</v>
      </c>
      <c r="AJ9" s="729">
        <f t="shared" si="1"/>
        <v>1.0000000000000002</v>
      </c>
      <c r="AK9" s="729">
        <f t="shared" si="1"/>
        <v>1.0000000000000002</v>
      </c>
      <c r="AL9" s="729">
        <f t="shared" si="1"/>
        <v>1.0000000000000002</v>
      </c>
      <c r="AM9" s="729">
        <f t="shared" si="1"/>
        <v>1.0000000000000002</v>
      </c>
      <c r="AN9" s="729">
        <f t="shared" si="1"/>
        <v>1.0000000000000002</v>
      </c>
      <c r="AO9" s="729">
        <f t="shared" si="1"/>
        <v>1.0000000000000002</v>
      </c>
      <c r="AP9" s="729">
        <f t="shared" si="1"/>
        <v>1.0000000000000002</v>
      </c>
      <c r="AQ9" s="729">
        <f t="shared" si="1"/>
        <v>1.0000000000000002</v>
      </c>
      <c r="AR9" s="729">
        <f t="shared" si="1"/>
        <v>1.0000000000000002</v>
      </c>
      <c r="AS9" s="729">
        <f t="shared" si="1"/>
        <v>1.0000000000000002</v>
      </c>
      <c r="AT9" s="729">
        <f t="shared" si="1"/>
        <v>1.0000000000000002</v>
      </c>
      <c r="AU9" s="729">
        <f t="shared" si="1"/>
        <v>1.0000000000000002</v>
      </c>
      <c r="AV9" s="729">
        <f t="shared" si="1"/>
        <v>1.0000000000000002</v>
      </c>
      <c r="AW9" s="729">
        <f t="shared" si="1"/>
        <v>1.0000000000000002</v>
      </c>
      <c r="AX9" s="729">
        <f t="shared" si="1"/>
        <v>1.0000000000000002</v>
      </c>
      <c r="AY9" s="729">
        <f t="shared" si="1"/>
        <v>1.0000000000000002</v>
      </c>
      <c r="AZ9" s="729">
        <f t="shared" si="1"/>
        <v>1.0000000000000002</v>
      </c>
      <c r="BA9" s="729">
        <f t="shared" ref="BA9:BP9" si="2">AZ9+BA8</f>
        <v>1.0000000000000002</v>
      </c>
      <c r="BB9" s="729">
        <f t="shared" si="2"/>
        <v>1.0000000000000002</v>
      </c>
      <c r="BC9" s="729">
        <f t="shared" si="2"/>
        <v>1.0000000000000002</v>
      </c>
      <c r="BD9" s="729">
        <f t="shared" si="2"/>
        <v>1.0000000000000002</v>
      </c>
      <c r="BE9" s="729">
        <f t="shared" si="2"/>
        <v>1.0000000000000002</v>
      </c>
      <c r="BF9" s="729">
        <f t="shared" si="2"/>
        <v>1.0000000000000002</v>
      </c>
      <c r="BG9" s="729">
        <f t="shared" si="2"/>
        <v>1.0000000000000002</v>
      </c>
      <c r="BH9" s="729">
        <f t="shared" si="2"/>
        <v>1.0000000000000002</v>
      </c>
      <c r="BI9" s="729">
        <f t="shared" si="2"/>
        <v>1.0000000000000002</v>
      </c>
      <c r="BJ9" s="729">
        <f t="shared" si="2"/>
        <v>1.0000000000000002</v>
      </c>
      <c r="BK9" s="729">
        <f t="shared" si="2"/>
        <v>1.0000000000000002</v>
      </c>
      <c r="BL9" s="729">
        <f t="shared" si="2"/>
        <v>1.0000000000000002</v>
      </c>
      <c r="BM9" s="729">
        <f t="shared" si="2"/>
        <v>1.0000000000000002</v>
      </c>
      <c r="BN9" s="729">
        <f t="shared" si="2"/>
        <v>1.0000000000000002</v>
      </c>
      <c r="BO9" s="729">
        <f t="shared" si="2"/>
        <v>1.0000000000000002</v>
      </c>
      <c r="BP9" s="730">
        <f t="shared" si="2"/>
        <v>1.0000000000000002</v>
      </c>
      <c r="BQ9" s="1941">
        <f>BQ8</f>
        <v>0.1</v>
      </c>
      <c r="BR9" s="1941">
        <f>BQ9+BR8</f>
        <v>0.30000000000000004</v>
      </c>
      <c r="BS9" s="1941">
        <f>BR9+BS8</f>
        <v>1</v>
      </c>
    </row>
    <row r="10" spans="1:72">
      <c r="D10" s="731"/>
      <c r="H10" s="732"/>
      <c r="I10" s="732"/>
      <c r="J10" s="732"/>
      <c r="K10" s="732"/>
      <c r="L10" s="732"/>
      <c r="M10" s="732"/>
      <c r="N10" s="732"/>
      <c r="O10" s="732"/>
      <c r="P10" s="732"/>
      <c r="Q10" s="732"/>
      <c r="R10" s="732"/>
      <c r="S10" s="732"/>
      <c r="T10" s="732"/>
      <c r="U10" s="732"/>
      <c r="V10" s="732"/>
      <c r="W10" s="732"/>
      <c r="X10" s="732"/>
      <c r="Y10" s="732"/>
      <c r="Z10" s="732"/>
      <c r="AA10" s="732"/>
      <c r="AB10" s="732"/>
      <c r="AC10" s="732"/>
      <c r="AD10" s="732"/>
      <c r="AE10" s="732"/>
      <c r="AF10" s="732"/>
      <c r="AG10" s="732"/>
      <c r="AH10" s="732"/>
      <c r="AI10" s="732"/>
      <c r="AJ10" s="732"/>
      <c r="AK10" s="732"/>
      <c r="AL10" s="732"/>
      <c r="AM10" s="732"/>
      <c r="AN10" s="732"/>
      <c r="AO10" s="732"/>
      <c r="AP10" s="732"/>
      <c r="AQ10" s="732"/>
      <c r="AR10" s="732"/>
      <c r="AS10" s="732"/>
      <c r="AT10" s="732"/>
      <c r="AU10" s="732"/>
      <c r="AV10" s="732"/>
      <c r="AW10" s="732"/>
      <c r="AX10" s="732"/>
      <c r="AY10" s="732"/>
      <c r="AZ10" s="732"/>
      <c r="BA10" s="732"/>
      <c r="BB10" s="732"/>
      <c r="BC10" s="732"/>
      <c r="BD10" s="732"/>
      <c r="BE10" s="732"/>
      <c r="BF10" s="732"/>
      <c r="BG10" s="732"/>
      <c r="BH10" s="732"/>
      <c r="BI10" s="732"/>
      <c r="BJ10" s="732"/>
      <c r="BK10" s="732"/>
      <c r="BL10" s="732"/>
      <c r="BM10" s="732"/>
      <c r="BN10" s="732"/>
      <c r="BO10" s="732"/>
      <c r="BP10" s="732"/>
      <c r="BQ10" s="732"/>
      <c r="BR10" s="732"/>
      <c r="BS10" s="732"/>
    </row>
    <row r="11" spans="1:72">
      <c r="B11" s="733" t="str">
        <f>CF분석!B203</f>
        <v>오피스텔</v>
      </c>
      <c r="C11" s="734"/>
      <c r="D11" s="735">
        <f>SUM(E11:BP11)</f>
        <v>0</v>
      </c>
      <c r="E11" s="694"/>
      <c r="F11" s="1934"/>
      <c r="G11" s="1934"/>
      <c r="H11" s="695"/>
      <c r="I11" s="695"/>
      <c r="J11" s="695"/>
      <c r="K11" s="695"/>
      <c r="L11" s="695"/>
      <c r="M11" s="695"/>
      <c r="N11" s="695"/>
      <c r="O11" s="695"/>
      <c r="P11" s="695"/>
      <c r="Q11" s="695"/>
      <c r="R11" s="695"/>
      <c r="S11" s="695"/>
      <c r="T11" s="695"/>
      <c r="U11" s="695"/>
      <c r="V11" s="695"/>
      <c r="W11" s="695"/>
      <c r="X11" s="695"/>
      <c r="Y11" s="695"/>
      <c r="Z11" s="695"/>
      <c r="AA11" s="695"/>
      <c r="AB11" s="695"/>
      <c r="AC11" s="695"/>
      <c r="AD11" s="695"/>
      <c r="AE11" s="695"/>
      <c r="AF11" s="695"/>
      <c r="AG11" s="695"/>
      <c r="AH11" s="695"/>
      <c r="AI11" s="695"/>
      <c r="AJ11" s="695"/>
      <c r="AK11" s="695"/>
      <c r="AL11" s="695"/>
      <c r="AM11" s="695"/>
      <c r="AN11" s="695"/>
      <c r="AO11" s="695"/>
      <c r="AP11" s="695"/>
      <c r="AQ11" s="695"/>
      <c r="AR11" s="695"/>
      <c r="AS11" s="695"/>
      <c r="AT11" s="695"/>
      <c r="AU11" s="695"/>
      <c r="AV11" s="695"/>
      <c r="AW11" s="695"/>
      <c r="AX11" s="695"/>
      <c r="AY11" s="695"/>
      <c r="AZ11" s="695"/>
      <c r="BA11" s="695"/>
      <c r="BB11" s="695"/>
      <c r="BC11" s="695"/>
      <c r="BD11" s="695"/>
      <c r="BE11" s="695"/>
      <c r="BF11" s="695"/>
      <c r="BG11" s="695"/>
      <c r="BH11" s="695"/>
      <c r="BI11" s="695"/>
      <c r="BJ11" s="695"/>
      <c r="BK11" s="695"/>
      <c r="BL11" s="695"/>
      <c r="BM11" s="695"/>
      <c r="BN11" s="695"/>
      <c r="BO11" s="695"/>
      <c r="BP11" s="696"/>
      <c r="BQ11" s="1921">
        <v>0.1</v>
      </c>
      <c r="BR11" s="1921">
        <v>0.2</v>
      </c>
      <c r="BS11" s="1950">
        <f>1-BQ11-BR11</f>
        <v>0.7</v>
      </c>
    </row>
    <row r="12" spans="1:72">
      <c r="B12" s="736" t="s">
        <v>1031</v>
      </c>
      <c r="C12" s="737"/>
      <c r="D12" s="738"/>
      <c r="E12" s="737"/>
      <c r="F12" s="739">
        <f t="shared" ref="F12" si="3">E12+F11</f>
        <v>0</v>
      </c>
      <c r="G12" s="739">
        <f t="shared" ref="G12" si="4">F12+G11</f>
        <v>0</v>
      </c>
      <c r="H12" s="739">
        <f t="shared" ref="H12" si="5">G12+H11</f>
        <v>0</v>
      </c>
      <c r="I12" s="739">
        <f t="shared" ref="I12:AZ12" si="6">H12+I11</f>
        <v>0</v>
      </c>
      <c r="J12" s="739">
        <f t="shared" si="6"/>
        <v>0</v>
      </c>
      <c r="K12" s="739">
        <f t="shared" si="6"/>
        <v>0</v>
      </c>
      <c r="L12" s="739">
        <f t="shared" si="6"/>
        <v>0</v>
      </c>
      <c r="M12" s="739">
        <f t="shared" si="6"/>
        <v>0</v>
      </c>
      <c r="N12" s="739">
        <f t="shared" si="6"/>
        <v>0</v>
      </c>
      <c r="O12" s="739">
        <f t="shared" si="6"/>
        <v>0</v>
      </c>
      <c r="P12" s="739">
        <f t="shared" si="6"/>
        <v>0</v>
      </c>
      <c r="Q12" s="739">
        <f t="shared" si="6"/>
        <v>0</v>
      </c>
      <c r="R12" s="739">
        <f t="shared" si="6"/>
        <v>0</v>
      </c>
      <c r="S12" s="739">
        <f t="shared" si="6"/>
        <v>0</v>
      </c>
      <c r="T12" s="739">
        <f t="shared" si="6"/>
        <v>0</v>
      </c>
      <c r="U12" s="739">
        <f t="shared" si="6"/>
        <v>0</v>
      </c>
      <c r="V12" s="739">
        <f t="shared" si="6"/>
        <v>0</v>
      </c>
      <c r="W12" s="739">
        <f t="shared" si="6"/>
        <v>0</v>
      </c>
      <c r="X12" s="739">
        <f t="shared" si="6"/>
        <v>0</v>
      </c>
      <c r="Y12" s="739">
        <f t="shared" si="6"/>
        <v>0</v>
      </c>
      <c r="Z12" s="739">
        <f t="shared" si="6"/>
        <v>0</v>
      </c>
      <c r="AA12" s="739">
        <f t="shared" si="6"/>
        <v>0</v>
      </c>
      <c r="AB12" s="739">
        <f t="shared" si="6"/>
        <v>0</v>
      </c>
      <c r="AC12" s="739">
        <f t="shared" si="6"/>
        <v>0</v>
      </c>
      <c r="AD12" s="739">
        <f t="shared" si="6"/>
        <v>0</v>
      </c>
      <c r="AE12" s="739">
        <f t="shared" si="6"/>
        <v>0</v>
      </c>
      <c r="AF12" s="739">
        <f t="shared" si="6"/>
        <v>0</v>
      </c>
      <c r="AG12" s="739">
        <f t="shared" si="6"/>
        <v>0</v>
      </c>
      <c r="AH12" s="739">
        <f t="shared" si="6"/>
        <v>0</v>
      </c>
      <c r="AI12" s="739">
        <f t="shared" si="6"/>
        <v>0</v>
      </c>
      <c r="AJ12" s="739">
        <f t="shared" si="6"/>
        <v>0</v>
      </c>
      <c r="AK12" s="739">
        <f t="shared" si="6"/>
        <v>0</v>
      </c>
      <c r="AL12" s="739">
        <f t="shared" si="6"/>
        <v>0</v>
      </c>
      <c r="AM12" s="739">
        <f t="shared" si="6"/>
        <v>0</v>
      </c>
      <c r="AN12" s="739">
        <f t="shared" si="6"/>
        <v>0</v>
      </c>
      <c r="AO12" s="739">
        <f t="shared" si="6"/>
        <v>0</v>
      </c>
      <c r="AP12" s="739">
        <f t="shared" si="6"/>
        <v>0</v>
      </c>
      <c r="AQ12" s="739">
        <f t="shared" si="6"/>
        <v>0</v>
      </c>
      <c r="AR12" s="739">
        <f t="shared" si="6"/>
        <v>0</v>
      </c>
      <c r="AS12" s="739">
        <f t="shared" si="6"/>
        <v>0</v>
      </c>
      <c r="AT12" s="739">
        <f t="shared" si="6"/>
        <v>0</v>
      </c>
      <c r="AU12" s="739">
        <f t="shared" si="6"/>
        <v>0</v>
      </c>
      <c r="AV12" s="739">
        <f t="shared" si="6"/>
        <v>0</v>
      </c>
      <c r="AW12" s="739">
        <f t="shared" si="6"/>
        <v>0</v>
      </c>
      <c r="AX12" s="739">
        <f t="shared" si="6"/>
        <v>0</v>
      </c>
      <c r="AY12" s="739">
        <f t="shared" si="6"/>
        <v>0</v>
      </c>
      <c r="AZ12" s="739">
        <f t="shared" si="6"/>
        <v>0</v>
      </c>
      <c r="BA12" s="739">
        <f t="shared" ref="BA12:BP12" si="7">AZ12+BA11</f>
        <v>0</v>
      </c>
      <c r="BB12" s="739">
        <f t="shared" si="7"/>
        <v>0</v>
      </c>
      <c r="BC12" s="739">
        <f t="shared" si="7"/>
        <v>0</v>
      </c>
      <c r="BD12" s="739">
        <f t="shared" si="7"/>
        <v>0</v>
      </c>
      <c r="BE12" s="739">
        <f t="shared" si="7"/>
        <v>0</v>
      </c>
      <c r="BF12" s="739">
        <f t="shared" si="7"/>
        <v>0</v>
      </c>
      <c r="BG12" s="739">
        <f t="shared" si="7"/>
        <v>0</v>
      </c>
      <c r="BH12" s="739">
        <f t="shared" si="7"/>
        <v>0</v>
      </c>
      <c r="BI12" s="739">
        <f t="shared" si="7"/>
        <v>0</v>
      </c>
      <c r="BJ12" s="739">
        <f t="shared" si="7"/>
        <v>0</v>
      </c>
      <c r="BK12" s="739">
        <f t="shared" si="7"/>
        <v>0</v>
      </c>
      <c r="BL12" s="739">
        <f t="shared" si="7"/>
        <v>0</v>
      </c>
      <c r="BM12" s="739">
        <f t="shared" si="7"/>
        <v>0</v>
      </c>
      <c r="BN12" s="739">
        <f t="shared" si="7"/>
        <v>0</v>
      </c>
      <c r="BO12" s="739">
        <f t="shared" si="7"/>
        <v>0</v>
      </c>
      <c r="BP12" s="740">
        <f t="shared" si="7"/>
        <v>0</v>
      </c>
      <c r="BQ12" s="1942">
        <f>BQ11</f>
        <v>0.1</v>
      </c>
      <c r="BR12" s="1942">
        <f>BQ12+BR11</f>
        <v>0.30000000000000004</v>
      </c>
      <c r="BS12" s="1942">
        <f>BR12+BS11</f>
        <v>1</v>
      </c>
    </row>
    <row r="13" spans="1:72">
      <c r="D13" s="731"/>
      <c r="H13" s="732"/>
      <c r="I13" s="732"/>
      <c r="J13" s="732"/>
      <c r="K13" s="732"/>
      <c r="L13" s="732"/>
      <c r="M13" s="732"/>
      <c r="N13" s="732"/>
      <c r="O13" s="732"/>
      <c r="P13" s="732"/>
      <c r="Q13" s="732"/>
      <c r="R13" s="732"/>
      <c r="S13" s="732"/>
      <c r="T13" s="732"/>
      <c r="U13" s="732"/>
      <c r="V13" s="732"/>
      <c r="W13" s="732"/>
      <c r="X13" s="732"/>
      <c r="Y13" s="732"/>
      <c r="Z13" s="732"/>
      <c r="AA13" s="732"/>
      <c r="AB13" s="732"/>
      <c r="AC13" s="732"/>
      <c r="AD13" s="732"/>
      <c r="AE13" s="732"/>
      <c r="AF13" s="732"/>
      <c r="AG13" s="732"/>
      <c r="AH13" s="732"/>
      <c r="AI13" s="732"/>
      <c r="AJ13" s="732"/>
      <c r="AK13" s="732"/>
      <c r="AL13" s="732"/>
      <c r="AM13" s="732"/>
      <c r="AN13" s="732"/>
      <c r="AO13" s="732"/>
      <c r="AP13" s="732"/>
      <c r="AQ13" s="732"/>
      <c r="AR13" s="732"/>
      <c r="AS13" s="732"/>
      <c r="AT13" s="732"/>
      <c r="AU13" s="732"/>
      <c r="AV13" s="732"/>
      <c r="AW13" s="732"/>
      <c r="AX13" s="732"/>
      <c r="AY13" s="732"/>
      <c r="AZ13" s="732"/>
      <c r="BA13" s="732"/>
      <c r="BB13" s="732"/>
      <c r="BC13" s="732"/>
      <c r="BD13" s="732"/>
      <c r="BE13" s="732"/>
      <c r="BF13" s="732"/>
      <c r="BG13" s="732"/>
      <c r="BH13" s="732"/>
      <c r="BI13" s="732"/>
      <c r="BJ13" s="732"/>
      <c r="BK13" s="732"/>
      <c r="BL13" s="732"/>
      <c r="BM13" s="732"/>
      <c r="BN13" s="732"/>
      <c r="BO13" s="732"/>
      <c r="BP13" s="732"/>
      <c r="BQ13" s="732"/>
      <c r="BR13" s="732"/>
      <c r="BS13" s="732"/>
    </row>
    <row r="14" spans="1:72">
      <c r="B14" s="741" t="str">
        <f>CF분석!B213</f>
        <v>근린생활시설</v>
      </c>
      <c r="C14" s="742"/>
      <c r="D14" s="743">
        <f>SUM(E14:BP14)</f>
        <v>1</v>
      </c>
      <c r="E14" s="697"/>
      <c r="F14" s="1933"/>
      <c r="G14" s="1933"/>
      <c r="H14" s="698"/>
      <c r="I14" s="698"/>
      <c r="J14" s="698"/>
      <c r="K14" s="698"/>
      <c r="L14" s="698"/>
      <c r="M14" s="698"/>
      <c r="N14" s="698"/>
      <c r="O14" s="698"/>
      <c r="P14" s="698"/>
      <c r="Q14" s="698"/>
      <c r="R14" s="698"/>
      <c r="S14" s="698"/>
      <c r="T14" s="698"/>
      <c r="U14" s="698"/>
      <c r="V14" s="698"/>
      <c r="W14" s="698"/>
      <c r="X14" s="698"/>
      <c r="Y14" s="698"/>
      <c r="Z14" s="698"/>
      <c r="AA14" s="698"/>
      <c r="AB14" s="698"/>
      <c r="AC14" s="698"/>
      <c r="AD14" s="698"/>
      <c r="AE14" s="698"/>
      <c r="AF14" s="698">
        <v>0.2</v>
      </c>
      <c r="AG14" s="698"/>
      <c r="AH14" s="698">
        <v>0.2</v>
      </c>
      <c r="AI14" s="698"/>
      <c r="AJ14" s="698">
        <v>0.3</v>
      </c>
      <c r="AK14" s="698"/>
      <c r="AL14" s="698">
        <v>0.3</v>
      </c>
      <c r="AM14" s="698"/>
      <c r="AN14" s="698"/>
      <c r="AO14" s="698"/>
      <c r="AP14" s="698"/>
      <c r="AQ14" s="698"/>
      <c r="AR14" s="698"/>
      <c r="AS14" s="698"/>
      <c r="AT14" s="698"/>
      <c r="AU14" s="698"/>
      <c r="AV14" s="698"/>
      <c r="AW14" s="698"/>
      <c r="AX14" s="698"/>
      <c r="AY14" s="698"/>
      <c r="AZ14" s="698"/>
      <c r="BA14" s="698"/>
      <c r="BB14" s="698"/>
      <c r="BC14" s="698"/>
      <c r="BD14" s="698"/>
      <c r="BE14" s="698"/>
      <c r="BF14" s="698"/>
      <c r="BG14" s="698"/>
      <c r="BH14" s="698"/>
      <c r="BI14" s="698"/>
      <c r="BJ14" s="698"/>
      <c r="BK14" s="698"/>
      <c r="BL14" s="698"/>
      <c r="BM14" s="698"/>
      <c r="BN14" s="698"/>
      <c r="BO14" s="698"/>
      <c r="BP14" s="699"/>
      <c r="BQ14" s="1922">
        <v>0.1</v>
      </c>
      <c r="BR14" s="1922">
        <v>0.1</v>
      </c>
      <c r="BS14" s="1951">
        <f>1-BQ14-BR14</f>
        <v>0.8</v>
      </c>
    </row>
    <row r="15" spans="1:72">
      <c r="B15" s="744" t="s">
        <v>1031</v>
      </c>
      <c r="C15" s="745"/>
      <c r="D15" s="746"/>
      <c r="E15" s="745"/>
      <c r="F15" s="747">
        <f t="shared" ref="F15" si="8">E15+F14</f>
        <v>0</v>
      </c>
      <c r="G15" s="747">
        <f t="shared" ref="G15" si="9">F15+G14</f>
        <v>0</v>
      </c>
      <c r="H15" s="747">
        <f t="shared" ref="H15" si="10">G15+H14</f>
        <v>0</v>
      </c>
      <c r="I15" s="747">
        <f t="shared" ref="I15:AZ15" si="11">H15+I14</f>
        <v>0</v>
      </c>
      <c r="J15" s="747">
        <f t="shared" si="11"/>
        <v>0</v>
      </c>
      <c r="K15" s="747">
        <f t="shared" si="11"/>
        <v>0</v>
      </c>
      <c r="L15" s="747">
        <f t="shared" si="11"/>
        <v>0</v>
      </c>
      <c r="M15" s="747">
        <f t="shared" si="11"/>
        <v>0</v>
      </c>
      <c r="N15" s="747">
        <f t="shared" si="11"/>
        <v>0</v>
      </c>
      <c r="O15" s="747">
        <f t="shared" si="11"/>
        <v>0</v>
      </c>
      <c r="P15" s="747">
        <f t="shared" si="11"/>
        <v>0</v>
      </c>
      <c r="Q15" s="747">
        <f t="shared" si="11"/>
        <v>0</v>
      </c>
      <c r="R15" s="747">
        <f t="shared" si="11"/>
        <v>0</v>
      </c>
      <c r="S15" s="747">
        <f t="shared" si="11"/>
        <v>0</v>
      </c>
      <c r="T15" s="747">
        <f t="shared" si="11"/>
        <v>0</v>
      </c>
      <c r="U15" s="747">
        <f t="shared" si="11"/>
        <v>0</v>
      </c>
      <c r="V15" s="747">
        <f t="shared" si="11"/>
        <v>0</v>
      </c>
      <c r="W15" s="747">
        <f t="shared" si="11"/>
        <v>0</v>
      </c>
      <c r="X15" s="747">
        <f t="shared" si="11"/>
        <v>0</v>
      </c>
      <c r="Y15" s="747">
        <f t="shared" si="11"/>
        <v>0</v>
      </c>
      <c r="Z15" s="747">
        <f t="shared" si="11"/>
        <v>0</v>
      </c>
      <c r="AA15" s="747">
        <f t="shared" si="11"/>
        <v>0</v>
      </c>
      <c r="AB15" s="747">
        <f t="shared" si="11"/>
        <v>0</v>
      </c>
      <c r="AC15" s="747">
        <f t="shared" si="11"/>
        <v>0</v>
      </c>
      <c r="AD15" s="747">
        <f t="shared" si="11"/>
        <v>0</v>
      </c>
      <c r="AE15" s="747">
        <f t="shared" si="11"/>
        <v>0</v>
      </c>
      <c r="AF15" s="747">
        <f t="shared" si="11"/>
        <v>0.2</v>
      </c>
      <c r="AG15" s="747">
        <f t="shared" si="11"/>
        <v>0.2</v>
      </c>
      <c r="AH15" s="747">
        <f t="shared" si="11"/>
        <v>0.4</v>
      </c>
      <c r="AI15" s="747">
        <f t="shared" si="11"/>
        <v>0.4</v>
      </c>
      <c r="AJ15" s="747">
        <f t="shared" si="11"/>
        <v>0.7</v>
      </c>
      <c r="AK15" s="747">
        <f t="shared" si="11"/>
        <v>0.7</v>
      </c>
      <c r="AL15" s="747">
        <f t="shared" si="11"/>
        <v>1</v>
      </c>
      <c r="AM15" s="747">
        <f t="shared" si="11"/>
        <v>1</v>
      </c>
      <c r="AN15" s="747">
        <f t="shared" si="11"/>
        <v>1</v>
      </c>
      <c r="AO15" s="747">
        <f t="shared" si="11"/>
        <v>1</v>
      </c>
      <c r="AP15" s="747">
        <f t="shared" si="11"/>
        <v>1</v>
      </c>
      <c r="AQ15" s="747">
        <f t="shared" si="11"/>
        <v>1</v>
      </c>
      <c r="AR15" s="747">
        <f t="shared" si="11"/>
        <v>1</v>
      </c>
      <c r="AS15" s="747">
        <f t="shared" si="11"/>
        <v>1</v>
      </c>
      <c r="AT15" s="747">
        <f t="shared" si="11"/>
        <v>1</v>
      </c>
      <c r="AU15" s="747">
        <f t="shared" si="11"/>
        <v>1</v>
      </c>
      <c r="AV15" s="747">
        <f t="shared" si="11"/>
        <v>1</v>
      </c>
      <c r="AW15" s="747">
        <f t="shared" si="11"/>
        <v>1</v>
      </c>
      <c r="AX15" s="747">
        <f t="shared" si="11"/>
        <v>1</v>
      </c>
      <c r="AY15" s="747">
        <f t="shared" si="11"/>
        <v>1</v>
      </c>
      <c r="AZ15" s="747">
        <f t="shared" si="11"/>
        <v>1</v>
      </c>
      <c r="BA15" s="747">
        <f t="shared" ref="BA15:BP15" si="12">AZ15+BA14</f>
        <v>1</v>
      </c>
      <c r="BB15" s="747">
        <f t="shared" si="12"/>
        <v>1</v>
      </c>
      <c r="BC15" s="747">
        <f t="shared" si="12"/>
        <v>1</v>
      </c>
      <c r="BD15" s="747">
        <f t="shared" si="12"/>
        <v>1</v>
      </c>
      <c r="BE15" s="747">
        <f t="shared" si="12"/>
        <v>1</v>
      </c>
      <c r="BF15" s="747">
        <f t="shared" si="12"/>
        <v>1</v>
      </c>
      <c r="BG15" s="747">
        <f t="shared" si="12"/>
        <v>1</v>
      </c>
      <c r="BH15" s="747">
        <f t="shared" si="12"/>
        <v>1</v>
      </c>
      <c r="BI15" s="747">
        <f t="shared" si="12"/>
        <v>1</v>
      </c>
      <c r="BJ15" s="747">
        <f t="shared" si="12"/>
        <v>1</v>
      </c>
      <c r="BK15" s="747">
        <f t="shared" si="12"/>
        <v>1</v>
      </c>
      <c r="BL15" s="747">
        <f t="shared" si="12"/>
        <v>1</v>
      </c>
      <c r="BM15" s="747">
        <f t="shared" si="12"/>
        <v>1</v>
      </c>
      <c r="BN15" s="747">
        <f t="shared" si="12"/>
        <v>1</v>
      </c>
      <c r="BO15" s="747">
        <f t="shared" si="12"/>
        <v>1</v>
      </c>
      <c r="BP15" s="748">
        <f t="shared" si="12"/>
        <v>1</v>
      </c>
      <c r="BQ15" s="1943">
        <f>BQ14</f>
        <v>0.1</v>
      </c>
      <c r="BR15" s="1943">
        <f>BQ15+BR14</f>
        <v>0.2</v>
      </c>
      <c r="BS15" s="1943">
        <f>BR15+BS14</f>
        <v>1</v>
      </c>
    </row>
    <row r="16" spans="1:72">
      <c r="D16" s="731"/>
      <c r="H16" s="732"/>
      <c r="I16" s="732"/>
      <c r="J16" s="732"/>
      <c r="K16" s="732"/>
      <c r="L16" s="732"/>
      <c r="M16" s="732"/>
      <c r="N16" s="732"/>
      <c r="O16" s="732"/>
      <c r="P16" s="732"/>
      <c r="Q16" s="732"/>
      <c r="R16" s="732"/>
      <c r="S16" s="732"/>
      <c r="T16" s="732"/>
      <c r="U16" s="732"/>
      <c r="V16" s="732"/>
      <c r="W16" s="732"/>
      <c r="X16" s="732"/>
      <c r="Y16" s="732"/>
      <c r="Z16" s="732"/>
      <c r="AA16" s="732"/>
      <c r="AB16" s="732"/>
      <c r="AC16" s="732"/>
      <c r="AD16" s="732"/>
      <c r="AE16" s="732"/>
      <c r="AF16" s="732"/>
      <c r="AG16" s="732"/>
      <c r="AH16" s="732"/>
      <c r="AI16" s="732"/>
      <c r="AJ16" s="732"/>
      <c r="AK16" s="732"/>
      <c r="AL16" s="732"/>
      <c r="AM16" s="732"/>
      <c r="AN16" s="732"/>
      <c r="AO16" s="732"/>
      <c r="AP16" s="732"/>
      <c r="AQ16" s="732"/>
      <c r="AR16" s="732"/>
      <c r="AS16" s="732"/>
      <c r="AT16" s="732"/>
      <c r="AU16" s="732"/>
      <c r="AV16" s="732"/>
      <c r="AW16" s="732"/>
      <c r="AX16" s="732"/>
      <c r="AY16" s="732"/>
      <c r="AZ16" s="732"/>
      <c r="BA16" s="732"/>
      <c r="BB16" s="732"/>
      <c r="BC16" s="732"/>
      <c r="BD16" s="732"/>
      <c r="BE16" s="732"/>
      <c r="BF16" s="732"/>
      <c r="BG16" s="732"/>
      <c r="BH16" s="732"/>
      <c r="BI16" s="732"/>
      <c r="BJ16" s="732"/>
      <c r="BK16" s="732"/>
      <c r="BL16" s="732"/>
      <c r="BM16" s="732"/>
      <c r="BN16" s="732"/>
      <c r="BO16" s="732"/>
      <c r="BP16" s="732"/>
      <c r="BQ16" s="732"/>
      <c r="BR16" s="732"/>
      <c r="BS16" s="732"/>
    </row>
    <row r="17" spans="2:71">
      <c r="B17" s="749" t="str">
        <f>CF분석!B223</f>
        <v>도시형생활주택</v>
      </c>
      <c r="C17" s="750"/>
      <c r="D17" s="751">
        <f>SUM(E17:BP17)</f>
        <v>0</v>
      </c>
      <c r="E17" s="700"/>
      <c r="F17" s="1936"/>
      <c r="G17" s="1936"/>
      <c r="H17" s="701"/>
      <c r="I17" s="701"/>
      <c r="J17" s="701"/>
      <c r="K17" s="701"/>
      <c r="L17" s="701"/>
      <c r="M17" s="701"/>
      <c r="N17" s="701"/>
      <c r="O17" s="701"/>
      <c r="P17" s="701"/>
      <c r="Q17" s="701"/>
      <c r="R17" s="701"/>
      <c r="S17" s="701"/>
      <c r="T17" s="701"/>
      <c r="U17" s="701"/>
      <c r="V17" s="701"/>
      <c r="W17" s="701"/>
      <c r="X17" s="701"/>
      <c r="Y17" s="701"/>
      <c r="Z17" s="701"/>
      <c r="AA17" s="701"/>
      <c r="AB17" s="701"/>
      <c r="AC17" s="701"/>
      <c r="AD17" s="701"/>
      <c r="AE17" s="701"/>
      <c r="AF17" s="701"/>
      <c r="AG17" s="701"/>
      <c r="AH17" s="701"/>
      <c r="AI17" s="701"/>
      <c r="AJ17" s="701"/>
      <c r="AK17" s="701"/>
      <c r="AL17" s="701"/>
      <c r="AM17" s="701"/>
      <c r="AN17" s="701"/>
      <c r="AO17" s="701"/>
      <c r="AP17" s="701"/>
      <c r="AQ17" s="701"/>
      <c r="AR17" s="701"/>
      <c r="AS17" s="701"/>
      <c r="AT17" s="701"/>
      <c r="AU17" s="701"/>
      <c r="AV17" s="701"/>
      <c r="AW17" s="701"/>
      <c r="AX17" s="701"/>
      <c r="AY17" s="701"/>
      <c r="AZ17" s="701"/>
      <c r="BA17" s="701"/>
      <c r="BB17" s="701"/>
      <c r="BC17" s="701"/>
      <c r="BD17" s="701"/>
      <c r="BE17" s="701"/>
      <c r="BF17" s="701"/>
      <c r="BG17" s="701"/>
      <c r="BH17" s="701"/>
      <c r="BI17" s="701"/>
      <c r="BJ17" s="701"/>
      <c r="BK17" s="701"/>
      <c r="BL17" s="701"/>
      <c r="BM17" s="701"/>
      <c r="BN17" s="701"/>
      <c r="BO17" s="701"/>
      <c r="BP17" s="702"/>
      <c r="BQ17" s="1923">
        <v>0.5</v>
      </c>
      <c r="BR17" s="1923">
        <v>0.3</v>
      </c>
      <c r="BS17" s="1952">
        <f>1-BQ17-BR17</f>
        <v>0.2</v>
      </c>
    </row>
    <row r="18" spans="2:71">
      <c r="B18" s="752" t="s">
        <v>1031</v>
      </c>
      <c r="C18" s="753"/>
      <c r="D18" s="754"/>
      <c r="E18" s="753"/>
      <c r="F18" s="755">
        <f t="shared" ref="F18" si="13">E18+F17</f>
        <v>0</v>
      </c>
      <c r="G18" s="755">
        <f t="shared" ref="G18" si="14">F18+G17</f>
        <v>0</v>
      </c>
      <c r="H18" s="755">
        <f t="shared" ref="H18" si="15">G18+H17</f>
        <v>0</v>
      </c>
      <c r="I18" s="755">
        <f t="shared" ref="I18:AZ18" si="16">H18+I17</f>
        <v>0</v>
      </c>
      <c r="J18" s="755">
        <f t="shared" si="16"/>
        <v>0</v>
      </c>
      <c r="K18" s="755">
        <f t="shared" si="16"/>
        <v>0</v>
      </c>
      <c r="L18" s="755">
        <f t="shared" si="16"/>
        <v>0</v>
      </c>
      <c r="M18" s="755">
        <f t="shared" si="16"/>
        <v>0</v>
      </c>
      <c r="N18" s="755">
        <f t="shared" si="16"/>
        <v>0</v>
      </c>
      <c r="O18" s="755">
        <f t="shared" si="16"/>
        <v>0</v>
      </c>
      <c r="P18" s="755">
        <f t="shared" si="16"/>
        <v>0</v>
      </c>
      <c r="Q18" s="755">
        <f t="shared" si="16"/>
        <v>0</v>
      </c>
      <c r="R18" s="755">
        <f t="shared" si="16"/>
        <v>0</v>
      </c>
      <c r="S18" s="755">
        <f t="shared" si="16"/>
        <v>0</v>
      </c>
      <c r="T18" s="755">
        <f t="shared" si="16"/>
        <v>0</v>
      </c>
      <c r="U18" s="755">
        <f t="shared" si="16"/>
        <v>0</v>
      </c>
      <c r="V18" s="755">
        <f t="shared" si="16"/>
        <v>0</v>
      </c>
      <c r="W18" s="755">
        <f t="shared" si="16"/>
        <v>0</v>
      </c>
      <c r="X18" s="755">
        <f t="shared" si="16"/>
        <v>0</v>
      </c>
      <c r="Y18" s="755">
        <f t="shared" si="16"/>
        <v>0</v>
      </c>
      <c r="Z18" s="755">
        <f t="shared" si="16"/>
        <v>0</v>
      </c>
      <c r="AA18" s="755">
        <f t="shared" si="16"/>
        <v>0</v>
      </c>
      <c r="AB18" s="755">
        <f t="shared" si="16"/>
        <v>0</v>
      </c>
      <c r="AC18" s="755">
        <f t="shared" si="16"/>
        <v>0</v>
      </c>
      <c r="AD18" s="755">
        <f t="shared" si="16"/>
        <v>0</v>
      </c>
      <c r="AE18" s="755">
        <f t="shared" si="16"/>
        <v>0</v>
      </c>
      <c r="AF18" s="755">
        <f t="shared" si="16"/>
        <v>0</v>
      </c>
      <c r="AG18" s="755">
        <f t="shared" si="16"/>
        <v>0</v>
      </c>
      <c r="AH18" s="755">
        <f t="shared" si="16"/>
        <v>0</v>
      </c>
      <c r="AI18" s="755">
        <f t="shared" si="16"/>
        <v>0</v>
      </c>
      <c r="AJ18" s="755">
        <f t="shared" si="16"/>
        <v>0</v>
      </c>
      <c r="AK18" s="755">
        <f t="shared" si="16"/>
        <v>0</v>
      </c>
      <c r="AL18" s="755">
        <f t="shared" si="16"/>
        <v>0</v>
      </c>
      <c r="AM18" s="755">
        <f t="shared" si="16"/>
        <v>0</v>
      </c>
      <c r="AN18" s="755">
        <f t="shared" si="16"/>
        <v>0</v>
      </c>
      <c r="AO18" s="755">
        <f t="shared" si="16"/>
        <v>0</v>
      </c>
      <c r="AP18" s="755">
        <f t="shared" si="16"/>
        <v>0</v>
      </c>
      <c r="AQ18" s="755">
        <f t="shared" si="16"/>
        <v>0</v>
      </c>
      <c r="AR18" s="755">
        <f t="shared" si="16"/>
        <v>0</v>
      </c>
      <c r="AS18" s="755">
        <f t="shared" si="16"/>
        <v>0</v>
      </c>
      <c r="AT18" s="755">
        <f t="shared" si="16"/>
        <v>0</v>
      </c>
      <c r="AU18" s="755">
        <f t="shared" si="16"/>
        <v>0</v>
      </c>
      <c r="AV18" s="755">
        <f t="shared" si="16"/>
        <v>0</v>
      </c>
      <c r="AW18" s="755">
        <f t="shared" si="16"/>
        <v>0</v>
      </c>
      <c r="AX18" s="755">
        <f t="shared" si="16"/>
        <v>0</v>
      </c>
      <c r="AY18" s="755">
        <f t="shared" si="16"/>
        <v>0</v>
      </c>
      <c r="AZ18" s="755">
        <f t="shared" si="16"/>
        <v>0</v>
      </c>
      <c r="BA18" s="755">
        <f t="shared" ref="BA18:BP18" si="17">AZ18+BA17</f>
        <v>0</v>
      </c>
      <c r="BB18" s="755">
        <f t="shared" si="17"/>
        <v>0</v>
      </c>
      <c r="BC18" s="755">
        <f t="shared" si="17"/>
        <v>0</v>
      </c>
      <c r="BD18" s="755">
        <f t="shared" si="17"/>
        <v>0</v>
      </c>
      <c r="BE18" s="755">
        <f t="shared" si="17"/>
        <v>0</v>
      </c>
      <c r="BF18" s="755">
        <f t="shared" si="17"/>
        <v>0</v>
      </c>
      <c r="BG18" s="755">
        <f t="shared" si="17"/>
        <v>0</v>
      </c>
      <c r="BH18" s="755">
        <f t="shared" si="17"/>
        <v>0</v>
      </c>
      <c r="BI18" s="755">
        <f t="shared" si="17"/>
        <v>0</v>
      </c>
      <c r="BJ18" s="755">
        <f t="shared" si="17"/>
        <v>0</v>
      </c>
      <c r="BK18" s="755">
        <f t="shared" si="17"/>
        <v>0</v>
      </c>
      <c r="BL18" s="755">
        <f t="shared" si="17"/>
        <v>0</v>
      </c>
      <c r="BM18" s="755">
        <f t="shared" si="17"/>
        <v>0</v>
      </c>
      <c r="BN18" s="755">
        <f t="shared" si="17"/>
        <v>0</v>
      </c>
      <c r="BO18" s="755">
        <f t="shared" si="17"/>
        <v>0</v>
      </c>
      <c r="BP18" s="756">
        <f t="shared" si="17"/>
        <v>0</v>
      </c>
      <c r="BQ18" s="1944">
        <f>BQ17</f>
        <v>0.5</v>
      </c>
      <c r="BR18" s="1944">
        <f>BQ18+BR17</f>
        <v>0.8</v>
      </c>
      <c r="BS18" s="1944">
        <f>BR18+BS17</f>
        <v>1</v>
      </c>
    </row>
    <row r="19" spans="2:71">
      <c r="D19" s="731"/>
      <c r="H19" s="732"/>
      <c r="I19" s="732"/>
      <c r="J19" s="732"/>
      <c r="K19" s="732"/>
      <c r="L19" s="732"/>
      <c r="M19" s="732"/>
      <c r="N19" s="732"/>
      <c r="O19" s="732"/>
      <c r="P19" s="732"/>
      <c r="Q19" s="732"/>
      <c r="R19" s="732"/>
      <c r="S19" s="732"/>
      <c r="T19" s="732"/>
      <c r="U19" s="732"/>
      <c r="V19" s="732"/>
      <c r="W19" s="732"/>
      <c r="X19" s="732"/>
      <c r="Y19" s="732"/>
      <c r="Z19" s="732"/>
      <c r="AA19" s="732"/>
      <c r="AB19" s="732"/>
      <c r="AC19" s="732"/>
      <c r="AD19" s="732"/>
      <c r="AE19" s="732"/>
      <c r="AF19" s="732"/>
      <c r="AG19" s="732"/>
      <c r="AH19" s="732"/>
      <c r="AI19" s="732"/>
      <c r="AJ19" s="732"/>
      <c r="AK19" s="732"/>
      <c r="AL19" s="732"/>
      <c r="AM19" s="732"/>
      <c r="AN19" s="732"/>
      <c r="AO19" s="732"/>
      <c r="AP19" s="732"/>
      <c r="AQ19" s="732"/>
      <c r="AR19" s="732"/>
      <c r="AS19" s="732"/>
      <c r="AT19" s="732"/>
      <c r="AU19" s="732"/>
      <c r="AV19" s="732"/>
      <c r="AW19" s="732"/>
      <c r="AX19" s="732"/>
      <c r="AY19" s="732"/>
      <c r="AZ19" s="732"/>
      <c r="BA19" s="732"/>
      <c r="BB19" s="732"/>
      <c r="BC19" s="732"/>
      <c r="BD19" s="732"/>
      <c r="BE19" s="732"/>
      <c r="BF19" s="732"/>
      <c r="BG19" s="732"/>
      <c r="BH19" s="732"/>
      <c r="BI19" s="732"/>
      <c r="BJ19" s="732"/>
      <c r="BK19" s="732"/>
      <c r="BL19" s="732"/>
      <c r="BM19" s="732"/>
      <c r="BN19" s="732"/>
      <c r="BO19" s="732"/>
      <c r="BP19" s="732"/>
      <c r="BQ19" s="732"/>
      <c r="BR19" s="732"/>
      <c r="BS19" s="732"/>
    </row>
    <row r="20" spans="2:71">
      <c r="B20" s="757" t="str">
        <f>CF분석!B233</f>
        <v>지식산업센터</v>
      </c>
      <c r="C20" s="758"/>
      <c r="D20" s="759">
        <f>SUM(E20:BP20)</f>
        <v>0</v>
      </c>
      <c r="E20" s="703"/>
      <c r="F20" s="1937"/>
      <c r="G20" s="1937"/>
      <c r="H20" s="704"/>
      <c r="I20" s="704"/>
      <c r="J20" s="704"/>
      <c r="K20" s="704"/>
      <c r="L20" s="704"/>
      <c r="M20" s="704"/>
      <c r="N20" s="704"/>
      <c r="O20" s="704"/>
      <c r="P20" s="704"/>
      <c r="Q20" s="704"/>
      <c r="R20" s="704"/>
      <c r="S20" s="704"/>
      <c r="T20" s="704"/>
      <c r="U20" s="704"/>
      <c r="V20" s="704"/>
      <c r="W20" s="704"/>
      <c r="X20" s="704"/>
      <c r="Y20" s="704"/>
      <c r="Z20" s="704"/>
      <c r="AA20" s="704"/>
      <c r="AB20" s="704"/>
      <c r="AC20" s="704"/>
      <c r="AD20" s="704"/>
      <c r="AE20" s="704"/>
      <c r="AF20" s="704"/>
      <c r="AG20" s="704"/>
      <c r="AH20" s="704"/>
      <c r="AI20" s="704"/>
      <c r="AJ20" s="704"/>
      <c r="AK20" s="704"/>
      <c r="AL20" s="704"/>
      <c r="AM20" s="704"/>
      <c r="AN20" s="704"/>
      <c r="AO20" s="704"/>
      <c r="AP20" s="704"/>
      <c r="AQ20" s="704"/>
      <c r="AR20" s="704"/>
      <c r="AS20" s="704"/>
      <c r="AT20" s="704"/>
      <c r="AU20" s="704"/>
      <c r="AV20" s="704"/>
      <c r="AW20" s="704"/>
      <c r="AX20" s="704"/>
      <c r="AY20" s="704"/>
      <c r="AZ20" s="704"/>
      <c r="BA20" s="704"/>
      <c r="BB20" s="704"/>
      <c r="BC20" s="704"/>
      <c r="BD20" s="704"/>
      <c r="BE20" s="704"/>
      <c r="BF20" s="704"/>
      <c r="BG20" s="704"/>
      <c r="BH20" s="704"/>
      <c r="BI20" s="704"/>
      <c r="BJ20" s="704"/>
      <c r="BK20" s="704"/>
      <c r="BL20" s="704"/>
      <c r="BM20" s="704"/>
      <c r="BN20" s="704"/>
      <c r="BO20" s="704"/>
      <c r="BP20" s="705"/>
      <c r="BQ20" s="1924">
        <v>0.1</v>
      </c>
      <c r="BR20" s="1924">
        <v>0.1</v>
      </c>
      <c r="BS20" s="1953">
        <f>1-BQ20-BR20</f>
        <v>0.8</v>
      </c>
    </row>
    <row r="21" spans="2:71">
      <c r="B21" s="760" t="s">
        <v>1031</v>
      </c>
      <c r="C21" s="761"/>
      <c r="D21" s="762"/>
      <c r="E21" s="761"/>
      <c r="F21" s="763">
        <f t="shared" ref="F21" si="18">E21+F20</f>
        <v>0</v>
      </c>
      <c r="G21" s="763">
        <f t="shared" ref="G21" si="19">F21+G20</f>
        <v>0</v>
      </c>
      <c r="H21" s="763">
        <f t="shared" ref="H21" si="20">G21+H20</f>
        <v>0</v>
      </c>
      <c r="I21" s="763">
        <f t="shared" ref="I21:AZ21" si="21">H21+I20</f>
        <v>0</v>
      </c>
      <c r="J21" s="763">
        <f t="shared" si="21"/>
        <v>0</v>
      </c>
      <c r="K21" s="763">
        <f t="shared" si="21"/>
        <v>0</v>
      </c>
      <c r="L21" s="763">
        <f t="shared" si="21"/>
        <v>0</v>
      </c>
      <c r="M21" s="763">
        <f t="shared" si="21"/>
        <v>0</v>
      </c>
      <c r="N21" s="763">
        <f t="shared" si="21"/>
        <v>0</v>
      </c>
      <c r="O21" s="763">
        <f t="shared" si="21"/>
        <v>0</v>
      </c>
      <c r="P21" s="763">
        <f t="shared" si="21"/>
        <v>0</v>
      </c>
      <c r="Q21" s="763">
        <f t="shared" si="21"/>
        <v>0</v>
      </c>
      <c r="R21" s="763">
        <f t="shared" si="21"/>
        <v>0</v>
      </c>
      <c r="S21" s="763">
        <f t="shared" si="21"/>
        <v>0</v>
      </c>
      <c r="T21" s="763">
        <f t="shared" si="21"/>
        <v>0</v>
      </c>
      <c r="U21" s="763">
        <f t="shared" si="21"/>
        <v>0</v>
      </c>
      <c r="V21" s="763">
        <f t="shared" si="21"/>
        <v>0</v>
      </c>
      <c r="W21" s="763">
        <f t="shared" si="21"/>
        <v>0</v>
      </c>
      <c r="X21" s="763">
        <f t="shared" si="21"/>
        <v>0</v>
      </c>
      <c r="Y21" s="763">
        <f t="shared" si="21"/>
        <v>0</v>
      </c>
      <c r="Z21" s="763">
        <f t="shared" si="21"/>
        <v>0</v>
      </c>
      <c r="AA21" s="763">
        <f t="shared" si="21"/>
        <v>0</v>
      </c>
      <c r="AB21" s="763">
        <f t="shared" si="21"/>
        <v>0</v>
      </c>
      <c r="AC21" s="763">
        <f t="shared" si="21"/>
        <v>0</v>
      </c>
      <c r="AD21" s="763">
        <f t="shared" si="21"/>
        <v>0</v>
      </c>
      <c r="AE21" s="763">
        <f t="shared" si="21"/>
        <v>0</v>
      </c>
      <c r="AF21" s="763">
        <f t="shared" si="21"/>
        <v>0</v>
      </c>
      <c r="AG21" s="763">
        <f t="shared" si="21"/>
        <v>0</v>
      </c>
      <c r="AH21" s="763">
        <f t="shared" si="21"/>
        <v>0</v>
      </c>
      <c r="AI21" s="763">
        <f t="shared" si="21"/>
        <v>0</v>
      </c>
      <c r="AJ21" s="763">
        <f t="shared" si="21"/>
        <v>0</v>
      </c>
      <c r="AK21" s="763">
        <f t="shared" si="21"/>
        <v>0</v>
      </c>
      <c r="AL21" s="763">
        <f t="shared" si="21"/>
        <v>0</v>
      </c>
      <c r="AM21" s="763">
        <f t="shared" si="21"/>
        <v>0</v>
      </c>
      <c r="AN21" s="763">
        <f t="shared" si="21"/>
        <v>0</v>
      </c>
      <c r="AO21" s="763">
        <f t="shared" si="21"/>
        <v>0</v>
      </c>
      <c r="AP21" s="763">
        <f t="shared" si="21"/>
        <v>0</v>
      </c>
      <c r="AQ21" s="763">
        <f t="shared" si="21"/>
        <v>0</v>
      </c>
      <c r="AR21" s="763">
        <f t="shared" si="21"/>
        <v>0</v>
      </c>
      <c r="AS21" s="763">
        <f t="shared" si="21"/>
        <v>0</v>
      </c>
      <c r="AT21" s="763">
        <f t="shared" si="21"/>
        <v>0</v>
      </c>
      <c r="AU21" s="763">
        <f t="shared" si="21"/>
        <v>0</v>
      </c>
      <c r="AV21" s="763">
        <f t="shared" si="21"/>
        <v>0</v>
      </c>
      <c r="AW21" s="763">
        <f t="shared" si="21"/>
        <v>0</v>
      </c>
      <c r="AX21" s="763">
        <f t="shared" si="21"/>
        <v>0</v>
      </c>
      <c r="AY21" s="763">
        <f t="shared" si="21"/>
        <v>0</v>
      </c>
      <c r="AZ21" s="763">
        <f t="shared" si="21"/>
        <v>0</v>
      </c>
      <c r="BA21" s="763">
        <f t="shared" ref="BA21:BP21" si="22">AZ21+BA20</f>
        <v>0</v>
      </c>
      <c r="BB21" s="763">
        <f t="shared" si="22"/>
        <v>0</v>
      </c>
      <c r="BC21" s="763">
        <f t="shared" si="22"/>
        <v>0</v>
      </c>
      <c r="BD21" s="763">
        <f t="shared" si="22"/>
        <v>0</v>
      </c>
      <c r="BE21" s="763">
        <f t="shared" si="22"/>
        <v>0</v>
      </c>
      <c r="BF21" s="763">
        <f t="shared" si="22"/>
        <v>0</v>
      </c>
      <c r="BG21" s="763">
        <f t="shared" si="22"/>
        <v>0</v>
      </c>
      <c r="BH21" s="763">
        <f t="shared" si="22"/>
        <v>0</v>
      </c>
      <c r="BI21" s="763">
        <f t="shared" si="22"/>
        <v>0</v>
      </c>
      <c r="BJ21" s="763">
        <f t="shared" si="22"/>
        <v>0</v>
      </c>
      <c r="BK21" s="763">
        <f t="shared" si="22"/>
        <v>0</v>
      </c>
      <c r="BL21" s="763">
        <f t="shared" si="22"/>
        <v>0</v>
      </c>
      <c r="BM21" s="763">
        <f t="shared" si="22"/>
        <v>0</v>
      </c>
      <c r="BN21" s="763">
        <f t="shared" si="22"/>
        <v>0</v>
      </c>
      <c r="BO21" s="763">
        <f t="shared" si="22"/>
        <v>0</v>
      </c>
      <c r="BP21" s="764">
        <f t="shared" si="22"/>
        <v>0</v>
      </c>
      <c r="BQ21" s="1945">
        <f>BQ20</f>
        <v>0.1</v>
      </c>
      <c r="BR21" s="1945">
        <f>BQ21+BR20</f>
        <v>0.2</v>
      </c>
      <c r="BS21" s="1945">
        <f>BR21+BS20</f>
        <v>1</v>
      </c>
    </row>
    <row r="22" spans="2:71">
      <c r="D22" s="731"/>
      <c r="H22" s="732"/>
      <c r="I22" s="732"/>
      <c r="J22" s="732"/>
      <c r="K22" s="732"/>
      <c r="L22" s="732"/>
      <c r="M22" s="732"/>
      <c r="N22" s="732"/>
      <c r="O22" s="732"/>
      <c r="P22" s="732"/>
      <c r="Q22" s="732"/>
      <c r="R22" s="732"/>
      <c r="S22" s="732"/>
      <c r="T22" s="732"/>
      <c r="U22" s="732"/>
      <c r="V22" s="732"/>
      <c r="W22" s="732"/>
      <c r="X22" s="732"/>
      <c r="Y22" s="732"/>
      <c r="Z22" s="732"/>
      <c r="AA22" s="732"/>
      <c r="AB22" s="732"/>
      <c r="AC22" s="732"/>
      <c r="AD22" s="732"/>
      <c r="AE22" s="732"/>
      <c r="AF22" s="732"/>
      <c r="AG22" s="732"/>
      <c r="AH22" s="732"/>
      <c r="AI22" s="732"/>
      <c r="AJ22" s="732"/>
      <c r="AK22" s="732"/>
      <c r="AL22" s="732"/>
      <c r="AM22" s="732"/>
      <c r="AN22" s="732"/>
      <c r="AO22" s="732"/>
      <c r="AP22" s="732"/>
      <c r="AQ22" s="732"/>
      <c r="AR22" s="732"/>
      <c r="AS22" s="732"/>
      <c r="AT22" s="732"/>
      <c r="AU22" s="732"/>
      <c r="AV22" s="732"/>
      <c r="AW22" s="732"/>
      <c r="AX22" s="732"/>
      <c r="AY22" s="732"/>
      <c r="AZ22" s="732"/>
      <c r="BA22" s="732"/>
      <c r="BB22" s="732"/>
      <c r="BC22" s="732"/>
      <c r="BD22" s="732"/>
      <c r="BE22" s="732"/>
      <c r="BF22" s="732"/>
      <c r="BG22" s="732"/>
      <c r="BH22" s="732"/>
      <c r="BI22" s="732"/>
      <c r="BJ22" s="732"/>
      <c r="BK22" s="732"/>
      <c r="BL22" s="732"/>
      <c r="BM22" s="732"/>
      <c r="BN22" s="732"/>
      <c r="BO22" s="732"/>
      <c r="BP22" s="732"/>
      <c r="BQ22" s="732"/>
      <c r="BR22" s="732"/>
      <c r="BS22" s="732"/>
    </row>
    <row r="23" spans="2:71">
      <c r="B23" s="1775" t="str">
        <f>CF분석!B243</f>
        <v>물류센터</v>
      </c>
      <c r="C23" s="1777"/>
      <c r="D23" s="1778">
        <f>SUM(E23:BP23)</f>
        <v>0</v>
      </c>
      <c r="E23" s="1779"/>
      <c r="F23" s="1938"/>
      <c r="G23" s="1938"/>
      <c r="H23" s="1780"/>
      <c r="I23" s="1780"/>
      <c r="J23" s="1780"/>
      <c r="K23" s="1780"/>
      <c r="L23" s="1780"/>
      <c r="M23" s="1780"/>
      <c r="N23" s="1780"/>
      <c r="O23" s="1780"/>
      <c r="P23" s="1780"/>
      <c r="Q23" s="1780"/>
      <c r="R23" s="1780"/>
      <c r="S23" s="1780"/>
      <c r="T23" s="1780"/>
      <c r="U23" s="1780"/>
      <c r="V23" s="1780"/>
      <c r="W23" s="1780"/>
      <c r="X23" s="1780"/>
      <c r="Y23" s="1780"/>
      <c r="Z23" s="1780"/>
      <c r="AA23" s="1780"/>
      <c r="AB23" s="1780"/>
      <c r="AC23" s="1780"/>
      <c r="AD23" s="1780"/>
      <c r="AE23" s="1780"/>
      <c r="AF23" s="1780"/>
      <c r="AG23" s="1780"/>
      <c r="AH23" s="1780"/>
      <c r="AI23" s="1780"/>
      <c r="AJ23" s="1780"/>
      <c r="AK23" s="1780"/>
      <c r="AL23" s="1780"/>
      <c r="AM23" s="1780"/>
      <c r="AN23" s="1780"/>
      <c r="AO23" s="1780"/>
      <c r="AP23" s="1780"/>
      <c r="AQ23" s="1780"/>
      <c r="AR23" s="1780"/>
      <c r="AS23" s="1780"/>
      <c r="AT23" s="1780"/>
      <c r="AU23" s="1780"/>
      <c r="AV23" s="1780"/>
      <c r="AW23" s="1780"/>
      <c r="AX23" s="1780"/>
      <c r="AY23" s="1780"/>
      <c r="AZ23" s="1780"/>
      <c r="BA23" s="1780"/>
      <c r="BB23" s="1780"/>
      <c r="BC23" s="1780"/>
      <c r="BD23" s="1780"/>
      <c r="BE23" s="1780"/>
      <c r="BF23" s="1780"/>
      <c r="BG23" s="1780"/>
      <c r="BH23" s="1780"/>
      <c r="BI23" s="1780"/>
      <c r="BJ23" s="1780"/>
      <c r="BK23" s="1780"/>
      <c r="BL23" s="1780"/>
      <c r="BM23" s="1780"/>
      <c r="BN23" s="1780"/>
      <c r="BO23" s="1780"/>
      <c r="BP23" s="1781"/>
      <c r="BQ23" s="1925">
        <v>1</v>
      </c>
      <c r="BR23" s="1925"/>
      <c r="BS23" s="1954">
        <f>1-BQ23-BR23</f>
        <v>0</v>
      </c>
    </row>
    <row r="24" spans="2:71">
      <c r="B24" s="1776" t="s">
        <v>1031</v>
      </c>
      <c r="C24" s="1782"/>
      <c r="D24" s="1783"/>
      <c r="E24" s="1782"/>
      <c r="F24" s="1784">
        <f t="shared" ref="F24" si="23">E24+F23</f>
        <v>0</v>
      </c>
      <c r="G24" s="1784">
        <f t="shared" ref="G24" si="24">F24+G23</f>
        <v>0</v>
      </c>
      <c r="H24" s="1784">
        <f t="shared" ref="H24" si="25">G24+H23</f>
        <v>0</v>
      </c>
      <c r="I24" s="1784">
        <f t="shared" ref="I24:AN24" si="26">H24+I23</f>
        <v>0</v>
      </c>
      <c r="J24" s="1784">
        <f t="shared" si="26"/>
        <v>0</v>
      </c>
      <c r="K24" s="1784">
        <f t="shared" si="26"/>
        <v>0</v>
      </c>
      <c r="L24" s="1784">
        <f t="shared" si="26"/>
        <v>0</v>
      </c>
      <c r="M24" s="1784">
        <f t="shared" si="26"/>
        <v>0</v>
      </c>
      <c r="N24" s="1784">
        <f t="shared" si="26"/>
        <v>0</v>
      </c>
      <c r="O24" s="1784">
        <f t="shared" si="26"/>
        <v>0</v>
      </c>
      <c r="P24" s="1784">
        <f t="shared" si="26"/>
        <v>0</v>
      </c>
      <c r="Q24" s="1784">
        <f t="shared" si="26"/>
        <v>0</v>
      </c>
      <c r="R24" s="1784">
        <f t="shared" si="26"/>
        <v>0</v>
      </c>
      <c r="S24" s="1784">
        <f t="shared" si="26"/>
        <v>0</v>
      </c>
      <c r="T24" s="1784">
        <f t="shared" si="26"/>
        <v>0</v>
      </c>
      <c r="U24" s="1784">
        <f t="shared" si="26"/>
        <v>0</v>
      </c>
      <c r="V24" s="1784">
        <f t="shared" si="26"/>
        <v>0</v>
      </c>
      <c r="W24" s="1784">
        <f t="shared" si="26"/>
        <v>0</v>
      </c>
      <c r="X24" s="1784">
        <f t="shared" si="26"/>
        <v>0</v>
      </c>
      <c r="Y24" s="1784">
        <f t="shared" si="26"/>
        <v>0</v>
      </c>
      <c r="Z24" s="1784">
        <f t="shared" si="26"/>
        <v>0</v>
      </c>
      <c r="AA24" s="1784">
        <f t="shared" si="26"/>
        <v>0</v>
      </c>
      <c r="AB24" s="1784">
        <f t="shared" si="26"/>
        <v>0</v>
      </c>
      <c r="AC24" s="1784">
        <f t="shared" si="26"/>
        <v>0</v>
      </c>
      <c r="AD24" s="1784">
        <f t="shared" si="26"/>
        <v>0</v>
      </c>
      <c r="AE24" s="1784">
        <f t="shared" si="26"/>
        <v>0</v>
      </c>
      <c r="AF24" s="1784">
        <f t="shared" si="26"/>
        <v>0</v>
      </c>
      <c r="AG24" s="1784">
        <f t="shared" si="26"/>
        <v>0</v>
      </c>
      <c r="AH24" s="1784">
        <f t="shared" si="26"/>
        <v>0</v>
      </c>
      <c r="AI24" s="1784">
        <f t="shared" si="26"/>
        <v>0</v>
      </c>
      <c r="AJ24" s="1784">
        <f t="shared" si="26"/>
        <v>0</v>
      </c>
      <c r="AK24" s="1784">
        <f t="shared" si="26"/>
        <v>0</v>
      </c>
      <c r="AL24" s="1784">
        <f t="shared" si="26"/>
        <v>0</v>
      </c>
      <c r="AM24" s="1784">
        <f t="shared" si="26"/>
        <v>0</v>
      </c>
      <c r="AN24" s="1784">
        <f t="shared" si="26"/>
        <v>0</v>
      </c>
      <c r="AO24" s="1784">
        <f t="shared" ref="AO24:BP24" si="27">AN24+AO23</f>
        <v>0</v>
      </c>
      <c r="AP24" s="1784">
        <f t="shared" si="27"/>
        <v>0</v>
      </c>
      <c r="AQ24" s="1784">
        <f t="shared" si="27"/>
        <v>0</v>
      </c>
      <c r="AR24" s="1784">
        <f t="shared" si="27"/>
        <v>0</v>
      </c>
      <c r="AS24" s="1784">
        <f t="shared" si="27"/>
        <v>0</v>
      </c>
      <c r="AT24" s="1784">
        <f t="shared" si="27"/>
        <v>0</v>
      </c>
      <c r="AU24" s="1784">
        <f t="shared" si="27"/>
        <v>0</v>
      </c>
      <c r="AV24" s="1784">
        <f t="shared" si="27"/>
        <v>0</v>
      </c>
      <c r="AW24" s="1784">
        <f t="shared" si="27"/>
        <v>0</v>
      </c>
      <c r="AX24" s="1784">
        <f t="shared" si="27"/>
        <v>0</v>
      </c>
      <c r="AY24" s="1784">
        <f t="shared" si="27"/>
        <v>0</v>
      </c>
      <c r="AZ24" s="1784">
        <f t="shared" si="27"/>
        <v>0</v>
      </c>
      <c r="BA24" s="1784">
        <f t="shared" si="27"/>
        <v>0</v>
      </c>
      <c r="BB24" s="1784">
        <f t="shared" si="27"/>
        <v>0</v>
      </c>
      <c r="BC24" s="1784">
        <f t="shared" si="27"/>
        <v>0</v>
      </c>
      <c r="BD24" s="1784">
        <f t="shared" si="27"/>
        <v>0</v>
      </c>
      <c r="BE24" s="1784">
        <f t="shared" si="27"/>
        <v>0</v>
      </c>
      <c r="BF24" s="1784">
        <f t="shared" si="27"/>
        <v>0</v>
      </c>
      <c r="BG24" s="1784">
        <f t="shared" si="27"/>
        <v>0</v>
      </c>
      <c r="BH24" s="1784">
        <f t="shared" si="27"/>
        <v>0</v>
      </c>
      <c r="BI24" s="1784">
        <f t="shared" si="27"/>
        <v>0</v>
      </c>
      <c r="BJ24" s="1784">
        <f t="shared" si="27"/>
        <v>0</v>
      </c>
      <c r="BK24" s="1784">
        <f t="shared" si="27"/>
        <v>0</v>
      </c>
      <c r="BL24" s="1784">
        <f t="shared" si="27"/>
        <v>0</v>
      </c>
      <c r="BM24" s="1784">
        <f t="shared" si="27"/>
        <v>0</v>
      </c>
      <c r="BN24" s="1784">
        <f t="shared" si="27"/>
        <v>0</v>
      </c>
      <c r="BO24" s="1784">
        <f t="shared" si="27"/>
        <v>0</v>
      </c>
      <c r="BP24" s="1785">
        <f t="shared" si="27"/>
        <v>0</v>
      </c>
      <c r="BQ24" s="1946">
        <f>BQ23</f>
        <v>1</v>
      </c>
      <c r="BR24" s="1946">
        <f>BQ24+BR23</f>
        <v>1</v>
      </c>
      <c r="BS24" s="1946">
        <f>BR24+BS23</f>
        <v>1</v>
      </c>
    </row>
    <row r="25" spans="2:71">
      <c r="D25" s="731"/>
      <c r="H25" s="732"/>
      <c r="I25" s="732"/>
      <c r="J25" s="732"/>
      <c r="K25" s="732"/>
      <c r="L25" s="732"/>
      <c r="M25" s="732"/>
      <c r="N25" s="732"/>
      <c r="O25" s="732"/>
      <c r="P25" s="732"/>
      <c r="Q25" s="732"/>
      <c r="R25" s="732"/>
      <c r="S25" s="732"/>
      <c r="T25" s="732"/>
      <c r="U25" s="732"/>
      <c r="V25" s="732"/>
      <c r="W25" s="732"/>
      <c r="X25" s="732"/>
      <c r="Y25" s="732"/>
      <c r="Z25" s="732"/>
      <c r="AA25" s="732"/>
      <c r="AB25" s="732"/>
      <c r="AC25" s="732"/>
      <c r="AD25" s="732"/>
      <c r="AE25" s="732"/>
      <c r="AF25" s="732"/>
      <c r="AG25" s="732"/>
      <c r="AH25" s="732"/>
      <c r="AI25" s="732"/>
      <c r="AJ25" s="732"/>
      <c r="AK25" s="732"/>
      <c r="AL25" s="732"/>
      <c r="AM25" s="732"/>
      <c r="AN25" s="732"/>
      <c r="AO25" s="732"/>
      <c r="AP25" s="732"/>
      <c r="AQ25" s="732"/>
      <c r="AR25" s="732"/>
      <c r="AS25" s="732"/>
      <c r="AT25" s="732"/>
      <c r="AU25" s="732"/>
      <c r="AV25" s="732"/>
      <c r="AW25" s="732"/>
      <c r="AX25" s="732"/>
      <c r="AY25" s="732"/>
      <c r="AZ25" s="732"/>
      <c r="BA25" s="732"/>
      <c r="BB25" s="732"/>
      <c r="BC25" s="732"/>
      <c r="BD25" s="732"/>
      <c r="BE25" s="732"/>
      <c r="BF25" s="732"/>
      <c r="BG25" s="732"/>
      <c r="BH25" s="732"/>
      <c r="BI25" s="732"/>
      <c r="BJ25" s="732"/>
      <c r="BK25" s="732"/>
      <c r="BL25" s="732"/>
      <c r="BM25" s="732"/>
      <c r="BN25" s="732"/>
      <c r="BO25" s="732"/>
      <c r="BP25" s="732"/>
      <c r="BQ25" s="732"/>
      <c r="BR25" s="732"/>
      <c r="BS25" s="732"/>
    </row>
    <row r="26" spans="2:71">
      <c r="B26" s="765" t="str">
        <f>CF분석!B253</f>
        <v>생활형숙박시설</v>
      </c>
      <c r="C26" s="766"/>
      <c r="D26" s="767">
        <f>SUM(E26:BP26)</f>
        <v>0</v>
      </c>
      <c r="E26" s="706"/>
      <c r="F26" s="1939"/>
      <c r="G26" s="1939"/>
      <c r="H26" s="707"/>
      <c r="I26" s="707"/>
      <c r="J26" s="707"/>
      <c r="K26" s="707"/>
      <c r="L26" s="707"/>
      <c r="M26" s="707"/>
      <c r="N26" s="707"/>
      <c r="O26" s="707"/>
      <c r="P26" s="707"/>
      <c r="Q26" s="707"/>
      <c r="R26" s="707"/>
      <c r="S26" s="707"/>
      <c r="T26" s="707"/>
      <c r="U26" s="707"/>
      <c r="V26" s="707"/>
      <c r="W26" s="707"/>
      <c r="X26" s="707"/>
      <c r="Y26" s="707"/>
      <c r="Z26" s="707"/>
      <c r="AA26" s="707"/>
      <c r="AB26" s="707"/>
      <c r="AC26" s="707"/>
      <c r="AD26" s="707"/>
      <c r="AE26" s="707"/>
      <c r="AF26" s="707"/>
      <c r="AG26" s="707"/>
      <c r="AH26" s="707"/>
      <c r="AI26" s="707"/>
      <c r="AJ26" s="707"/>
      <c r="AK26" s="707"/>
      <c r="AL26" s="707"/>
      <c r="AM26" s="707"/>
      <c r="AN26" s="707"/>
      <c r="AO26" s="707"/>
      <c r="AP26" s="707"/>
      <c r="AQ26" s="707"/>
      <c r="AR26" s="707"/>
      <c r="AS26" s="707"/>
      <c r="AT26" s="707"/>
      <c r="AU26" s="707"/>
      <c r="AV26" s="707"/>
      <c r="AW26" s="707"/>
      <c r="AX26" s="707"/>
      <c r="AY26" s="707"/>
      <c r="AZ26" s="707"/>
      <c r="BA26" s="707"/>
      <c r="BB26" s="707"/>
      <c r="BC26" s="707"/>
      <c r="BD26" s="707"/>
      <c r="BE26" s="707"/>
      <c r="BF26" s="707"/>
      <c r="BG26" s="707"/>
      <c r="BH26" s="707"/>
      <c r="BI26" s="707"/>
      <c r="BJ26" s="707"/>
      <c r="BK26" s="707"/>
      <c r="BL26" s="707"/>
      <c r="BM26" s="707"/>
      <c r="BN26" s="707"/>
      <c r="BO26" s="707"/>
      <c r="BP26" s="708"/>
      <c r="BQ26" s="1926">
        <v>0.5</v>
      </c>
      <c r="BR26" s="1926">
        <v>0.3</v>
      </c>
      <c r="BS26" s="1955">
        <f>1-BQ26-BR26</f>
        <v>0.2</v>
      </c>
    </row>
    <row r="27" spans="2:71">
      <c r="B27" s="768" t="s">
        <v>1031</v>
      </c>
      <c r="C27" s="769"/>
      <c r="D27" s="770"/>
      <c r="E27" s="769"/>
      <c r="F27" s="771">
        <f t="shared" ref="F27" si="28">E27+F26</f>
        <v>0</v>
      </c>
      <c r="G27" s="771">
        <f t="shared" ref="G27" si="29">F27+G26</f>
        <v>0</v>
      </c>
      <c r="H27" s="771">
        <f t="shared" ref="H27" si="30">G27+H26</f>
        <v>0</v>
      </c>
      <c r="I27" s="771">
        <f t="shared" ref="I27:AZ27" si="31">H27+I26</f>
        <v>0</v>
      </c>
      <c r="J27" s="771">
        <f t="shared" si="31"/>
        <v>0</v>
      </c>
      <c r="K27" s="771">
        <f t="shared" si="31"/>
        <v>0</v>
      </c>
      <c r="L27" s="771">
        <f t="shared" si="31"/>
        <v>0</v>
      </c>
      <c r="M27" s="771">
        <f t="shared" si="31"/>
        <v>0</v>
      </c>
      <c r="N27" s="771">
        <f t="shared" si="31"/>
        <v>0</v>
      </c>
      <c r="O27" s="771">
        <f t="shared" si="31"/>
        <v>0</v>
      </c>
      <c r="P27" s="771">
        <f t="shared" si="31"/>
        <v>0</v>
      </c>
      <c r="Q27" s="771">
        <f t="shared" si="31"/>
        <v>0</v>
      </c>
      <c r="R27" s="771">
        <f t="shared" si="31"/>
        <v>0</v>
      </c>
      <c r="S27" s="771">
        <f t="shared" si="31"/>
        <v>0</v>
      </c>
      <c r="T27" s="771">
        <f t="shared" si="31"/>
        <v>0</v>
      </c>
      <c r="U27" s="771">
        <f t="shared" si="31"/>
        <v>0</v>
      </c>
      <c r="V27" s="771">
        <f t="shared" si="31"/>
        <v>0</v>
      </c>
      <c r="W27" s="771">
        <f t="shared" si="31"/>
        <v>0</v>
      </c>
      <c r="X27" s="771">
        <f t="shared" si="31"/>
        <v>0</v>
      </c>
      <c r="Y27" s="771">
        <f t="shared" si="31"/>
        <v>0</v>
      </c>
      <c r="Z27" s="771">
        <f t="shared" si="31"/>
        <v>0</v>
      </c>
      <c r="AA27" s="771">
        <f t="shared" si="31"/>
        <v>0</v>
      </c>
      <c r="AB27" s="771">
        <f t="shared" si="31"/>
        <v>0</v>
      </c>
      <c r="AC27" s="771">
        <f t="shared" si="31"/>
        <v>0</v>
      </c>
      <c r="AD27" s="771">
        <f t="shared" si="31"/>
        <v>0</v>
      </c>
      <c r="AE27" s="771">
        <f t="shared" si="31"/>
        <v>0</v>
      </c>
      <c r="AF27" s="771">
        <f t="shared" si="31"/>
        <v>0</v>
      </c>
      <c r="AG27" s="771">
        <f t="shared" si="31"/>
        <v>0</v>
      </c>
      <c r="AH27" s="771">
        <f t="shared" si="31"/>
        <v>0</v>
      </c>
      <c r="AI27" s="771">
        <f t="shared" si="31"/>
        <v>0</v>
      </c>
      <c r="AJ27" s="771">
        <f t="shared" si="31"/>
        <v>0</v>
      </c>
      <c r="AK27" s="771">
        <f t="shared" si="31"/>
        <v>0</v>
      </c>
      <c r="AL27" s="771">
        <f t="shared" si="31"/>
        <v>0</v>
      </c>
      <c r="AM27" s="771">
        <f t="shared" si="31"/>
        <v>0</v>
      </c>
      <c r="AN27" s="771">
        <f t="shared" si="31"/>
        <v>0</v>
      </c>
      <c r="AO27" s="771">
        <f t="shared" si="31"/>
        <v>0</v>
      </c>
      <c r="AP27" s="771">
        <f t="shared" si="31"/>
        <v>0</v>
      </c>
      <c r="AQ27" s="771">
        <f t="shared" si="31"/>
        <v>0</v>
      </c>
      <c r="AR27" s="771">
        <f t="shared" si="31"/>
        <v>0</v>
      </c>
      <c r="AS27" s="771">
        <f t="shared" si="31"/>
        <v>0</v>
      </c>
      <c r="AT27" s="771">
        <f t="shared" si="31"/>
        <v>0</v>
      </c>
      <c r="AU27" s="771">
        <f t="shared" si="31"/>
        <v>0</v>
      </c>
      <c r="AV27" s="771">
        <f t="shared" si="31"/>
        <v>0</v>
      </c>
      <c r="AW27" s="771">
        <f t="shared" si="31"/>
        <v>0</v>
      </c>
      <c r="AX27" s="771">
        <f t="shared" si="31"/>
        <v>0</v>
      </c>
      <c r="AY27" s="771">
        <f t="shared" si="31"/>
        <v>0</v>
      </c>
      <c r="AZ27" s="771">
        <f t="shared" si="31"/>
        <v>0</v>
      </c>
      <c r="BA27" s="771">
        <f t="shared" ref="BA27:BP27" si="32">AZ27+BA26</f>
        <v>0</v>
      </c>
      <c r="BB27" s="771">
        <f t="shared" si="32"/>
        <v>0</v>
      </c>
      <c r="BC27" s="771">
        <f t="shared" si="32"/>
        <v>0</v>
      </c>
      <c r="BD27" s="771">
        <f t="shared" si="32"/>
        <v>0</v>
      </c>
      <c r="BE27" s="771">
        <f t="shared" si="32"/>
        <v>0</v>
      </c>
      <c r="BF27" s="771">
        <f t="shared" si="32"/>
        <v>0</v>
      </c>
      <c r="BG27" s="771">
        <f t="shared" si="32"/>
        <v>0</v>
      </c>
      <c r="BH27" s="771">
        <f t="shared" si="32"/>
        <v>0</v>
      </c>
      <c r="BI27" s="771">
        <f t="shared" si="32"/>
        <v>0</v>
      </c>
      <c r="BJ27" s="771">
        <f t="shared" si="32"/>
        <v>0</v>
      </c>
      <c r="BK27" s="771">
        <f t="shared" si="32"/>
        <v>0</v>
      </c>
      <c r="BL27" s="771">
        <f t="shared" si="32"/>
        <v>0</v>
      </c>
      <c r="BM27" s="771">
        <f t="shared" si="32"/>
        <v>0</v>
      </c>
      <c r="BN27" s="771">
        <f t="shared" si="32"/>
        <v>0</v>
      </c>
      <c r="BO27" s="771">
        <f t="shared" si="32"/>
        <v>0</v>
      </c>
      <c r="BP27" s="772">
        <f t="shared" si="32"/>
        <v>0</v>
      </c>
      <c r="BQ27" s="1947">
        <f>BQ26</f>
        <v>0.5</v>
      </c>
      <c r="BR27" s="1947">
        <f>BQ27+BR26</f>
        <v>0.8</v>
      </c>
      <c r="BS27" s="1947">
        <f>BR27+BS26</f>
        <v>1</v>
      </c>
    </row>
    <row r="28" spans="2:71">
      <c r="D28" s="731"/>
      <c r="H28" s="732"/>
      <c r="I28" s="732"/>
      <c r="J28" s="732"/>
      <c r="K28" s="732"/>
      <c r="L28" s="732"/>
      <c r="M28" s="732"/>
      <c r="N28" s="732"/>
      <c r="O28" s="732"/>
      <c r="P28" s="732"/>
      <c r="Q28" s="732"/>
      <c r="R28" s="732"/>
      <c r="S28" s="732"/>
      <c r="T28" s="732"/>
      <c r="U28" s="732"/>
      <c r="V28" s="732"/>
      <c r="W28" s="732"/>
      <c r="X28" s="732"/>
      <c r="Y28" s="732"/>
      <c r="Z28" s="732"/>
      <c r="AA28" s="732"/>
      <c r="AB28" s="732"/>
      <c r="AC28" s="732"/>
      <c r="AD28" s="732"/>
      <c r="AE28" s="732"/>
      <c r="AF28" s="732"/>
      <c r="AG28" s="732"/>
      <c r="AH28" s="732"/>
      <c r="AI28" s="732"/>
      <c r="AJ28" s="732"/>
      <c r="AK28" s="732"/>
      <c r="AL28" s="732"/>
      <c r="AM28" s="732"/>
      <c r="AN28" s="732"/>
      <c r="AO28" s="732"/>
      <c r="AP28" s="732"/>
      <c r="AQ28" s="732"/>
      <c r="AR28" s="732"/>
      <c r="AS28" s="732"/>
      <c r="AT28" s="732"/>
      <c r="AU28" s="732"/>
      <c r="AV28" s="732"/>
      <c r="AW28" s="732"/>
      <c r="AX28" s="732"/>
      <c r="AY28" s="732"/>
      <c r="AZ28" s="732"/>
      <c r="BA28" s="732"/>
      <c r="BB28" s="732"/>
      <c r="BC28" s="732"/>
      <c r="BD28" s="732"/>
      <c r="BE28" s="732"/>
      <c r="BF28" s="732"/>
      <c r="BG28" s="732"/>
      <c r="BH28" s="732"/>
      <c r="BI28" s="732"/>
      <c r="BJ28" s="732"/>
      <c r="BK28" s="732"/>
      <c r="BL28" s="732"/>
      <c r="BM28" s="732"/>
      <c r="BN28" s="732"/>
      <c r="BO28" s="732"/>
      <c r="BP28" s="732"/>
      <c r="BQ28" s="732"/>
      <c r="BR28" s="732"/>
      <c r="BS28" s="732"/>
    </row>
    <row r="29" spans="2:71">
      <c r="B29" s="773" t="str">
        <f>CF분석!B263</f>
        <v>분양형호텔</v>
      </c>
      <c r="C29" s="774"/>
      <c r="D29" s="775">
        <f>SUM(E29:BP29)</f>
        <v>0</v>
      </c>
      <c r="E29" s="709"/>
      <c r="F29" s="1940"/>
      <c r="G29" s="1940"/>
      <c r="H29" s="710"/>
      <c r="I29" s="710"/>
      <c r="J29" s="710"/>
      <c r="K29" s="710"/>
      <c r="L29" s="710"/>
      <c r="M29" s="710"/>
      <c r="N29" s="710"/>
      <c r="O29" s="710"/>
      <c r="P29" s="710"/>
      <c r="Q29" s="710"/>
      <c r="R29" s="710"/>
      <c r="S29" s="710"/>
      <c r="T29" s="710"/>
      <c r="U29" s="710"/>
      <c r="V29" s="710"/>
      <c r="W29" s="710"/>
      <c r="X29" s="710"/>
      <c r="Y29" s="710"/>
      <c r="Z29" s="710"/>
      <c r="AA29" s="710"/>
      <c r="AB29" s="710"/>
      <c r="AC29" s="710"/>
      <c r="AD29" s="710"/>
      <c r="AE29" s="710"/>
      <c r="AF29" s="710"/>
      <c r="AG29" s="710"/>
      <c r="AH29" s="710"/>
      <c r="AI29" s="710"/>
      <c r="AJ29" s="710"/>
      <c r="AK29" s="710"/>
      <c r="AL29" s="710"/>
      <c r="AM29" s="710"/>
      <c r="AN29" s="710"/>
      <c r="AO29" s="710"/>
      <c r="AP29" s="710"/>
      <c r="AQ29" s="710"/>
      <c r="AR29" s="710"/>
      <c r="AS29" s="710"/>
      <c r="AT29" s="710"/>
      <c r="AU29" s="710"/>
      <c r="AV29" s="710"/>
      <c r="AW29" s="710"/>
      <c r="AX29" s="710"/>
      <c r="AY29" s="710"/>
      <c r="AZ29" s="710"/>
      <c r="BA29" s="710"/>
      <c r="BB29" s="710"/>
      <c r="BC29" s="710"/>
      <c r="BD29" s="710"/>
      <c r="BE29" s="710"/>
      <c r="BF29" s="710"/>
      <c r="BG29" s="710"/>
      <c r="BH29" s="710"/>
      <c r="BI29" s="710"/>
      <c r="BJ29" s="710"/>
      <c r="BK29" s="710"/>
      <c r="BL29" s="710"/>
      <c r="BM29" s="710"/>
      <c r="BN29" s="710"/>
      <c r="BO29" s="710"/>
      <c r="BP29" s="711"/>
      <c r="BQ29" s="1927">
        <v>0.5</v>
      </c>
      <c r="BR29" s="1927">
        <v>0.3</v>
      </c>
      <c r="BS29" s="1956">
        <f>1-BQ29-BR29</f>
        <v>0.2</v>
      </c>
    </row>
    <row r="30" spans="2:71">
      <c r="B30" s="776" t="s">
        <v>1031</v>
      </c>
      <c r="C30" s="777"/>
      <c r="D30" s="778"/>
      <c r="E30" s="777"/>
      <c r="F30" s="779">
        <f t="shared" ref="F30" si="33">E30+F29</f>
        <v>0</v>
      </c>
      <c r="G30" s="779">
        <f t="shared" ref="G30" si="34">F30+G29</f>
        <v>0</v>
      </c>
      <c r="H30" s="779">
        <f t="shared" ref="H30" si="35">G30+H29</f>
        <v>0</v>
      </c>
      <c r="I30" s="779">
        <f t="shared" ref="I30:AZ30" si="36">H30+I29</f>
        <v>0</v>
      </c>
      <c r="J30" s="779">
        <f t="shared" si="36"/>
        <v>0</v>
      </c>
      <c r="K30" s="779">
        <f t="shared" si="36"/>
        <v>0</v>
      </c>
      <c r="L30" s="779">
        <f t="shared" si="36"/>
        <v>0</v>
      </c>
      <c r="M30" s="779">
        <f t="shared" si="36"/>
        <v>0</v>
      </c>
      <c r="N30" s="779">
        <f t="shared" si="36"/>
        <v>0</v>
      </c>
      <c r="O30" s="779">
        <f t="shared" si="36"/>
        <v>0</v>
      </c>
      <c r="P30" s="779">
        <f t="shared" si="36"/>
        <v>0</v>
      </c>
      <c r="Q30" s="779">
        <f t="shared" si="36"/>
        <v>0</v>
      </c>
      <c r="R30" s="779">
        <f t="shared" si="36"/>
        <v>0</v>
      </c>
      <c r="S30" s="779">
        <f t="shared" si="36"/>
        <v>0</v>
      </c>
      <c r="T30" s="779">
        <f t="shared" si="36"/>
        <v>0</v>
      </c>
      <c r="U30" s="779">
        <f t="shared" si="36"/>
        <v>0</v>
      </c>
      <c r="V30" s="779">
        <f t="shared" si="36"/>
        <v>0</v>
      </c>
      <c r="W30" s="779">
        <f t="shared" si="36"/>
        <v>0</v>
      </c>
      <c r="X30" s="779">
        <f t="shared" si="36"/>
        <v>0</v>
      </c>
      <c r="Y30" s="779">
        <f t="shared" si="36"/>
        <v>0</v>
      </c>
      <c r="Z30" s="779">
        <f t="shared" si="36"/>
        <v>0</v>
      </c>
      <c r="AA30" s="779">
        <f t="shared" si="36"/>
        <v>0</v>
      </c>
      <c r="AB30" s="779">
        <f t="shared" si="36"/>
        <v>0</v>
      </c>
      <c r="AC30" s="779">
        <f t="shared" si="36"/>
        <v>0</v>
      </c>
      <c r="AD30" s="779">
        <f t="shared" si="36"/>
        <v>0</v>
      </c>
      <c r="AE30" s="779">
        <f t="shared" si="36"/>
        <v>0</v>
      </c>
      <c r="AF30" s="779">
        <f t="shared" si="36"/>
        <v>0</v>
      </c>
      <c r="AG30" s="779">
        <f t="shared" si="36"/>
        <v>0</v>
      </c>
      <c r="AH30" s="779">
        <f t="shared" si="36"/>
        <v>0</v>
      </c>
      <c r="AI30" s="779">
        <f t="shared" si="36"/>
        <v>0</v>
      </c>
      <c r="AJ30" s="779">
        <f t="shared" si="36"/>
        <v>0</v>
      </c>
      <c r="AK30" s="779">
        <f t="shared" si="36"/>
        <v>0</v>
      </c>
      <c r="AL30" s="779">
        <f t="shared" si="36"/>
        <v>0</v>
      </c>
      <c r="AM30" s="779">
        <f t="shared" si="36"/>
        <v>0</v>
      </c>
      <c r="AN30" s="779">
        <f t="shared" si="36"/>
        <v>0</v>
      </c>
      <c r="AO30" s="779">
        <f t="shared" si="36"/>
        <v>0</v>
      </c>
      <c r="AP30" s="779">
        <f t="shared" si="36"/>
        <v>0</v>
      </c>
      <c r="AQ30" s="779">
        <f t="shared" si="36"/>
        <v>0</v>
      </c>
      <c r="AR30" s="779">
        <f t="shared" si="36"/>
        <v>0</v>
      </c>
      <c r="AS30" s="779">
        <f t="shared" si="36"/>
        <v>0</v>
      </c>
      <c r="AT30" s="779">
        <f t="shared" si="36"/>
        <v>0</v>
      </c>
      <c r="AU30" s="779">
        <f t="shared" si="36"/>
        <v>0</v>
      </c>
      <c r="AV30" s="779">
        <f t="shared" si="36"/>
        <v>0</v>
      </c>
      <c r="AW30" s="779">
        <f t="shared" si="36"/>
        <v>0</v>
      </c>
      <c r="AX30" s="779">
        <f t="shared" si="36"/>
        <v>0</v>
      </c>
      <c r="AY30" s="779">
        <f t="shared" si="36"/>
        <v>0</v>
      </c>
      <c r="AZ30" s="779">
        <f t="shared" si="36"/>
        <v>0</v>
      </c>
      <c r="BA30" s="779">
        <f t="shared" ref="BA30:BP30" si="37">AZ30+BA29</f>
        <v>0</v>
      </c>
      <c r="BB30" s="779">
        <f t="shared" si="37"/>
        <v>0</v>
      </c>
      <c r="BC30" s="779">
        <f t="shared" si="37"/>
        <v>0</v>
      </c>
      <c r="BD30" s="779">
        <f t="shared" si="37"/>
        <v>0</v>
      </c>
      <c r="BE30" s="779">
        <f t="shared" si="37"/>
        <v>0</v>
      </c>
      <c r="BF30" s="779">
        <f t="shared" si="37"/>
        <v>0</v>
      </c>
      <c r="BG30" s="779">
        <f t="shared" si="37"/>
        <v>0</v>
      </c>
      <c r="BH30" s="779">
        <f t="shared" si="37"/>
        <v>0</v>
      </c>
      <c r="BI30" s="779">
        <f t="shared" si="37"/>
        <v>0</v>
      </c>
      <c r="BJ30" s="779">
        <f t="shared" si="37"/>
        <v>0</v>
      </c>
      <c r="BK30" s="779">
        <f t="shared" si="37"/>
        <v>0</v>
      </c>
      <c r="BL30" s="779">
        <f t="shared" si="37"/>
        <v>0</v>
      </c>
      <c r="BM30" s="779">
        <f t="shared" si="37"/>
        <v>0</v>
      </c>
      <c r="BN30" s="779">
        <f t="shared" si="37"/>
        <v>0</v>
      </c>
      <c r="BO30" s="779">
        <f t="shared" si="37"/>
        <v>0</v>
      </c>
      <c r="BP30" s="780">
        <f t="shared" si="37"/>
        <v>0</v>
      </c>
      <c r="BQ30" s="1948">
        <f>BQ29</f>
        <v>0.5</v>
      </c>
      <c r="BR30" s="1948">
        <f>BQ30+BR29</f>
        <v>0.8</v>
      </c>
      <c r="BS30" s="1948">
        <f>BR30+BS29</f>
        <v>1</v>
      </c>
    </row>
    <row r="32" spans="2:71" ht="13.5" customHeight="1">
      <c r="B32" s="2056" t="s">
        <v>1173</v>
      </c>
      <c r="C32" s="2056"/>
      <c r="D32" s="2056"/>
      <c r="E32" s="2056"/>
      <c r="F32" s="2056"/>
      <c r="G32" s="2056"/>
      <c r="H32" s="2056"/>
      <c r="I32" s="2056"/>
      <c r="J32" s="2056"/>
      <c r="K32" s="2056"/>
    </row>
    <row r="33" spans="1:120" ht="13.5" customHeight="1">
      <c r="B33" s="2056"/>
      <c r="C33" s="2056"/>
      <c r="D33" s="2056"/>
      <c r="E33" s="2056"/>
      <c r="F33" s="2056"/>
      <c r="G33" s="2056"/>
      <c r="H33" s="2056"/>
      <c r="I33" s="2056"/>
      <c r="J33" s="2056"/>
      <c r="K33" s="2056"/>
    </row>
    <row r="34" spans="1:120" s="781" customFormat="1" ht="26.25" customHeight="1"/>
    <row r="35" spans="1:120" s="781" customFormat="1" ht="12.9" customHeight="1">
      <c r="A35" s="782"/>
      <c r="B35" s="783" t="str">
        <f>'사업수지표 '!C23</f>
        <v>토지비</v>
      </c>
      <c r="C35" s="783"/>
      <c r="D35" s="784">
        <f t="shared" ref="D35:D53" si="38">SUM(E35:BP35)</f>
        <v>1</v>
      </c>
      <c r="E35" s="785">
        <f>IFERROR(Equity!$C$6/Equity!$E$6,0)</f>
        <v>0.125</v>
      </c>
      <c r="F35" s="786">
        <f>IFERROR(Equity!$D$6/Equity!$E$6,0)</f>
        <v>0.875</v>
      </c>
      <c r="G35" s="787"/>
      <c r="H35" s="787"/>
      <c r="I35" s="788"/>
      <c r="J35" s="788"/>
      <c r="K35" s="788"/>
      <c r="L35" s="788"/>
      <c r="M35" s="788"/>
      <c r="N35" s="788"/>
      <c r="O35" s="788"/>
      <c r="P35" s="788"/>
      <c r="Q35" s="788"/>
      <c r="R35" s="788"/>
      <c r="S35" s="788"/>
      <c r="T35" s="788"/>
      <c r="U35" s="788"/>
      <c r="V35" s="788"/>
      <c r="W35" s="788"/>
      <c r="X35" s="788"/>
      <c r="Y35" s="788"/>
      <c r="Z35" s="788"/>
      <c r="AA35" s="788"/>
      <c r="AB35" s="788"/>
      <c r="AC35" s="788"/>
      <c r="AD35" s="788"/>
      <c r="AE35" s="788"/>
      <c r="AF35" s="788"/>
      <c r="AG35" s="788"/>
      <c r="AH35" s="788"/>
      <c r="AI35" s="788"/>
      <c r="AJ35" s="788"/>
      <c r="AK35" s="788"/>
      <c r="AL35" s="788"/>
      <c r="AM35" s="788"/>
      <c r="AN35" s="788"/>
      <c r="AO35" s="788"/>
      <c r="AP35" s="788"/>
      <c r="AQ35" s="788"/>
      <c r="AR35" s="788"/>
      <c r="AS35" s="788"/>
      <c r="AT35" s="788"/>
      <c r="AU35" s="788"/>
      <c r="AV35" s="788"/>
      <c r="AW35" s="788"/>
      <c r="AX35" s="788"/>
      <c r="AY35" s="788"/>
      <c r="AZ35" s="788"/>
      <c r="BA35" s="788"/>
      <c r="BB35" s="788"/>
      <c r="BC35" s="788"/>
      <c r="BD35" s="788"/>
      <c r="BE35" s="788"/>
      <c r="BF35" s="788"/>
      <c r="BG35" s="788"/>
      <c r="BH35" s="788"/>
      <c r="BI35" s="788"/>
      <c r="BJ35" s="788"/>
      <c r="BK35" s="788"/>
      <c r="BL35" s="788"/>
      <c r="BM35" s="788"/>
      <c r="BN35" s="788"/>
      <c r="BO35" s="788"/>
      <c r="BP35" s="789"/>
      <c r="BQ35" s="817"/>
      <c r="BR35" s="817"/>
      <c r="BS35" s="817"/>
    </row>
    <row r="36" spans="1:120" s="793" customFormat="1" ht="12.9" customHeight="1">
      <c r="A36" s="790"/>
      <c r="B36" s="791" t="str">
        <f>'사업수지표 '!C24</f>
        <v>취득세 등</v>
      </c>
      <c r="C36" s="791"/>
      <c r="D36" s="792">
        <f t="shared" si="38"/>
        <v>1</v>
      </c>
      <c r="F36" s="794">
        <v>1</v>
      </c>
      <c r="G36" s="795"/>
      <c r="H36" s="795"/>
      <c r="I36" s="796"/>
      <c r="J36" s="796"/>
      <c r="K36" s="796"/>
      <c r="L36" s="796"/>
      <c r="M36" s="796"/>
      <c r="N36" s="796"/>
      <c r="O36" s="796"/>
      <c r="P36" s="796"/>
      <c r="Q36" s="796"/>
      <c r="R36" s="796"/>
      <c r="S36" s="796"/>
      <c r="T36" s="796"/>
      <c r="U36" s="796"/>
      <c r="V36" s="796"/>
      <c r="W36" s="796"/>
      <c r="X36" s="796"/>
      <c r="Y36" s="796"/>
      <c r="Z36" s="796"/>
      <c r="AA36" s="796"/>
      <c r="AB36" s="796"/>
      <c r="AC36" s="796"/>
      <c r="AD36" s="796"/>
      <c r="AE36" s="796"/>
      <c r="AF36" s="796"/>
      <c r="AG36" s="796"/>
      <c r="AH36" s="796"/>
      <c r="AI36" s="796"/>
      <c r="AJ36" s="796"/>
      <c r="AK36" s="796"/>
      <c r="AL36" s="796"/>
      <c r="AM36" s="796"/>
      <c r="AN36" s="796"/>
      <c r="AO36" s="796"/>
      <c r="AP36" s="796"/>
      <c r="AQ36" s="796"/>
      <c r="AR36" s="796"/>
      <c r="AS36" s="796"/>
      <c r="AT36" s="796"/>
      <c r="AU36" s="796"/>
      <c r="AV36" s="796"/>
      <c r="AW36" s="796"/>
      <c r="AX36" s="796"/>
      <c r="AY36" s="796"/>
      <c r="AZ36" s="796"/>
      <c r="BA36" s="796"/>
      <c r="BB36" s="796"/>
      <c r="BC36" s="796"/>
      <c r="BD36" s="796"/>
      <c r="BE36" s="796"/>
      <c r="BF36" s="796"/>
      <c r="BG36" s="796"/>
      <c r="BH36" s="796"/>
      <c r="BI36" s="796"/>
      <c r="BJ36" s="796"/>
      <c r="BK36" s="796"/>
      <c r="BL36" s="796"/>
      <c r="BM36" s="796"/>
      <c r="BN36" s="796"/>
      <c r="BO36" s="796"/>
      <c r="BP36" s="797"/>
      <c r="BQ36" s="796"/>
      <c r="BR36" s="796"/>
      <c r="BS36" s="796"/>
      <c r="BT36" s="781"/>
      <c r="BU36" s="781"/>
      <c r="BV36" s="781"/>
      <c r="BW36" s="781"/>
      <c r="BX36" s="781"/>
      <c r="BY36" s="781"/>
      <c r="BZ36" s="781"/>
      <c r="CA36" s="781"/>
      <c r="CB36" s="781"/>
      <c r="CC36" s="781"/>
      <c r="CD36" s="781"/>
      <c r="CE36" s="781"/>
      <c r="CF36" s="781"/>
      <c r="CG36" s="781"/>
      <c r="CH36" s="781"/>
      <c r="CI36" s="781"/>
      <c r="CJ36" s="781"/>
      <c r="CK36" s="781"/>
      <c r="CL36" s="781"/>
      <c r="CM36" s="781"/>
      <c r="CN36" s="781"/>
      <c r="CO36" s="781"/>
      <c r="CP36" s="781"/>
      <c r="CQ36" s="781"/>
      <c r="CR36" s="781"/>
      <c r="CS36" s="781"/>
      <c r="CT36" s="781"/>
      <c r="CU36" s="781"/>
      <c r="CV36" s="781"/>
      <c r="CW36" s="781"/>
      <c r="CX36" s="781"/>
      <c r="CY36" s="781"/>
      <c r="CZ36" s="781"/>
      <c r="DA36" s="781"/>
      <c r="DB36" s="781"/>
      <c r="DC36" s="781"/>
      <c r="DD36" s="781"/>
      <c r="DE36" s="781"/>
      <c r="DF36" s="781"/>
      <c r="DG36" s="781"/>
      <c r="DH36" s="781"/>
      <c r="DI36" s="781"/>
      <c r="DJ36" s="781"/>
      <c r="DK36" s="781"/>
      <c r="DL36" s="781"/>
      <c r="DM36" s="781"/>
      <c r="DN36" s="781"/>
      <c r="DO36" s="781"/>
      <c r="DP36" s="781"/>
    </row>
    <row r="37" spans="1:120" s="781" customFormat="1" ht="12.9" customHeight="1">
      <c r="A37" s="798"/>
      <c r="B37" s="799" t="str">
        <f>'사업수지표 '!C25</f>
        <v>기타비용</v>
      </c>
      <c r="C37" s="799"/>
      <c r="D37" s="800">
        <f t="shared" si="38"/>
        <v>1</v>
      </c>
      <c r="E37" s="801"/>
      <c r="F37" s="802">
        <v>0.5</v>
      </c>
      <c r="G37" s="802"/>
      <c r="H37" s="802"/>
      <c r="I37" s="802">
        <f>IF(I5="착공",50%,IF(I5="준공",50%,))</f>
        <v>0.5</v>
      </c>
      <c r="J37" s="802">
        <v>0</v>
      </c>
      <c r="K37" s="802">
        <v>0</v>
      </c>
      <c r="L37" s="802">
        <v>0</v>
      </c>
      <c r="M37" s="802">
        <v>0</v>
      </c>
      <c r="N37" s="802">
        <v>0</v>
      </c>
      <c r="O37" s="802">
        <v>0</v>
      </c>
      <c r="P37" s="802">
        <v>0</v>
      </c>
      <c r="Q37" s="802">
        <v>0</v>
      </c>
      <c r="R37" s="802">
        <v>0</v>
      </c>
      <c r="S37" s="802">
        <v>0</v>
      </c>
      <c r="T37" s="802">
        <v>0</v>
      </c>
      <c r="U37" s="802">
        <v>0</v>
      </c>
      <c r="V37" s="802">
        <v>0</v>
      </c>
      <c r="W37" s="802">
        <v>0</v>
      </c>
      <c r="X37" s="802">
        <v>0</v>
      </c>
      <c r="Y37" s="802">
        <v>0</v>
      </c>
      <c r="Z37" s="802">
        <v>0</v>
      </c>
      <c r="AA37" s="802">
        <v>0</v>
      </c>
      <c r="AB37" s="802">
        <v>0</v>
      </c>
      <c r="AC37" s="802">
        <v>0</v>
      </c>
      <c r="AD37" s="802">
        <v>0</v>
      </c>
      <c r="AE37" s="802">
        <v>0</v>
      </c>
      <c r="AF37" s="802">
        <v>0</v>
      </c>
      <c r="AG37" s="802">
        <v>0</v>
      </c>
      <c r="AH37" s="802">
        <v>0</v>
      </c>
      <c r="AI37" s="802">
        <v>0</v>
      </c>
      <c r="AJ37" s="802">
        <v>0</v>
      </c>
      <c r="AK37" s="802">
        <v>0</v>
      </c>
      <c r="AL37" s="802">
        <v>0</v>
      </c>
      <c r="AM37" s="802">
        <v>0</v>
      </c>
      <c r="AN37" s="802">
        <v>0</v>
      </c>
      <c r="AO37" s="802">
        <v>0</v>
      </c>
      <c r="AP37" s="802">
        <v>0</v>
      </c>
      <c r="AQ37" s="802">
        <v>0</v>
      </c>
      <c r="AR37" s="802">
        <v>0</v>
      </c>
      <c r="AS37" s="802">
        <v>0</v>
      </c>
      <c r="AT37" s="802">
        <v>0</v>
      </c>
      <c r="AU37" s="802">
        <v>0</v>
      </c>
      <c r="AV37" s="802">
        <v>0</v>
      </c>
      <c r="AW37" s="802">
        <v>0</v>
      </c>
      <c r="AX37" s="802">
        <v>0</v>
      </c>
      <c r="AY37" s="802">
        <v>0</v>
      </c>
      <c r="AZ37" s="802">
        <v>0</v>
      </c>
      <c r="BA37" s="802">
        <v>0</v>
      </c>
      <c r="BB37" s="802">
        <v>0</v>
      </c>
      <c r="BC37" s="802">
        <v>0</v>
      </c>
      <c r="BD37" s="802">
        <v>0</v>
      </c>
      <c r="BE37" s="802">
        <v>0</v>
      </c>
      <c r="BF37" s="802">
        <v>0</v>
      </c>
      <c r="BG37" s="802">
        <v>0</v>
      </c>
      <c r="BH37" s="802">
        <v>0</v>
      </c>
      <c r="BI37" s="802">
        <v>0</v>
      </c>
      <c r="BJ37" s="802">
        <v>0</v>
      </c>
      <c r="BK37" s="802">
        <v>0</v>
      </c>
      <c r="BL37" s="802">
        <v>0</v>
      </c>
      <c r="BM37" s="802">
        <v>0</v>
      </c>
      <c r="BN37" s="802">
        <v>0</v>
      </c>
      <c r="BO37" s="802">
        <v>0</v>
      </c>
      <c r="BP37" s="802">
        <v>0</v>
      </c>
      <c r="BQ37" s="802"/>
      <c r="BR37" s="802"/>
      <c r="BS37" s="802"/>
    </row>
    <row r="38" spans="1:120" s="807" customFormat="1" ht="12.9" customHeight="1">
      <c r="A38" s="804"/>
      <c r="B38" s="805" t="str">
        <f>'사업수지표 '!C26</f>
        <v>소계</v>
      </c>
      <c r="C38" s="805"/>
      <c r="D38" s="806">
        <f t="shared" si="38"/>
        <v>0</v>
      </c>
      <c r="F38" s="808"/>
      <c r="G38" s="808"/>
      <c r="H38" s="808"/>
      <c r="I38" s="809"/>
      <c r="J38" s="809"/>
      <c r="K38" s="809"/>
      <c r="L38" s="809"/>
      <c r="M38" s="809"/>
      <c r="N38" s="809"/>
      <c r="O38" s="809"/>
      <c r="P38" s="809"/>
      <c r="Q38" s="809"/>
      <c r="R38" s="809"/>
      <c r="S38" s="809"/>
      <c r="T38" s="809"/>
      <c r="U38" s="809"/>
      <c r="V38" s="809"/>
      <c r="W38" s="809"/>
      <c r="X38" s="809"/>
      <c r="Y38" s="809"/>
      <c r="Z38" s="809"/>
      <c r="AA38" s="809"/>
      <c r="AB38" s="809"/>
      <c r="AC38" s="809"/>
      <c r="AD38" s="809"/>
      <c r="AE38" s="809"/>
      <c r="AF38" s="809"/>
      <c r="AG38" s="809"/>
      <c r="AH38" s="809"/>
      <c r="AI38" s="809"/>
      <c r="AJ38" s="809"/>
      <c r="AK38" s="809"/>
      <c r="AL38" s="809"/>
      <c r="AM38" s="809"/>
      <c r="AN38" s="809"/>
      <c r="AO38" s="809"/>
      <c r="AP38" s="809"/>
      <c r="AQ38" s="809"/>
      <c r="AR38" s="809"/>
      <c r="AS38" s="809"/>
      <c r="AT38" s="809"/>
      <c r="AU38" s="809"/>
      <c r="AV38" s="809"/>
      <c r="AW38" s="809"/>
      <c r="AX38" s="809"/>
      <c r="AY38" s="809"/>
      <c r="AZ38" s="809"/>
      <c r="BA38" s="809"/>
      <c r="BB38" s="809"/>
      <c r="BC38" s="809"/>
      <c r="BD38" s="809"/>
      <c r="BE38" s="809"/>
      <c r="BF38" s="809"/>
      <c r="BG38" s="809"/>
      <c r="BH38" s="809"/>
      <c r="BI38" s="809"/>
      <c r="BJ38" s="809"/>
      <c r="BK38" s="809"/>
      <c r="BL38" s="809"/>
      <c r="BM38" s="809"/>
      <c r="BN38" s="809"/>
      <c r="BO38" s="809"/>
      <c r="BP38" s="810"/>
      <c r="BQ38" s="809"/>
      <c r="BR38" s="809"/>
      <c r="BS38" s="809"/>
      <c r="BT38" s="781"/>
      <c r="BU38" s="781"/>
      <c r="BV38" s="781"/>
      <c r="BW38" s="781"/>
      <c r="BX38" s="781"/>
      <c r="BY38" s="781"/>
      <c r="BZ38" s="781"/>
      <c r="CA38" s="781"/>
      <c r="CB38" s="781"/>
      <c r="CC38" s="781"/>
      <c r="CD38" s="781"/>
      <c r="CE38" s="781"/>
      <c r="CF38" s="781"/>
      <c r="CG38" s="781"/>
      <c r="CH38" s="781"/>
      <c r="CI38" s="781"/>
      <c r="CJ38" s="781"/>
      <c r="CK38" s="781"/>
      <c r="CL38" s="781"/>
      <c r="CM38" s="781"/>
      <c r="CN38" s="781"/>
      <c r="CO38" s="781"/>
      <c r="CP38" s="781"/>
      <c r="CQ38" s="781"/>
      <c r="CR38" s="781"/>
      <c r="CS38" s="781"/>
      <c r="CT38" s="781"/>
      <c r="CU38" s="781"/>
      <c r="CV38" s="781"/>
      <c r="CW38" s="781"/>
      <c r="CX38" s="781"/>
      <c r="CY38" s="781"/>
      <c r="CZ38" s="781"/>
      <c r="DA38" s="781"/>
      <c r="DB38" s="781"/>
      <c r="DC38" s="781"/>
      <c r="DD38" s="781"/>
      <c r="DE38" s="781"/>
      <c r="DF38" s="781"/>
      <c r="DG38" s="781"/>
      <c r="DH38" s="781"/>
      <c r="DI38" s="781"/>
      <c r="DJ38" s="781"/>
      <c r="DK38" s="781"/>
      <c r="DL38" s="781"/>
      <c r="DM38" s="781"/>
      <c r="DN38" s="781"/>
      <c r="DO38" s="781"/>
      <c r="DP38" s="781"/>
    </row>
    <row r="39" spans="1:120" s="781" customFormat="1" ht="12.9" customHeight="1">
      <c r="A39" s="798"/>
      <c r="B39" s="799" t="str">
        <f>'사업수지표 '!C27</f>
        <v>공사비</v>
      </c>
      <c r="C39" s="799"/>
      <c r="D39" s="800">
        <f t="shared" si="38"/>
        <v>0.9</v>
      </c>
      <c r="F39" s="811"/>
      <c r="G39" s="811"/>
      <c r="H39" s="811"/>
      <c r="I39" s="812">
        <f>I129</f>
        <v>0</v>
      </c>
      <c r="J39" s="812">
        <f t="shared" ref="J39:AZ39" si="39">J129</f>
        <v>0</v>
      </c>
      <c r="K39" s="812">
        <f t="shared" si="39"/>
        <v>6.7999999999999988E-3</v>
      </c>
      <c r="L39" s="812">
        <f t="shared" si="39"/>
        <v>0</v>
      </c>
      <c r="M39" s="812">
        <f t="shared" si="39"/>
        <v>1.6799999999999995E-2</v>
      </c>
      <c r="N39" s="812">
        <f t="shared" si="39"/>
        <v>0</v>
      </c>
      <c r="O39" s="812">
        <f t="shared" si="39"/>
        <v>3.2399999999999984E-2</v>
      </c>
      <c r="P39" s="812">
        <f t="shared" si="39"/>
        <v>0</v>
      </c>
      <c r="Q39" s="812">
        <f t="shared" si="39"/>
        <v>6.0799999999999979E-2</v>
      </c>
      <c r="R39" s="812">
        <f t="shared" si="39"/>
        <v>0</v>
      </c>
      <c r="S39" s="812">
        <f t="shared" si="39"/>
        <v>7.5600000000000001E-2</v>
      </c>
      <c r="T39" s="812">
        <f t="shared" si="39"/>
        <v>0</v>
      </c>
      <c r="U39" s="812">
        <f t="shared" si="39"/>
        <v>9.5600000000000018E-2</v>
      </c>
      <c r="V39" s="812">
        <f t="shared" si="39"/>
        <v>0</v>
      </c>
      <c r="W39" s="812">
        <f t="shared" si="39"/>
        <v>0.10259999999999991</v>
      </c>
      <c r="X39" s="812">
        <f t="shared" si="39"/>
        <v>0</v>
      </c>
      <c r="Y39" s="812">
        <f t="shared" si="39"/>
        <v>8.5799999999999987E-2</v>
      </c>
      <c r="Z39" s="812">
        <f t="shared" si="39"/>
        <v>0</v>
      </c>
      <c r="AA39" s="812">
        <f t="shared" si="39"/>
        <v>0.11860000000000009</v>
      </c>
      <c r="AB39" s="812">
        <f t="shared" si="39"/>
        <v>0</v>
      </c>
      <c r="AC39" s="812">
        <f t="shared" si="39"/>
        <v>0.1100899999999998</v>
      </c>
      <c r="AD39" s="812">
        <f t="shared" si="39"/>
        <v>0</v>
      </c>
      <c r="AE39" s="812">
        <f t="shared" si="39"/>
        <v>0.10139999999999993</v>
      </c>
      <c r="AF39" s="812">
        <f t="shared" si="39"/>
        <v>0</v>
      </c>
      <c r="AG39" s="812">
        <f t="shared" si="39"/>
        <v>9.3510000000000315E-2</v>
      </c>
      <c r="AH39" s="812">
        <f t="shared" si="39"/>
        <v>0</v>
      </c>
      <c r="AI39" s="812">
        <f t="shared" si="39"/>
        <v>0</v>
      </c>
      <c r="AJ39" s="812">
        <f t="shared" si="39"/>
        <v>0</v>
      </c>
      <c r="AK39" s="812">
        <f t="shared" si="39"/>
        <v>0</v>
      </c>
      <c r="AL39" s="812">
        <f t="shared" si="39"/>
        <v>0</v>
      </c>
      <c r="AM39" s="812">
        <f t="shared" si="39"/>
        <v>0</v>
      </c>
      <c r="AN39" s="812">
        <f t="shared" si="39"/>
        <v>0</v>
      </c>
      <c r="AO39" s="812">
        <f t="shared" si="39"/>
        <v>0</v>
      </c>
      <c r="AP39" s="812">
        <f t="shared" si="39"/>
        <v>0</v>
      </c>
      <c r="AQ39" s="812">
        <f t="shared" si="39"/>
        <v>0</v>
      </c>
      <c r="AR39" s="812">
        <f t="shared" si="39"/>
        <v>0</v>
      </c>
      <c r="AS39" s="812">
        <f t="shared" si="39"/>
        <v>0</v>
      </c>
      <c r="AT39" s="812">
        <f t="shared" si="39"/>
        <v>0</v>
      </c>
      <c r="AU39" s="812">
        <f t="shared" si="39"/>
        <v>0</v>
      </c>
      <c r="AV39" s="812">
        <f t="shared" si="39"/>
        <v>0</v>
      </c>
      <c r="AW39" s="812">
        <f t="shared" si="39"/>
        <v>0</v>
      </c>
      <c r="AX39" s="812">
        <f t="shared" si="39"/>
        <v>0</v>
      </c>
      <c r="AY39" s="812">
        <f t="shared" si="39"/>
        <v>0</v>
      </c>
      <c r="AZ39" s="812">
        <f t="shared" si="39"/>
        <v>0</v>
      </c>
      <c r="BA39" s="812">
        <f t="shared" ref="BA39:BR39" si="40">BA129</f>
        <v>0</v>
      </c>
      <c r="BB39" s="812">
        <f t="shared" si="40"/>
        <v>0</v>
      </c>
      <c r="BC39" s="812">
        <f t="shared" si="40"/>
        <v>0</v>
      </c>
      <c r="BD39" s="812">
        <f t="shared" si="40"/>
        <v>0</v>
      </c>
      <c r="BE39" s="812">
        <f t="shared" si="40"/>
        <v>0</v>
      </c>
      <c r="BF39" s="812">
        <f t="shared" si="40"/>
        <v>0</v>
      </c>
      <c r="BG39" s="812">
        <f t="shared" si="40"/>
        <v>0</v>
      </c>
      <c r="BH39" s="812">
        <f t="shared" si="40"/>
        <v>0</v>
      </c>
      <c r="BI39" s="812">
        <f t="shared" si="40"/>
        <v>0</v>
      </c>
      <c r="BJ39" s="812">
        <f t="shared" si="40"/>
        <v>0</v>
      </c>
      <c r="BK39" s="812">
        <f t="shared" si="40"/>
        <v>0</v>
      </c>
      <c r="BL39" s="812">
        <f t="shared" si="40"/>
        <v>0</v>
      </c>
      <c r="BM39" s="812">
        <f t="shared" si="40"/>
        <v>0</v>
      </c>
      <c r="BN39" s="812">
        <f t="shared" si="40"/>
        <v>0</v>
      </c>
      <c r="BO39" s="812">
        <f t="shared" si="40"/>
        <v>0</v>
      </c>
      <c r="BP39" s="813">
        <f t="shared" si="40"/>
        <v>0</v>
      </c>
      <c r="BQ39" s="813">
        <f t="shared" si="40"/>
        <v>0</v>
      </c>
      <c r="BR39" s="813">
        <f t="shared" si="40"/>
        <v>0</v>
      </c>
      <c r="BS39" s="813">
        <f>BS129</f>
        <v>9.9999999999999978E-2</v>
      </c>
    </row>
    <row r="40" spans="1:120" s="781" customFormat="1" ht="12.9" customHeight="1">
      <c r="A40" s="798"/>
      <c r="B40" s="791" t="str">
        <f>'사업수지표 '!C28</f>
        <v>철거비</v>
      </c>
      <c r="C40" s="791"/>
      <c r="D40" s="814">
        <f t="shared" si="38"/>
        <v>1</v>
      </c>
      <c r="E40" s="796"/>
      <c r="F40" s="815">
        <v>0.2</v>
      </c>
      <c r="G40" s="815">
        <v>0.2</v>
      </c>
      <c r="H40" s="815">
        <v>0.3</v>
      </c>
      <c r="I40" s="815">
        <v>0.3</v>
      </c>
      <c r="J40" s="815"/>
      <c r="K40" s="796"/>
      <c r="L40" s="796"/>
      <c r="M40" s="796"/>
      <c r="N40" s="796"/>
      <c r="O40" s="796"/>
      <c r="P40" s="796"/>
      <c r="Q40" s="796"/>
      <c r="R40" s="796"/>
      <c r="S40" s="796"/>
      <c r="T40" s="796"/>
      <c r="U40" s="796"/>
      <c r="V40" s="796"/>
      <c r="W40" s="796"/>
      <c r="X40" s="796"/>
      <c r="Y40" s="796"/>
      <c r="Z40" s="796"/>
      <c r="AA40" s="796"/>
      <c r="AB40" s="796"/>
      <c r="AC40" s="796"/>
      <c r="AD40" s="796"/>
      <c r="AE40" s="796"/>
      <c r="AF40" s="796"/>
      <c r="AG40" s="796"/>
      <c r="AH40" s="796"/>
      <c r="AI40" s="796"/>
      <c r="AJ40" s="796"/>
      <c r="AK40" s="796"/>
      <c r="AL40" s="796"/>
      <c r="AM40" s="796"/>
      <c r="AN40" s="796"/>
      <c r="AO40" s="796"/>
      <c r="AP40" s="796"/>
      <c r="AQ40" s="796"/>
      <c r="AR40" s="796"/>
      <c r="AS40" s="796"/>
      <c r="AT40" s="796"/>
      <c r="AU40" s="796"/>
      <c r="AV40" s="796"/>
      <c r="AW40" s="796"/>
      <c r="AX40" s="796"/>
      <c r="AY40" s="796"/>
      <c r="AZ40" s="796"/>
      <c r="BA40" s="796"/>
      <c r="BB40" s="796"/>
      <c r="BC40" s="796"/>
      <c r="BD40" s="796"/>
      <c r="BE40" s="796"/>
      <c r="BF40" s="796"/>
      <c r="BG40" s="796"/>
      <c r="BH40" s="796"/>
      <c r="BI40" s="796"/>
      <c r="BJ40" s="796"/>
      <c r="BK40" s="796"/>
      <c r="BL40" s="796"/>
      <c r="BM40" s="796"/>
      <c r="BN40" s="796"/>
      <c r="BO40" s="796"/>
      <c r="BP40" s="797"/>
      <c r="BQ40" s="796"/>
      <c r="BR40" s="796"/>
      <c r="BS40" s="796"/>
    </row>
    <row r="41" spans="1:120" s="817" customFormat="1" ht="12.9" customHeight="1">
      <c r="A41" s="816"/>
      <c r="B41" s="817" t="str">
        <f>'사업수지표 '!C29</f>
        <v>인입공사비</v>
      </c>
      <c r="D41" s="818">
        <f t="shared" si="38"/>
        <v>1</v>
      </c>
      <c r="I41" s="802">
        <f>IF((총괄장!$P$6-7)=I4,30%,IF((총괄장!$P$6-4)=I4,30%,(IF((총괄장!$P$6-2)=I4,40%,0))))</f>
        <v>0</v>
      </c>
      <c r="J41" s="802">
        <f>IF((총괄장!$P$6-7)=J4,30%,IF((총괄장!$P$6-4)=J4,30%,(IF((총괄장!$P$6-2)=J4,40%,0))))</f>
        <v>0</v>
      </c>
      <c r="K41" s="802">
        <f>IF((총괄장!$P$6-7)=K4,30%,IF((총괄장!$P$6-4)=K4,30%,(IF((총괄장!$P$6-2)=K4,40%,0))))</f>
        <v>0</v>
      </c>
      <c r="L41" s="802">
        <f>IF((총괄장!$P$6-7)=L4,30%,IF((총괄장!$P$6-4)=L4,30%,(IF((총괄장!$P$6-2)=L4,40%,0))))</f>
        <v>0</v>
      </c>
      <c r="M41" s="802">
        <f>IF((총괄장!$P$6-7)=M4,30%,IF((총괄장!$P$6-4)=M4,30%,(IF((총괄장!$P$6-2)=M4,40%,0))))</f>
        <v>0</v>
      </c>
      <c r="N41" s="802">
        <f>IF((총괄장!$P$6-7)=N4,30%,IF((총괄장!$P$6-4)=N4,30%,(IF((총괄장!$P$6-2)=N4,40%,0))))</f>
        <v>0</v>
      </c>
      <c r="O41" s="802">
        <f>IF((총괄장!$P$6-7)=O4,30%,IF((총괄장!$P$6-4)=O4,30%,(IF((총괄장!$P$6-2)=O4,40%,0))))</f>
        <v>0</v>
      </c>
      <c r="P41" s="802">
        <f>IF((총괄장!$P$6-7)=P4,30%,IF((총괄장!$P$6-4)=P4,30%,(IF((총괄장!$P$6-2)=P4,40%,0))))</f>
        <v>0</v>
      </c>
      <c r="Q41" s="802">
        <f>IF((총괄장!$P$6-7)=Q4,30%,IF((총괄장!$P$6-4)=Q4,30%,(IF((총괄장!$P$6-2)=Q4,40%,0))))</f>
        <v>0</v>
      </c>
      <c r="R41" s="802">
        <f>IF((총괄장!$P$6-7)=R4,30%,IF((총괄장!$P$6-4)=R4,30%,(IF((총괄장!$P$6-2)=R4,40%,0))))</f>
        <v>0</v>
      </c>
      <c r="S41" s="802">
        <f>IF((총괄장!$P$6-7)=S4,30%,IF((총괄장!$P$6-4)=S4,30%,(IF((총괄장!$P$6-2)=S4,40%,0))))</f>
        <v>0</v>
      </c>
      <c r="T41" s="802">
        <f>IF((총괄장!$P$6-7)=T4,30%,IF((총괄장!$P$6-4)=T4,30%,(IF((총괄장!$P$6-2)=T4,40%,0))))</f>
        <v>0</v>
      </c>
      <c r="U41" s="802">
        <f>IF((총괄장!$P$6-7)=U4,30%,IF((총괄장!$P$6-4)=U4,30%,(IF((총괄장!$P$6-2)=U4,40%,0))))</f>
        <v>0</v>
      </c>
      <c r="V41" s="802">
        <f>IF((총괄장!$P$6-7)=V4,30%,IF((총괄장!$P$6-4)=V4,30%,(IF((총괄장!$P$6-2)=V4,40%,0))))</f>
        <v>0</v>
      </c>
      <c r="W41" s="802">
        <f>IF((총괄장!$P$6-7)=W4,30%,IF((총괄장!$P$6-4)=W4,30%,(IF((총괄장!$P$6-2)=W4,40%,0))))</f>
        <v>0</v>
      </c>
      <c r="X41" s="802">
        <f>IF((총괄장!$P$6-7)=X4,30%,IF((총괄장!$P$6-4)=X4,30%,(IF((총괄장!$P$6-2)=X4,40%,0))))</f>
        <v>0</v>
      </c>
      <c r="Y41" s="802">
        <f>IF((총괄장!$P$6-7)=Y4,30%,IF((총괄장!$P$6-4)=Y4,30%,(IF((총괄장!$P$6-2)=Y4,40%,0))))</f>
        <v>0</v>
      </c>
      <c r="Z41" s="802">
        <f>IF((총괄장!$P$6-7)=Z4,30%,IF((총괄장!$P$6-4)=Z4,30%,(IF((총괄장!$P$6-2)=Z4,40%,0))))</f>
        <v>0</v>
      </c>
      <c r="AA41" s="802">
        <f>IF((총괄장!$P$6-7)=AA4,30%,IF((총괄장!$P$6-4)=AA4,30%,(IF((총괄장!$P$6-2)=AA4,40%,0))))</f>
        <v>0</v>
      </c>
      <c r="AB41" s="802">
        <f>IF((총괄장!$P$6-7)=AB4,30%,IF((총괄장!$P$6-4)=AB4,30%,(IF((총괄장!$P$6-2)=AB4,40%,0))))</f>
        <v>0</v>
      </c>
      <c r="AC41" s="802">
        <f>IF((총괄장!$P$6-7)=AC4,30%,IF((총괄장!$P$6-4)=AC4,30%,(IF((총괄장!$P$6-2)=AC4,40%,0))))</f>
        <v>0</v>
      </c>
      <c r="AD41" s="802">
        <f>IF((총괄장!$P$6-7)=AD4,30%,IF((총괄장!$P$6-4)=AD4,30%,(IF((총괄장!$P$6-2)=AD4,20%,0))))</f>
        <v>0</v>
      </c>
      <c r="AE41" s="802">
        <f>IF((총괄장!$P$6-7)=AE4,30%,IF((총괄장!$P$6-4)=AE4,30%,(IF((총괄장!$P$6-2)=AE4,40%,0))))</f>
        <v>0.3</v>
      </c>
      <c r="AF41" s="802">
        <f>IF((총괄장!$P$6-7)=AF4,30%,IF((총괄장!$P$6-4)=AF4,30%,(IF((총괄장!$P$6-2)=AF4,40%,0))))</f>
        <v>0</v>
      </c>
      <c r="AG41" s="802">
        <f>IF((총괄장!$P$6-7)=AG4,30%,IF((총괄장!$P$6-4)=AG4,30%,(IF((총괄장!$P$6-2)=AG4,40%,0))))</f>
        <v>0</v>
      </c>
      <c r="AH41" s="802">
        <f>IF((총괄장!$P$6-7)=AH4,30%,IF((총괄장!$P$6-4)=AH4,30%,(IF((총괄장!$P$6-2)=AH4,40%,0))))</f>
        <v>0.3</v>
      </c>
      <c r="AI41" s="802">
        <f>IF((총괄장!$P$6-7)=AI4,30%,IF((총괄장!$P$6-4)=AI4,30%,(IF((총괄장!$P$6-2)=AI4,40%,0))))</f>
        <v>0</v>
      </c>
      <c r="AJ41" s="802">
        <f>IF((총괄장!$P$6-7)=AJ4,30%,IF((총괄장!$P$6-4)=AJ4,30%,(IF((총괄장!$P$6-2)=AJ4,40%,0))))</f>
        <v>0.4</v>
      </c>
      <c r="AK41" s="802">
        <f>IF((총괄장!$P$6-7)=AK4,30%,IF((총괄장!$P$6-4)=AK4,30%,(IF((총괄장!$P$6-2)=AK4,40%,0))))</f>
        <v>0</v>
      </c>
      <c r="AL41" s="802">
        <f>IF((총괄장!$P$6-7)=AL4,30%,IF((총괄장!$P$6-4)=AL4,30%,(IF((총괄장!$P$6-2)=AL4,40%,0))))</f>
        <v>0</v>
      </c>
      <c r="AM41" s="802">
        <f>IF((총괄장!$P$6-7)=AM4,30%,IF((총괄장!$P$6-4)=AM4,30%,(IF((총괄장!$P$6-2)=AM4,40%,0))))</f>
        <v>0</v>
      </c>
      <c r="AN41" s="802">
        <f>IF((총괄장!$P$6-7)=AN4,30%,IF((총괄장!$P$6-4)=AN4,30%,(IF((총괄장!$P$6-2)=AN4,40%,0))))</f>
        <v>0</v>
      </c>
      <c r="AO41" s="802">
        <f>IF((총괄장!$P$6-7)=AO4,30%,IF((총괄장!$P$6-4)=AO4,30%,(IF((총괄장!$P$6-2)=AO4,40%,0))))</f>
        <v>0</v>
      </c>
      <c r="AP41" s="802">
        <f>IF((총괄장!$P$6-7)=AP4,30%,IF((총괄장!$P$6-4)=AP4,30%,(IF((총괄장!$P$6-2)=AP4,40%,0))))</f>
        <v>0</v>
      </c>
      <c r="AQ41" s="802">
        <f>IF((총괄장!$P$6-7)=AQ4,30%,IF((총괄장!$P$6-4)=AQ4,30%,(IF((총괄장!$P$6-2)=AQ4,40%,0))))</f>
        <v>0</v>
      </c>
      <c r="AR41" s="802">
        <f>IF((총괄장!$P$6-7)=AR4,30%,IF((총괄장!$P$6-4)=AR4,30%,(IF((총괄장!$P$6-2)=AR4,40%,0))))</f>
        <v>0</v>
      </c>
      <c r="AS41" s="802">
        <f>IF((총괄장!$P$6-7)=AS4,30%,IF((총괄장!$P$6-4)=AS4,30%,(IF((총괄장!$P$6-2)=AS4,40%,0))))</f>
        <v>0</v>
      </c>
      <c r="AT41" s="802">
        <f>IF((총괄장!$P$6-7)=AT4,30%,IF((총괄장!$P$6-4)=AT4,30%,(IF((총괄장!$P$6-2)=AT4,40%,0))))</f>
        <v>0</v>
      </c>
      <c r="AU41" s="802">
        <f>IF((총괄장!$P$6-7)=AU4,30%,IF((총괄장!$P$6-4)=AU4,30%,(IF((총괄장!$P$6-2)=AU4,40%,0))))</f>
        <v>0</v>
      </c>
      <c r="AV41" s="802">
        <f>IF((총괄장!$P$6-7)=AV4,30%,IF((총괄장!$P$6-4)=AV4,30%,(IF((총괄장!$P$6-2)=AV4,40%,0))))</f>
        <v>0</v>
      </c>
      <c r="AW41" s="802">
        <f>IF((총괄장!$P$6-7)=AW4,30%,IF((총괄장!$P$6-4)=AW4,30%,(IF((총괄장!$P$6-2)=AW4,40%,0))))</f>
        <v>0</v>
      </c>
      <c r="AX41" s="802">
        <f>IF((총괄장!$P$6-7)=AX4,30%,IF((총괄장!$P$6-4)=AX4,30%,(IF((총괄장!$P$6-2)=AX4,40%,0))))</f>
        <v>0</v>
      </c>
      <c r="AY41" s="802">
        <f>IF((총괄장!$P$6-7)=AY4,30%,IF((총괄장!$P$6-4)=AY4,30%,(IF((총괄장!$P$6-2)=AY4,40%,0))))</f>
        <v>0</v>
      </c>
      <c r="AZ41" s="802">
        <f>IF((총괄장!$P$6-7)=AZ4,30%,IF((총괄장!$P$6-4)=AZ4,30%,(IF((총괄장!$P$6-2)=AZ4,40%,0))))</f>
        <v>0</v>
      </c>
      <c r="BA41" s="802">
        <f>IF((총괄장!$P$6-7)=BA4,30%,IF((총괄장!$P$6-4)=BA4,30%,(IF((총괄장!$P$6-2)=BA4,40%,0))))</f>
        <v>0</v>
      </c>
      <c r="BB41" s="802">
        <f>IF((총괄장!$P$6-7)=BB4,30%,IF((총괄장!$P$6-4)=BB4,30%,(IF((총괄장!$P$6-2)=BB4,40%,0))))</f>
        <v>0</v>
      </c>
      <c r="BC41" s="802">
        <f>IF((총괄장!$P$6-7)=BC4,30%,IF((총괄장!$P$6-4)=BC4,30%,(IF((총괄장!$P$6-2)=BC4,40%,0))))</f>
        <v>0</v>
      </c>
      <c r="BD41" s="802">
        <f>IF((총괄장!$P$6-7)=BD4,30%,IF((총괄장!$P$6-4)=BD4,30%,(IF((총괄장!$P$6-2)=BD4,40%,0))))</f>
        <v>0</v>
      </c>
      <c r="BE41" s="802">
        <f>IF((총괄장!$P$6-7)=BE4,30%,IF((총괄장!$P$6-4)=BE4,30%,(IF((총괄장!$P$6-2)=BE4,40%,0))))</f>
        <v>0</v>
      </c>
      <c r="BF41" s="802">
        <f>IF((총괄장!$P$6-7)=BF4,30%,IF((총괄장!$P$6-4)=BF4,30%,(IF((총괄장!$P$6-2)=BF4,40%,0))))</f>
        <v>0</v>
      </c>
      <c r="BG41" s="802">
        <f>IF((총괄장!$P$6-7)=BG4,30%,IF((총괄장!$P$6-4)=BG4,30%,(IF((총괄장!$P$6-2)=BG4,40%,0))))</f>
        <v>0</v>
      </c>
      <c r="BH41" s="802">
        <f>IF((총괄장!$P$6-7)=BH4,30%,IF((총괄장!$P$6-4)=BH4,30%,(IF((총괄장!$P$6-2)=BH4,40%,0))))</f>
        <v>0</v>
      </c>
      <c r="BI41" s="802">
        <f>IF((총괄장!$P$6-7)=BI4,30%,IF((총괄장!$P$6-4)=BI4,30%,(IF((총괄장!$P$6-2)=BI4,40%,0))))</f>
        <v>0</v>
      </c>
      <c r="BJ41" s="802">
        <f>IF((총괄장!$P$6-7)=BJ4,30%,IF((총괄장!$P$6-4)=BJ4,30%,(IF((총괄장!$P$6-2)=BJ4,40%,0))))</f>
        <v>0</v>
      </c>
      <c r="BK41" s="802">
        <f>IF((총괄장!$P$6-7)=BK4,30%,IF((총괄장!$P$6-4)=BK4,30%,(IF((총괄장!$P$6-2)=BK4,40%,0))))</f>
        <v>0</v>
      </c>
      <c r="BL41" s="802">
        <f>IF((총괄장!$P$6-7)=BL4,30%,IF((총괄장!$P$6-4)=BL4,30%,(IF((총괄장!$P$6-2)=BL4,40%,0))))</f>
        <v>0</v>
      </c>
      <c r="BM41" s="802">
        <f>IF((총괄장!$P$6-7)=BM4,30%,IF((총괄장!$P$6-4)=BM4,30%,(IF((총괄장!$P$6-2)=BM4,40%,0))))</f>
        <v>0</v>
      </c>
      <c r="BN41" s="802">
        <f>IF((총괄장!$P$6-7)=BN4,30%,IF((총괄장!$P$6-4)=BN4,30%,(IF((총괄장!$P$6-2)=BN4,40%,0))))</f>
        <v>0</v>
      </c>
      <c r="BO41" s="802">
        <f>IF((총괄장!$P$6-7)=BO4,30%,IF((총괄장!$P$6-4)=BO4,30%,(IF((총괄장!$P$6-2)=BO4,40%,0))))</f>
        <v>0</v>
      </c>
      <c r="BP41" s="803">
        <f>IF((총괄장!$P$6-7)=BP4,30%,IF((총괄장!$P$6-4)=BP4,30%,(IF((총괄장!$P$6-2)=BP4,40%,0))))</f>
        <v>0</v>
      </c>
      <c r="BQ41" s="828">
        <f t="shared" ref="BQ41:BQ46" si="41">1-SUM(F41:BP41)</f>
        <v>0</v>
      </c>
      <c r="BR41" s="803">
        <f>IF((총괄장!$P$6-7)=BR4,30%,IF((총괄장!$P$6-4)=BR4,30%,(IF((총괄장!$P$6-2)=BR4,40%,0))))</f>
        <v>0</v>
      </c>
      <c r="BS41" s="803">
        <f>IF((총괄장!$P$6-7)=BS4,30%,IF((총괄장!$P$6-4)=BS4,30%,(IF((총괄장!$P$6-2)=BS4,40%,0))))</f>
        <v>0</v>
      </c>
      <c r="BT41" s="781"/>
      <c r="BU41" s="781"/>
      <c r="BV41" s="781"/>
      <c r="BW41" s="781"/>
      <c r="BX41" s="781"/>
      <c r="BY41" s="781"/>
      <c r="BZ41" s="781"/>
      <c r="CA41" s="781"/>
      <c r="CB41" s="781"/>
      <c r="CC41" s="781"/>
      <c r="CD41" s="781"/>
      <c r="CE41" s="781"/>
      <c r="CF41" s="781"/>
      <c r="CG41" s="781"/>
      <c r="CH41" s="781"/>
      <c r="CI41" s="781"/>
      <c r="CJ41" s="781"/>
      <c r="CK41" s="781"/>
      <c r="CL41" s="781"/>
      <c r="CM41" s="781"/>
      <c r="CN41" s="781"/>
      <c r="CO41" s="781"/>
      <c r="CP41" s="781"/>
      <c r="CQ41" s="781"/>
      <c r="CR41" s="781"/>
      <c r="CS41" s="781"/>
      <c r="CT41" s="781"/>
      <c r="CU41" s="781"/>
      <c r="CV41" s="781"/>
      <c r="CW41" s="781"/>
      <c r="CX41" s="781"/>
      <c r="CY41" s="781"/>
      <c r="CZ41" s="781"/>
      <c r="DA41" s="781"/>
      <c r="DB41" s="781"/>
      <c r="DC41" s="781"/>
      <c r="DD41" s="781"/>
      <c r="DE41" s="781"/>
      <c r="DF41" s="781"/>
      <c r="DG41" s="781"/>
      <c r="DH41" s="781"/>
      <c r="DI41" s="781"/>
      <c r="DJ41" s="781"/>
      <c r="DK41" s="781"/>
      <c r="DL41" s="781"/>
      <c r="DM41" s="781"/>
      <c r="DN41" s="781"/>
      <c r="DO41" s="781"/>
      <c r="DP41" s="781"/>
    </row>
    <row r="42" spans="1:120" s="817" customFormat="1" ht="12.9" customHeight="1">
      <c r="A42" s="816"/>
      <c r="B42" s="796" t="str">
        <f>'사업수지표 '!C30</f>
        <v>미술장식품설치</v>
      </c>
      <c r="C42" s="796"/>
      <c r="D42" s="814">
        <f t="shared" si="38"/>
        <v>0.6</v>
      </c>
      <c r="E42" s="815"/>
      <c r="F42" s="815"/>
      <c r="G42" s="815"/>
      <c r="H42" s="796"/>
      <c r="I42" s="815">
        <f>IF((총괄장!$P$6-6)=I4,30%,IF((총괄장!$P$6-3)=I4,30%,0))</f>
        <v>0</v>
      </c>
      <c r="J42" s="815">
        <f>IF((총괄장!$P$6-6)=J4,30%,IF((총괄장!$P$6-3)=J4,30%,0))</f>
        <v>0</v>
      </c>
      <c r="K42" s="815">
        <f>IF((총괄장!$P$6-6)=K4,30%,IF((총괄장!$P$6-3)=K4,30%,0))</f>
        <v>0</v>
      </c>
      <c r="L42" s="815">
        <f>IF((총괄장!$P$6-6)=L4,30%,IF((총괄장!$P$6-3)=L4,30%,0))</f>
        <v>0</v>
      </c>
      <c r="M42" s="815">
        <f>IF((총괄장!$P$6-6)=M4,30%,IF((총괄장!$P$6-3)=M4,30%,0))</f>
        <v>0</v>
      </c>
      <c r="N42" s="815">
        <f>IF((총괄장!$P$6-6)=N4,30%,IF((총괄장!$P$6-3)=N4,30%,0))</f>
        <v>0</v>
      </c>
      <c r="O42" s="815">
        <f>IF((총괄장!$P$6-6)=O4,30%,IF((총괄장!$P$6-3)=O4,30%,0))</f>
        <v>0</v>
      </c>
      <c r="P42" s="815">
        <f>IF((총괄장!$P$6-6)=P4,30%,IF((총괄장!$P$6-3)=P4,30%,0))</f>
        <v>0</v>
      </c>
      <c r="Q42" s="815">
        <f>IF((총괄장!$P$6-6)=Q4,30%,IF((총괄장!$P$6-3)=Q4,30%,0))</f>
        <v>0</v>
      </c>
      <c r="R42" s="815">
        <f>IF((총괄장!$P$6-6)=R4,30%,IF((총괄장!$P$6-3)=R4,30%,0))</f>
        <v>0</v>
      </c>
      <c r="S42" s="815">
        <f>IF((총괄장!$P$6-6)=S4,30%,IF((총괄장!$P$6-3)=S4,30%,0))</f>
        <v>0</v>
      </c>
      <c r="T42" s="815">
        <f>IF((총괄장!$P$6-6)=T4,30%,IF((총괄장!$P$6-3)=T4,30%,0))</f>
        <v>0</v>
      </c>
      <c r="U42" s="815">
        <f>IF((총괄장!$P$6-6)=U4,30%,IF((총괄장!$P$6-3)=U4,30%,0))</f>
        <v>0</v>
      </c>
      <c r="V42" s="815">
        <f>IF((총괄장!$P$6-6)=V4,30%,IF((총괄장!$P$6-3)=V4,30%,0))</f>
        <v>0</v>
      </c>
      <c r="W42" s="815">
        <f>IF((총괄장!$P$6-6)=W4,30%,IF((총괄장!$P$6-3)=W4,30%,0))</f>
        <v>0</v>
      </c>
      <c r="X42" s="815">
        <f>IF((총괄장!$P$6-6)=X4,30%,IF((총괄장!$P$6-3)=X4,30%,0))</f>
        <v>0</v>
      </c>
      <c r="Y42" s="815">
        <f>IF((총괄장!$P$6-6)=Y4,30%,IF((총괄장!$P$6-3)=Y4,30%,0))</f>
        <v>0</v>
      </c>
      <c r="Z42" s="815">
        <f>IF((총괄장!$P$6-6)=Z4,30%,IF((총괄장!$P$6-3)=Z4,30%,0))</f>
        <v>0</v>
      </c>
      <c r="AA42" s="815">
        <f>IF((총괄장!$P$6-6)=AA4,30%,IF((총괄장!$P$6-3)=AA4,30%,0))</f>
        <v>0</v>
      </c>
      <c r="AB42" s="815">
        <f>IF((총괄장!$P$6-6)=AB4,30%,IF((총괄장!$P$6-3)=AB4,30%,0))</f>
        <v>0</v>
      </c>
      <c r="AC42" s="815">
        <f>IF((총괄장!$P$6-6)=AC4,30%,IF((총괄장!$P$6-3)=AC4,30%,0))</f>
        <v>0</v>
      </c>
      <c r="AD42" s="815">
        <f>IF((총괄장!$P$6-6)=AD4,30%,IF((총괄장!$P$6-3)=AD4,30%,0))</f>
        <v>0</v>
      </c>
      <c r="AE42" s="815">
        <f>IF((총괄장!$P$6-6)=AE4,30%,IF((총괄장!$P$6-3)=AE4,30%,0))</f>
        <v>0</v>
      </c>
      <c r="AF42" s="815">
        <f>IF((총괄장!$P$6-6)=AF4,30%,IF((총괄장!$P$6-3)=AF4,30%,0))</f>
        <v>0.3</v>
      </c>
      <c r="AG42" s="815">
        <f>IF((총괄장!$P$6-6)=AG4,30%,IF((총괄장!$P$6-3)=AG4,30%,0))</f>
        <v>0</v>
      </c>
      <c r="AH42" s="815">
        <f>IF((총괄장!$P$6-6)=AH4,30%,IF((총괄장!$P$6-3)=AH4,30%,0))</f>
        <v>0</v>
      </c>
      <c r="AI42" s="815">
        <f>IF((총괄장!$P$6-6)=AI4,30%,IF((총괄장!$P$6-3)=AI4,30%,0))</f>
        <v>0.3</v>
      </c>
      <c r="AJ42" s="815">
        <f>IF((총괄장!$P$6-6)=AJ4,30%,IF((총괄장!$P$6-3)=AJ4,30%,0))</f>
        <v>0</v>
      </c>
      <c r="AK42" s="815">
        <f>IF((총괄장!$P$6-6)=AK4,30%,IF((총괄장!$P$6-3)=AK4,30%,0))</f>
        <v>0</v>
      </c>
      <c r="AL42" s="815">
        <f>IF((총괄장!$P$6-6)=AL4,30%,IF((총괄장!$P$6-3)=AL4,30%,0))</f>
        <v>0</v>
      </c>
      <c r="AM42" s="815">
        <f>IF((총괄장!$P$6-6)=AM4,30%,IF((총괄장!$P$6-3)=AM4,30%,0))</f>
        <v>0</v>
      </c>
      <c r="AN42" s="815">
        <f>IF((총괄장!$P$6-6)=AN4,30%,IF((총괄장!$P$6-3)=AN4,30%,0))</f>
        <v>0</v>
      </c>
      <c r="AO42" s="815">
        <f>IF((총괄장!$P$6-6)=AO4,30%,IF((총괄장!$P$6-3)=AO4,30%,0))</f>
        <v>0</v>
      </c>
      <c r="AP42" s="815">
        <f>IF((총괄장!$P$6-6)=AP4,30%,IF((총괄장!$P$6-3)=AP4,30%,0))</f>
        <v>0</v>
      </c>
      <c r="AQ42" s="815">
        <f>IF((총괄장!$P$6-6)=AQ4,30%,IF((총괄장!$P$6-3)=AQ4,30%,0))</f>
        <v>0</v>
      </c>
      <c r="AR42" s="815">
        <f>IF((총괄장!$P$6-6)=AR4,30%,IF((총괄장!$P$6-3)=AR4,30%,0))</f>
        <v>0</v>
      </c>
      <c r="AS42" s="815">
        <f>IF((총괄장!$P$6-6)=AS4,30%,IF((총괄장!$P$6-3)=AS4,30%,0))</f>
        <v>0</v>
      </c>
      <c r="AT42" s="815">
        <f>IF((총괄장!$P$6-6)=AT4,30%,IF((총괄장!$P$6-3)=AT4,30%,0))</f>
        <v>0</v>
      </c>
      <c r="AU42" s="815">
        <f>IF((총괄장!$P$6-6)=AU4,30%,IF((총괄장!$P$6-3)=AU4,30%,0))</f>
        <v>0</v>
      </c>
      <c r="AV42" s="815">
        <f>IF((총괄장!$P$6-6)=AV4,30%,IF((총괄장!$P$6-3)=AV4,30%,0))</f>
        <v>0</v>
      </c>
      <c r="AW42" s="815">
        <f>IF((총괄장!$P$6-6)=AW4,30%,IF((총괄장!$P$6-3)=AW4,30%,0))</f>
        <v>0</v>
      </c>
      <c r="AX42" s="815">
        <f>IF((총괄장!$P$6-6)=AX4,30%,IF((총괄장!$P$6-3)=AX4,30%,0))</f>
        <v>0</v>
      </c>
      <c r="AY42" s="815">
        <f>IF((총괄장!$P$6-6)=AY4,30%,IF((총괄장!$P$6-3)=AY4,30%,0))</f>
        <v>0</v>
      </c>
      <c r="AZ42" s="815">
        <f>IF((총괄장!$P$6-6)=AZ4,30%,IF((총괄장!$P$6-3)=AZ4,30%,0))</f>
        <v>0</v>
      </c>
      <c r="BA42" s="815">
        <f>IF((총괄장!$P$6-6)=BA4,30%,IF((총괄장!$P$6-3)=BA4,30%,0))</f>
        <v>0</v>
      </c>
      <c r="BB42" s="815">
        <f>IF((총괄장!$P$6-6)=BB4,30%,IF((총괄장!$P$6-3)=BB4,30%,0))</f>
        <v>0</v>
      </c>
      <c r="BC42" s="815">
        <f>IF((총괄장!$P$6-6)=BC4,30%,IF((총괄장!$P$6-3)=BC4,30%,0))</f>
        <v>0</v>
      </c>
      <c r="BD42" s="815">
        <f>IF((총괄장!$P$6-6)=BD4,30%,IF((총괄장!$P$6-3)=BD4,30%,0))</f>
        <v>0</v>
      </c>
      <c r="BE42" s="815">
        <f>IF((총괄장!$P$6-6)=BE4,30%,IF((총괄장!$P$6-3)=BE4,30%,0))</f>
        <v>0</v>
      </c>
      <c r="BF42" s="815">
        <f>IF((총괄장!$P$6-6)=BF4,30%,IF((총괄장!$P$6-3)=BF4,30%,0))</f>
        <v>0</v>
      </c>
      <c r="BG42" s="815">
        <f>IF((총괄장!$P$6-6)=BG4,30%,IF((총괄장!$P$6-3)=BG4,30%,0))</f>
        <v>0</v>
      </c>
      <c r="BH42" s="815">
        <f>IF((총괄장!$P$6-6)=BH4,30%,IF((총괄장!$P$6-3)=BH4,30%,0))</f>
        <v>0</v>
      </c>
      <c r="BI42" s="815">
        <f>IF((총괄장!$P$6-6)=BI4,30%,IF((총괄장!$P$6-3)=BI4,30%,0))</f>
        <v>0</v>
      </c>
      <c r="BJ42" s="815">
        <f>IF((총괄장!$P$6-6)=BJ4,30%,IF((총괄장!$P$6-3)=BJ4,30%,0))</f>
        <v>0</v>
      </c>
      <c r="BK42" s="815">
        <f>IF((총괄장!$P$6-6)=BK4,30%,IF((총괄장!$P$6-3)=BK4,30%,0))</f>
        <v>0</v>
      </c>
      <c r="BL42" s="815">
        <f>IF((총괄장!$P$6-6)=BL4,30%,IF((총괄장!$P$6-3)=BL4,30%,0))</f>
        <v>0</v>
      </c>
      <c r="BM42" s="815">
        <f>IF((총괄장!$P$6-6)=BM4,30%,IF((총괄장!$P$6-3)=BM4,30%,0))</f>
        <v>0</v>
      </c>
      <c r="BN42" s="815">
        <f>IF((총괄장!$P$6-6)=BN4,30%,IF((총괄장!$P$6-3)=BN4,30%,0))</f>
        <v>0</v>
      </c>
      <c r="BO42" s="815">
        <f>IF((총괄장!$P$6-6)=BO4,30%,IF((총괄장!$P$6-3)=BO4,30%,0))</f>
        <v>0</v>
      </c>
      <c r="BP42" s="815">
        <f>IF((총괄장!$P$6-6)=BP4,30%,IF((총괄장!$P$6-3)=BP4,30%,0))</f>
        <v>0</v>
      </c>
      <c r="BQ42" s="828">
        <f t="shared" si="41"/>
        <v>0.4</v>
      </c>
      <c r="BR42" s="815">
        <v>0</v>
      </c>
      <c r="BS42" s="815">
        <v>0</v>
      </c>
      <c r="BT42" s="781"/>
      <c r="BU42" s="781"/>
      <c r="BV42" s="781"/>
      <c r="BW42" s="781"/>
      <c r="BX42" s="781"/>
      <c r="BY42" s="781"/>
      <c r="BZ42" s="781"/>
      <c r="CA42" s="781"/>
      <c r="CB42" s="781"/>
      <c r="CC42" s="781"/>
      <c r="CD42" s="781"/>
      <c r="CE42" s="781"/>
      <c r="CF42" s="781"/>
      <c r="CG42" s="781"/>
      <c r="CH42" s="781"/>
      <c r="CI42" s="781"/>
      <c r="CJ42" s="781"/>
      <c r="CK42" s="781"/>
      <c r="CL42" s="781"/>
      <c r="CM42" s="781"/>
      <c r="CN42" s="781"/>
      <c r="CO42" s="781"/>
      <c r="CP42" s="781"/>
      <c r="CQ42" s="781"/>
      <c r="CR42" s="781"/>
      <c r="CS42" s="781"/>
      <c r="CT42" s="781"/>
      <c r="CU42" s="781"/>
      <c r="CV42" s="781"/>
      <c r="CW42" s="781"/>
      <c r="CX42" s="781"/>
      <c r="CY42" s="781"/>
      <c r="CZ42" s="781"/>
      <c r="DA42" s="781"/>
      <c r="DB42" s="781"/>
      <c r="DC42" s="781"/>
      <c r="DD42" s="781"/>
      <c r="DE42" s="781"/>
      <c r="DF42" s="781"/>
      <c r="DG42" s="781"/>
      <c r="DH42" s="781"/>
      <c r="DI42" s="781"/>
      <c r="DJ42" s="781"/>
      <c r="DK42" s="781"/>
      <c r="DL42" s="781"/>
      <c r="DM42" s="781"/>
      <c r="DN42" s="781"/>
      <c r="DO42" s="781"/>
      <c r="DP42" s="781"/>
    </row>
    <row r="43" spans="1:120" s="817" customFormat="1" ht="12.9" customHeight="1">
      <c r="A43" s="816"/>
      <c r="B43" s="817" t="str">
        <f>'사업수지표 '!C31</f>
        <v>허가조건부이행공사비</v>
      </c>
      <c r="C43" s="817" t="s">
        <v>1209</v>
      </c>
      <c r="D43" s="818">
        <f t="shared" si="38"/>
        <v>1</v>
      </c>
      <c r="E43" s="802"/>
      <c r="F43" s="802"/>
      <c r="G43" s="802"/>
      <c r="I43" s="802">
        <f>IF(I4=(총괄장!$P$6-3),100%,)</f>
        <v>0</v>
      </c>
      <c r="J43" s="802">
        <f>IF(J4=(총괄장!$P$6-3),100%,)</f>
        <v>0</v>
      </c>
      <c r="K43" s="802">
        <f>IF(K4=(총괄장!$P$6-3),100%,)</f>
        <v>0</v>
      </c>
      <c r="L43" s="802">
        <f>IF(L4=(총괄장!$P$6-3),100%,)</f>
        <v>0</v>
      </c>
      <c r="M43" s="802">
        <f>IF(M4=(총괄장!$P$6-3),100%,)</f>
        <v>0</v>
      </c>
      <c r="N43" s="802">
        <f>IF(N4=(총괄장!$P$6-3),100%,)</f>
        <v>0</v>
      </c>
      <c r="O43" s="802">
        <f>IF(O4=(총괄장!$P$6-3),100%,)</f>
        <v>0</v>
      </c>
      <c r="P43" s="802">
        <f>IF(P4=(총괄장!$P$6-3),100%,)</f>
        <v>0</v>
      </c>
      <c r="Q43" s="802">
        <f>IF(Q4=(총괄장!$P$6-3),100%,)</f>
        <v>0</v>
      </c>
      <c r="R43" s="802">
        <f>IF(R4=(총괄장!$P$6-3),100%,)</f>
        <v>0</v>
      </c>
      <c r="S43" s="802">
        <f>IF(S4=(총괄장!$P$6-3),100%,)</f>
        <v>0</v>
      </c>
      <c r="T43" s="802">
        <f>IF(T4=(총괄장!$P$6-3),100%,)</f>
        <v>0</v>
      </c>
      <c r="U43" s="802">
        <f>IF(U4=(총괄장!$P$6-3),100%,)</f>
        <v>0</v>
      </c>
      <c r="V43" s="802">
        <f>IF(V4=(총괄장!$P$6-3),100%,)</f>
        <v>0</v>
      </c>
      <c r="W43" s="802">
        <f>IF(W4=(총괄장!$P$6-3),100%,)</f>
        <v>0</v>
      </c>
      <c r="X43" s="802">
        <f>IF(X4=(총괄장!$P$6-3),100%,)</f>
        <v>0</v>
      </c>
      <c r="Y43" s="802">
        <f>IF(Y4=(총괄장!$P$6-3),100%,)</f>
        <v>0</v>
      </c>
      <c r="Z43" s="802">
        <f>IF(Z4=(총괄장!$P$6-3),100%,)</f>
        <v>0</v>
      </c>
      <c r="AA43" s="802">
        <f>IF(AA4=(총괄장!$P$6-3),100%,)</f>
        <v>0</v>
      </c>
      <c r="AB43" s="802">
        <f>IF(AB4=(총괄장!$P$6-3),100%,)</f>
        <v>0</v>
      </c>
      <c r="AC43" s="802">
        <f>IF(AC4=(총괄장!$P$6-3),50%,)</f>
        <v>0</v>
      </c>
      <c r="AD43" s="802">
        <f>IF(AD4=(총괄장!$P$6-3),100%,)</f>
        <v>0</v>
      </c>
      <c r="AE43" s="802">
        <f>IF(AE4=(총괄장!$P$6-3),100%,)</f>
        <v>0</v>
      </c>
      <c r="AF43" s="802">
        <f>IF(AF4=(총괄장!$P$6-3),100%,)</f>
        <v>0</v>
      </c>
      <c r="AG43" s="802">
        <f>IF(AG4=(총괄장!$P$6-3),100%,)</f>
        <v>0</v>
      </c>
      <c r="AH43" s="802">
        <f>IF(AH4=(총괄장!$P$6-3),100%,)</f>
        <v>0</v>
      </c>
      <c r="AI43" s="802">
        <f>IF(AI4=(총괄장!$P$6-3),100%,)</f>
        <v>1</v>
      </c>
      <c r="AJ43" s="802">
        <f>IF(AJ4=(총괄장!$P$6-3),100%,)</f>
        <v>0</v>
      </c>
      <c r="AK43" s="802">
        <f>IF(AK4=(총괄장!$P$6-3),100%,)</f>
        <v>0</v>
      </c>
      <c r="AL43" s="802">
        <f>IF(AL4=(총괄장!$P$6-3),100%,)</f>
        <v>0</v>
      </c>
      <c r="AM43" s="802">
        <f>IF(AM4=(총괄장!$P$6-3),100%,)</f>
        <v>0</v>
      </c>
      <c r="AN43" s="802">
        <f>IF(AN4=(총괄장!$P$6-3),100%,)</f>
        <v>0</v>
      </c>
      <c r="AO43" s="802">
        <f>IF(AO4=(총괄장!$P$6-3),100%,)</f>
        <v>0</v>
      </c>
      <c r="AP43" s="802">
        <f>IF(AP4=(총괄장!$P$6-3),100%,)</f>
        <v>0</v>
      </c>
      <c r="AQ43" s="802">
        <f>IF(AQ4=(총괄장!$P$6-3),100%,)</f>
        <v>0</v>
      </c>
      <c r="AR43" s="802">
        <f>IF(AR4=(총괄장!$P$6-3),100%,)</f>
        <v>0</v>
      </c>
      <c r="AS43" s="802">
        <f>IF(AS4=(총괄장!$P$6-3),100%,)</f>
        <v>0</v>
      </c>
      <c r="AT43" s="802">
        <f>IF(AT4=(총괄장!$P$6-3),100%,)</f>
        <v>0</v>
      </c>
      <c r="AU43" s="802">
        <f>IF(AU4=(총괄장!$P$6-3),100%,)</f>
        <v>0</v>
      </c>
      <c r="AV43" s="802">
        <f>IF(AV4=(총괄장!$P$6-3),100%,)</f>
        <v>0</v>
      </c>
      <c r="AW43" s="802">
        <f>IF(AW4=(총괄장!$P$6-3),100%,)</f>
        <v>0</v>
      </c>
      <c r="AX43" s="802">
        <f>IF(AX4=(총괄장!$P$6-3),100%,)</f>
        <v>0</v>
      </c>
      <c r="AY43" s="802">
        <f>IF(AY4=(총괄장!$P$6-3),100%,)</f>
        <v>0</v>
      </c>
      <c r="AZ43" s="802">
        <f>IF(AZ4=(총괄장!$P$6-3),100%,)</f>
        <v>0</v>
      </c>
      <c r="BA43" s="802">
        <f>IF(BA4=(총괄장!$P$6-3),100%,)</f>
        <v>0</v>
      </c>
      <c r="BB43" s="802">
        <f>IF(BB4=(총괄장!$P$6-3),100%,)</f>
        <v>0</v>
      </c>
      <c r="BC43" s="802">
        <f>IF(BC4=(총괄장!$P$6-3),100%,)</f>
        <v>0</v>
      </c>
      <c r="BD43" s="802">
        <f>IF(BD4=(총괄장!$P$6-3),100%,)</f>
        <v>0</v>
      </c>
      <c r="BE43" s="802">
        <f>IF(BE4=(총괄장!$P$6-3),100%,)</f>
        <v>0</v>
      </c>
      <c r="BF43" s="802">
        <f>IF(BF4=(총괄장!$P$6-3),100%,)</f>
        <v>0</v>
      </c>
      <c r="BG43" s="802">
        <f>IF(BG4=(총괄장!$P$6-3),100%,)</f>
        <v>0</v>
      </c>
      <c r="BH43" s="802">
        <f>IF(BH4=(총괄장!$P$6-3),100%,)</f>
        <v>0</v>
      </c>
      <c r="BI43" s="802">
        <f>IF(BI4=(총괄장!$P$6-3),100%,)</f>
        <v>0</v>
      </c>
      <c r="BJ43" s="802">
        <f>IF(BJ4=(총괄장!$P$6-3),100%,)</f>
        <v>0</v>
      </c>
      <c r="BK43" s="802">
        <f>IF(BK4=(총괄장!$P$6-3),100%,)</f>
        <v>0</v>
      </c>
      <c r="BL43" s="802">
        <f>IF(BL4=(총괄장!$P$6-3),100%,)</f>
        <v>0</v>
      </c>
      <c r="BM43" s="802">
        <f>IF(BM4=(총괄장!$P$6-3),100%,)</f>
        <v>0</v>
      </c>
      <c r="BN43" s="802">
        <f>IF(BN4=(총괄장!$P$6-3),100%,)</f>
        <v>0</v>
      </c>
      <c r="BO43" s="802">
        <f>IF(BO4=(총괄장!$P$6-3),100%,)</f>
        <v>0</v>
      </c>
      <c r="BP43" s="803">
        <f>IF(BP4=(총괄장!$P$6-3),100%,)</f>
        <v>0</v>
      </c>
      <c r="BQ43" s="828">
        <f t="shared" si="41"/>
        <v>0</v>
      </c>
      <c r="BR43" s="802"/>
      <c r="BS43" s="802"/>
      <c r="BT43" s="781"/>
      <c r="BU43" s="781"/>
      <c r="BV43" s="781"/>
      <c r="BW43" s="781"/>
      <c r="BX43" s="781"/>
      <c r="BY43" s="781"/>
      <c r="BZ43" s="781"/>
      <c r="CA43" s="781"/>
      <c r="CB43" s="781"/>
      <c r="CC43" s="781"/>
      <c r="CD43" s="781"/>
      <c r="CE43" s="781"/>
      <c r="CF43" s="781"/>
      <c r="CG43" s="781"/>
      <c r="CH43" s="781"/>
      <c r="CI43" s="781"/>
      <c r="CJ43" s="781"/>
      <c r="CK43" s="781"/>
      <c r="CL43" s="781"/>
      <c r="CM43" s="781"/>
      <c r="CN43" s="781"/>
      <c r="CO43" s="781"/>
      <c r="CP43" s="781"/>
      <c r="CQ43" s="781"/>
      <c r="CR43" s="781"/>
      <c r="CS43" s="781"/>
      <c r="CT43" s="781"/>
      <c r="CU43" s="781"/>
      <c r="CV43" s="781"/>
      <c r="CW43" s="781"/>
      <c r="CX43" s="781"/>
      <c r="CY43" s="781"/>
      <c r="CZ43" s="781"/>
      <c r="DA43" s="781"/>
      <c r="DB43" s="781"/>
      <c r="DC43" s="781"/>
      <c r="DD43" s="781"/>
      <c r="DE43" s="781"/>
      <c r="DF43" s="781"/>
      <c r="DG43" s="781"/>
      <c r="DH43" s="781"/>
      <c r="DI43" s="781"/>
      <c r="DJ43" s="781"/>
      <c r="DK43" s="781"/>
      <c r="DL43" s="781"/>
      <c r="DM43" s="781"/>
      <c r="DN43" s="781"/>
      <c r="DO43" s="781"/>
      <c r="DP43" s="781"/>
    </row>
    <row r="44" spans="1:120" s="817" customFormat="1" ht="12.9" customHeight="1">
      <c r="A44" s="816"/>
      <c r="B44" s="817" t="str">
        <f>'사업수지표 '!C32</f>
        <v>기타</v>
      </c>
      <c r="D44" s="818">
        <f t="shared" si="38"/>
        <v>1</v>
      </c>
      <c r="E44" s="802"/>
      <c r="F44" s="802"/>
      <c r="G44" s="802"/>
      <c r="I44" s="802">
        <f t="shared" ref="I44:AZ44" si="42">IF(I5="착공",50%,IF(I5="준공",50%,))</f>
        <v>0.5</v>
      </c>
      <c r="J44" s="802">
        <f t="shared" si="42"/>
        <v>0</v>
      </c>
      <c r="K44" s="802">
        <f t="shared" si="42"/>
        <v>0</v>
      </c>
      <c r="L44" s="802">
        <f t="shared" si="42"/>
        <v>0</v>
      </c>
      <c r="M44" s="802">
        <f t="shared" si="42"/>
        <v>0</v>
      </c>
      <c r="N44" s="802">
        <f t="shared" si="42"/>
        <v>0</v>
      </c>
      <c r="O44" s="802">
        <f t="shared" si="42"/>
        <v>0</v>
      </c>
      <c r="P44" s="802">
        <f t="shared" si="42"/>
        <v>0</v>
      </c>
      <c r="Q44" s="802">
        <f t="shared" si="42"/>
        <v>0</v>
      </c>
      <c r="R44" s="802">
        <f t="shared" si="42"/>
        <v>0</v>
      </c>
      <c r="S44" s="802">
        <f t="shared" si="42"/>
        <v>0</v>
      </c>
      <c r="T44" s="802">
        <f t="shared" si="42"/>
        <v>0</v>
      </c>
      <c r="U44" s="802">
        <f t="shared" si="42"/>
        <v>0</v>
      </c>
      <c r="V44" s="802">
        <f t="shared" si="42"/>
        <v>0</v>
      </c>
      <c r="W44" s="802">
        <f t="shared" si="42"/>
        <v>0</v>
      </c>
      <c r="X44" s="802">
        <f t="shared" si="42"/>
        <v>0</v>
      </c>
      <c r="Y44" s="802">
        <f t="shared" si="42"/>
        <v>0</v>
      </c>
      <c r="Z44" s="802">
        <f t="shared" si="42"/>
        <v>0</v>
      </c>
      <c r="AA44" s="802">
        <f t="shared" si="42"/>
        <v>0</v>
      </c>
      <c r="AB44" s="802">
        <f t="shared" si="42"/>
        <v>0</v>
      </c>
      <c r="AC44" s="802">
        <f t="shared" si="42"/>
        <v>0</v>
      </c>
      <c r="AD44" s="802">
        <f t="shared" si="42"/>
        <v>0</v>
      </c>
      <c r="AE44" s="802">
        <f t="shared" si="42"/>
        <v>0</v>
      </c>
      <c r="AF44" s="802">
        <f>IF(AF5="착공",50%,IF(AF5="준공",30%,))</f>
        <v>0</v>
      </c>
      <c r="AG44" s="802">
        <f t="shared" si="42"/>
        <v>0</v>
      </c>
      <c r="AH44" s="802">
        <f t="shared" si="42"/>
        <v>0</v>
      </c>
      <c r="AI44" s="802">
        <f t="shared" si="42"/>
        <v>0</v>
      </c>
      <c r="AJ44" s="802">
        <v>0</v>
      </c>
      <c r="AK44" s="802">
        <f t="shared" si="42"/>
        <v>0</v>
      </c>
      <c r="AL44" s="802">
        <f t="shared" si="42"/>
        <v>0.5</v>
      </c>
      <c r="AM44" s="802">
        <f t="shared" si="42"/>
        <v>0</v>
      </c>
      <c r="AN44" s="802">
        <f t="shared" si="42"/>
        <v>0</v>
      </c>
      <c r="AO44" s="802">
        <f t="shared" si="42"/>
        <v>0</v>
      </c>
      <c r="AP44" s="802">
        <f t="shared" si="42"/>
        <v>0</v>
      </c>
      <c r="AQ44" s="802">
        <f t="shared" si="42"/>
        <v>0</v>
      </c>
      <c r="AR44" s="802">
        <f t="shared" si="42"/>
        <v>0</v>
      </c>
      <c r="AS44" s="802">
        <f t="shared" si="42"/>
        <v>0</v>
      </c>
      <c r="AT44" s="802">
        <f t="shared" si="42"/>
        <v>0</v>
      </c>
      <c r="AU44" s="802">
        <f t="shared" si="42"/>
        <v>0</v>
      </c>
      <c r="AV44" s="802">
        <f t="shared" si="42"/>
        <v>0</v>
      </c>
      <c r="AW44" s="802">
        <f t="shared" si="42"/>
        <v>0</v>
      </c>
      <c r="AX44" s="802">
        <f t="shared" si="42"/>
        <v>0</v>
      </c>
      <c r="AY44" s="802">
        <f t="shared" si="42"/>
        <v>0</v>
      </c>
      <c r="AZ44" s="802">
        <f t="shared" si="42"/>
        <v>0</v>
      </c>
      <c r="BA44" s="802">
        <f t="shared" ref="BA44:BP44" si="43">IF(BA5="착공",50%,IF(BA5="준공",50%,))</f>
        <v>0</v>
      </c>
      <c r="BB44" s="802">
        <f t="shared" si="43"/>
        <v>0</v>
      </c>
      <c r="BC44" s="802">
        <f t="shared" si="43"/>
        <v>0</v>
      </c>
      <c r="BD44" s="802">
        <f t="shared" si="43"/>
        <v>0</v>
      </c>
      <c r="BE44" s="802">
        <f t="shared" si="43"/>
        <v>0</v>
      </c>
      <c r="BF44" s="802">
        <f t="shared" si="43"/>
        <v>0</v>
      </c>
      <c r="BG44" s="802">
        <f t="shared" si="43"/>
        <v>0</v>
      </c>
      <c r="BH44" s="802">
        <f t="shared" si="43"/>
        <v>0</v>
      </c>
      <c r="BI44" s="802">
        <f t="shared" si="43"/>
        <v>0</v>
      </c>
      <c r="BJ44" s="802">
        <f t="shared" si="43"/>
        <v>0</v>
      </c>
      <c r="BK44" s="802">
        <f t="shared" si="43"/>
        <v>0</v>
      </c>
      <c r="BL44" s="802">
        <f t="shared" si="43"/>
        <v>0</v>
      </c>
      <c r="BM44" s="802">
        <f t="shared" si="43"/>
        <v>0</v>
      </c>
      <c r="BN44" s="802">
        <f t="shared" si="43"/>
        <v>0</v>
      </c>
      <c r="BO44" s="802">
        <f t="shared" si="43"/>
        <v>0</v>
      </c>
      <c r="BP44" s="803">
        <f t="shared" si="43"/>
        <v>0</v>
      </c>
      <c r="BQ44" s="828">
        <f t="shared" si="41"/>
        <v>0</v>
      </c>
      <c r="BR44" s="802"/>
      <c r="BS44" s="802"/>
      <c r="BT44" s="781"/>
      <c r="BU44" s="781"/>
      <c r="BV44" s="781"/>
      <c r="BW44" s="781"/>
      <c r="BX44" s="781"/>
      <c r="BY44" s="781"/>
      <c r="BZ44" s="781"/>
      <c r="CA44" s="781"/>
      <c r="CB44" s="781"/>
      <c r="CC44" s="781"/>
      <c r="CD44" s="781"/>
      <c r="CE44" s="781"/>
      <c r="CF44" s="781"/>
      <c r="CG44" s="781"/>
      <c r="CH44" s="781"/>
      <c r="CI44" s="781"/>
      <c r="CJ44" s="781"/>
      <c r="CK44" s="781"/>
      <c r="CL44" s="781"/>
      <c r="CM44" s="781"/>
      <c r="CN44" s="781"/>
      <c r="CO44" s="781"/>
      <c r="CP44" s="781"/>
      <c r="CQ44" s="781"/>
      <c r="CR44" s="781"/>
      <c r="CS44" s="781"/>
      <c r="CT44" s="781"/>
      <c r="CU44" s="781"/>
      <c r="CV44" s="781"/>
      <c r="CW44" s="781"/>
      <c r="CX44" s="781"/>
      <c r="CY44" s="781"/>
      <c r="CZ44" s="781"/>
      <c r="DA44" s="781"/>
      <c r="DB44" s="781"/>
      <c r="DC44" s="781"/>
      <c r="DD44" s="781"/>
      <c r="DE44" s="781"/>
      <c r="DF44" s="781"/>
      <c r="DG44" s="781"/>
      <c r="DH44" s="781"/>
      <c r="DI44" s="781"/>
      <c r="DJ44" s="781"/>
      <c r="DK44" s="781"/>
      <c r="DL44" s="781"/>
      <c r="DM44" s="781"/>
      <c r="DN44" s="781"/>
      <c r="DO44" s="781"/>
      <c r="DP44" s="781"/>
    </row>
    <row r="45" spans="1:120" s="809" customFormat="1" ht="12.9" customHeight="1">
      <c r="A45" s="820"/>
      <c r="B45" s="809" t="str">
        <f>'사업수지표 '!C33</f>
        <v>소계</v>
      </c>
      <c r="D45" s="821">
        <f t="shared" si="38"/>
        <v>0</v>
      </c>
      <c r="E45" s="822"/>
      <c r="F45" s="822"/>
      <c r="G45" s="822"/>
      <c r="I45" s="822"/>
      <c r="J45" s="822"/>
      <c r="K45" s="822"/>
      <c r="L45" s="822"/>
      <c r="M45" s="822"/>
      <c r="N45" s="822"/>
      <c r="O45" s="822"/>
      <c r="P45" s="822"/>
      <c r="Q45" s="822"/>
      <c r="R45" s="822"/>
      <c r="S45" s="822"/>
      <c r="T45" s="822"/>
      <c r="U45" s="822"/>
      <c r="V45" s="822"/>
      <c r="W45" s="822"/>
      <c r="X45" s="822"/>
      <c r="Y45" s="822"/>
      <c r="Z45" s="822"/>
      <c r="AA45" s="822"/>
      <c r="AB45" s="822"/>
      <c r="AC45" s="822"/>
      <c r="AD45" s="822"/>
      <c r="AE45" s="822"/>
      <c r="AF45" s="822"/>
      <c r="AG45" s="822"/>
      <c r="AH45" s="822"/>
      <c r="AI45" s="822"/>
      <c r="AJ45" s="822"/>
      <c r="AK45" s="822"/>
      <c r="AL45" s="822"/>
      <c r="AM45" s="822"/>
      <c r="AN45" s="822"/>
      <c r="AO45" s="822"/>
      <c r="AP45" s="822"/>
      <c r="AQ45" s="822"/>
      <c r="AR45" s="822"/>
      <c r="AS45" s="822"/>
      <c r="AT45" s="822"/>
      <c r="AU45" s="822"/>
      <c r="AV45" s="822"/>
      <c r="AW45" s="822"/>
      <c r="AX45" s="822"/>
      <c r="AY45" s="822"/>
      <c r="AZ45" s="822"/>
      <c r="BA45" s="822"/>
      <c r="BB45" s="822"/>
      <c r="BC45" s="822"/>
      <c r="BD45" s="822"/>
      <c r="BE45" s="822"/>
      <c r="BF45" s="822"/>
      <c r="BG45" s="822"/>
      <c r="BH45" s="822"/>
      <c r="BI45" s="822"/>
      <c r="BJ45" s="822"/>
      <c r="BK45" s="822"/>
      <c r="BL45" s="822"/>
      <c r="BM45" s="822"/>
      <c r="BN45" s="822"/>
      <c r="BO45" s="822"/>
      <c r="BP45" s="823"/>
      <c r="BQ45" s="828"/>
      <c r="BR45" s="822"/>
      <c r="BS45" s="822"/>
      <c r="BT45" s="781"/>
      <c r="BU45" s="781"/>
      <c r="BV45" s="781"/>
      <c r="BW45" s="781"/>
      <c r="BX45" s="781"/>
      <c r="BY45" s="781"/>
      <c r="BZ45" s="781"/>
      <c r="CA45" s="781"/>
      <c r="CB45" s="781"/>
      <c r="CC45" s="781"/>
      <c r="CD45" s="781"/>
      <c r="CE45" s="781"/>
      <c r="CF45" s="781"/>
      <c r="CG45" s="781"/>
      <c r="CH45" s="781"/>
      <c r="CI45" s="781"/>
      <c r="CJ45" s="781"/>
      <c r="CK45" s="781"/>
      <c r="CL45" s="781"/>
      <c r="CM45" s="781"/>
      <c r="CN45" s="781"/>
      <c r="CO45" s="781"/>
      <c r="CP45" s="781"/>
      <c r="CQ45" s="781"/>
      <c r="CR45" s="781"/>
      <c r="CS45" s="781"/>
      <c r="CT45" s="781"/>
      <c r="CU45" s="781"/>
      <c r="CV45" s="781"/>
      <c r="CW45" s="781"/>
      <c r="CX45" s="781"/>
      <c r="CY45" s="781"/>
      <c r="CZ45" s="781"/>
      <c r="DA45" s="781"/>
      <c r="DB45" s="781"/>
      <c r="DC45" s="781"/>
      <c r="DD45" s="781"/>
      <c r="DE45" s="781"/>
      <c r="DF45" s="781"/>
      <c r="DG45" s="781"/>
      <c r="DH45" s="781"/>
      <c r="DI45" s="781"/>
      <c r="DJ45" s="781"/>
      <c r="DK45" s="781"/>
      <c r="DL45" s="781"/>
      <c r="DM45" s="781"/>
      <c r="DN45" s="781"/>
      <c r="DO45" s="781"/>
      <c r="DP45" s="781"/>
    </row>
    <row r="46" spans="1:120" s="817" customFormat="1" ht="12.9" customHeight="1">
      <c r="A46" s="816"/>
      <c r="B46" s="817" t="str">
        <f>'사업수지표 '!C34</f>
        <v>설계비</v>
      </c>
      <c r="D46" s="824">
        <f t="shared" si="38"/>
        <v>0.9</v>
      </c>
      <c r="E46" s="801"/>
      <c r="F46" s="801">
        <f t="shared" ref="F46" si="44">IF(F5="PF기표",40%,IF(F4=2,50%,0))</f>
        <v>0.4</v>
      </c>
      <c r="G46" s="801">
        <f>IF(G5="PF기표",40%,IF(G4=2,50%,0))</f>
        <v>0</v>
      </c>
      <c r="H46" s="801">
        <f t="shared" ref="H46:BP46" si="45">IF(H5="PF기표",40%,IF(H4=2,50%,0))</f>
        <v>0</v>
      </c>
      <c r="I46" s="801">
        <f t="shared" si="45"/>
        <v>0</v>
      </c>
      <c r="J46" s="801">
        <f t="shared" si="45"/>
        <v>0.5</v>
      </c>
      <c r="K46" s="801">
        <f t="shared" si="45"/>
        <v>0</v>
      </c>
      <c r="L46" s="801">
        <f t="shared" si="45"/>
        <v>0</v>
      </c>
      <c r="M46" s="801">
        <f t="shared" si="45"/>
        <v>0</v>
      </c>
      <c r="N46" s="801">
        <f t="shared" si="45"/>
        <v>0</v>
      </c>
      <c r="O46" s="801">
        <f t="shared" si="45"/>
        <v>0</v>
      </c>
      <c r="P46" s="801">
        <f t="shared" si="45"/>
        <v>0</v>
      </c>
      <c r="Q46" s="801">
        <f t="shared" si="45"/>
        <v>0</v>
      </c>
      <c r="R46" s="801">
        <f t="shared" si="45"/>
        <v>0</v>
      </c>
      <c r="S46" s="801">
        <f t="shared" si="45"/>
        <v>0</v>
      </c>
      <c r="T46" s="801">
        <f t="shared" si="45"/>
        <v>0</v>
      </c>
      <c r="U46" s="801">
        <f t="shared" si="45"/>
        <v>0</v>
      </c>
      <c r="V46" s="801">
        <f t="shared" si="45"/>
        <v>0</v>
      </c>
      <c r="W46" s="801">
        <f t="shared" si="45"/>
        <v>0</v>
      </c>
      <c r="X46" s="801">
        <f t="shared" si="45"/>
        <v>0</v>
      </c>
      <c r="Y46" s="801">
        <f t="shared" si="45"/>
        <v>0</v>
      </c>
      <c r="Z46" s="801">
        <f t="shared" si="45"/>
        <v>0</v>
      </c>
      <c r="AA46" s="801">
        <f t="shared" si="45"/>
        <v>0</v>
      </c>
      <c r="AB46" s="801">
        <f t="shared" si="45"/>
        <v>0</v>
      </c>
      <c r="AC46" s="801">
        <f t="shared" si="45"/>
        <v>0</v>
      </c>
      <c r="AD46" s="801">
        <f t="shared" si="45"/>
        <v>0</v>
      </c>
      <c r="AE46" s="801">
        <f t="shared" si="45"/>
        <v>0</v>
      </c>
      <c r="AF46" s="801">
        <f t="shared" si="45"/>
        <v>0</v>
      </c>
      <c r="AG46" s="801">
        <f t="shared" si="45"/>
        <v>0</v>
      </c>
      <c r="AH46" s="801">
        <f t="shared" si="45"/>
        <v>0</v>
      </c>
      <c r="AI46" s="801">
        <f t="shared" si="45"/>
        <v>0</v>
      </c>
      <c r="AJ46" s="801">
        <f t="shared" si="45"/>
        <v>0</v>
      </c>
      <c r="AK46" s="801">
        <f t="shared" si="45"/>
        <v>0</v>
      </c>
      <c r="AL46" s="801">
        <f t="shared" si="45"/>
        <v>0</v>
      </c>
      <c r="AM46" s="801">
        <f t="shared" si="45"/>
        <v>0</v>
      </c>
      <c r="AN46" s="801">
        <f t="shared" si="45"/>
        <v>0</v>
      </c>
      <c r="AO46" s="801">
        <f t="shared" si="45"/>
        <v>0</v>
      </c>
      <c r="AP46" s="801">
        <f t="shared" si="45"/>
        <v>0</v>
      </c>
      <c r="AQ46" s="801">
        <f t="shared" si="45"/>
        <v>0</v>
      </c>
      <c r="AR46" s="801">
        <f t="shared" si="45"/>
        <v>0</v>
      </c>
      <c r="AS46" s="801">
        <f t="shared" si="45"/>
        <v>0</v>
      </c>
      <c r="AT46" s="801">
        <f t="shared" si="45"/>
        <v>0</v>
      </c>
      <c r="AU46" s="801">
        <f t="shared" si="45"/>
        <v>0</v>
      </c>
      <c r="AV46" s="801">
        <f t="shared" si="45"/>
        <v>0</v>
      </c>
      <c r="AW46" s="801">
        <f t="shared" si="45"/>
        <v>0</v>
      </c>
      <c r="AX46" s="801">
        <f t="shared" si="45"/>
        <v>0</v>
      </c>
      <c r="AY46" s="801">
        <f t="shared" si="45"/>
        <v>0</v>
      </c>
      <c r="AZ46" s="801">
        <f t="shared" si="45"/>
        <v>0</v>
      </c>
      <c r="BA46" s="801">
        <f t="shared" si="45"/>
        <v>0</v>
      </c>
      <c r="BB46" s="801">
        <f t="shared" si="45"/>
        <v>0</v>
      </c>
      <c r="BC46" s="801">
        <f t="shared" si="45"/>
        <v>0</v>
      </c>
      <c r="BD46" s="801">
        <f t="shared" si="45"/>
        <v>0</v>
      </c>
      <c r="BE46" s="801">
        <f t="shared" si="45"/>
        <v>0</v>
      </c>
      <c r="BF46" s="801">
        <f t="shared" si="45"/>
        <v>0</v>
      </c>
      <c r="BG46" s="801">
        <f t="shared" si="45"/>
        <v>0</v>
      </c>
      <c r="BH46" s="801">
        <f t="shared" si="45"/>
        <v>0</v>
      </c>
      <c r="BI46" s="801">
        <f t="shared" si="45"/>
        <v>0</v>
      </c>
      <c r="BJ46" s="801">
        <f t="shared" si="45"/>
        <v>0</v>
      </c>
      <c r="BK46" s="801">
        <f t="shared" si="45"/>
        <v>0</v>
      </c>
      <c r="BL46" s="801">
        <f t="shared" si="45"/>
        <v>0</v>
      </c>
      <c r="BM46" s="801">
        <f t="shared" si="45"/>
        <v>0</v>
      </c>
      <c r="BN46" s="801">
        <f t="shared" si="45"/>
        <v>0</v>
      </c>
      <c r="BO46" s="801">
        <f t="shared" si="45"/>
        <v>0</v>
      </c>
      <c r="BP46" s="825">
        <f t="shared" si="45"/>
        <v>0</v>
      </c>
      <c r="BQ46" s="828">
        <f t="shared" si="41"/>
        <v>9.9999999999999978E-2</v>
      </c>
      <c r="BR46" s="801"/>
      <c r="BS46" s="801"/>
      <c r="BT46" s="781"/>
      <c r="BU46" s="781"/>
      <c r="BV46" s="781"/>
      <c r="BW46" s="781"/>
      <c r="BX46" s="781"/>
      <c r="BY46" s="781"/>
      <c r="BZ46" s="781"/>
      <c r="CA46" s="781"/>
      <c r="CB46" s="781"/>
      <c r="CC46" s="781"/>
      <c r="CD46" s="781"/>
      <c r="CE46" s="781"/>
      <c r="CF46" s="781"/>
      <c r="CG46" s="781"/>
      <c r="CH46" s="781"/>
      <c r="CI46" s="781"/>
      <c r="CJ46" s="781"/>
      <c r="CK46" s="781"/>
      <c r="CL46" s="781"/>
      <c r="CM46" s="781"/>
      <c r="CN46" s="781"/>
      <c r="CO46" s="781"/>
      <c r="CP46" s="781"/>
      <c r="CQ46" s="781"/>
      <c r="CR46" s="781"/>
      <c r="CS46" s="781"/>
      <c r="CT46" s="781"/>
      <c r="CU46" s="781"/>
      <c r="CV46" s="781"/>
      <c r="CW46" s="781"/>
      <c r="CX46" s="781"/>
      <c r="CY46" s="781"/>
      <c r="CZ46" s="781"/>
      <c r="DA46" s="781"/>
      <c r="DB46" s="781"/>
      <c r="DC46" s="781"/>
      <c r="DD46" s="781"/>
      <c r="DE46" s="781"/>
      <c r="DF46" s="781"/>
      <c r="DG46" s="781"/>
      <c r="DH46" s="781"/>
      <c r="DI46" s="781"/>
      <c r="DJ46" s="781"/>
      <c r="DK46" s="781"/>
      <c r="DL46" s="781"/>
      <c r="DM46" s="781"/>
      <c r="DN46" s="781"/>
      <c r="DO46" s="781"/>
      <c r="DP46" s="781"/>
    </row>
    <row r="47" spans="1:120" s="793" customFormat="1" ht="12.9" customHeight="1">
      <c r="A47" s="790"/>
      <c r="B47" s="791" t="str">
        <f>'사업수지표 '!C35</f>
        <v>감리비</v>
      </c>
      <c r="C47" s="791"/>
      <c r="D47" s="814">
        <f t="shared" si="38"/>
        <v>0.89999999999999991</v>
      </c>
      <c r="E47" s="796"/>
      <c r="F47" s="796"/>
      <c r="G47" s="796"/>
      <c r="H47" s="791"/>
      <c r="I47" s="815">
        <f>IF(I5="준공",0,I117*I118/100)</f>
        <v>0.1</v>
      </c>
      <c r="J47" s="815">
        <f t="shared" ref="J47:BP47" si="46">IF(J5="준공",0,J117*J118/100)</f>
        <v>0</v>
      </c>
      <c r="K47" s="815">
        <f t="shared" si="46"/>
        <v>0</v>
      </c>
      <c r="L47" s="815">
        <f t="shared" si="46"/>
        <v>0.1</v>
      </c>
      <c r="M47" s="815">
        <f t="shared" si="46"/>
        <v>0</v>
      </c>
      <c r="N47" s="815">
        <f t="shared" si="46"/>
        <v>0</v>
      </c>
      <c r="O47" s="815">
        <f t="shared" si="46"/>
        <v>0.1</v>
      </c>
      <c r="P47" s="815">
        <f t="shared" si="46"/>
        <v>0</v>
      </c>
      <c r="Q47" s="815">
        <f t="shared" si="46"/>
        <v>0</v>
      </c>
      <c r="R47" s="815">
        <f t="shared" si="46"/>
        <v>0.1</v>
      </c>
      <c r="S47" s="815">
        <f t="shared" si="46"/>
        <v>0</v>
      </c>
      <c r="T47" s="815">
        <f t="shared" si="46"/>
        <v>0</v>
      </c>
      <c r="U47" s="815">
        <f t="shared" si="46"/>
        <v>0.1</v>
      </c>
      <c r="V47" s="815">
        <f t="shared" si="46"/>
        <v>0</v>
      </c>
      <c r="W47" s="815">
        <f t="shared" si="46"/>
        <v>0</v>
      </c>
      <c r="X47" s="815">
        <f t="shared" si="46"/>
        <v>0.1</v>
      </c>
      <c r="Y47" s="815">
        <f t="shared" si="46"/>
        <v>0</v>
      </c>
      <c r="Z47" s="815">
        <f t="shared" si="46"/>
        <v>0</v>
      </c>
      <c r="AA47" s="815">
        <f t="shared" si="46"/>
        <v>0.1</v>
      </c>
      <c r="AB47" s="815">
        <f t="shared" si="46"/>
        <v>0</v>
      </c>
      <c r="AC47" s="815">
        <f t="shared" si="46"/>
        <v>0</v>
      </c>
      <c r="AD47" s="815">
        <f t="shared" si="46"/>
        <v>0.1</v>
      </c>
      <c r="AE47" s="815">
        <f t="shared" si="46"/>
        <v>0</v>
      </c>
      <c r="AF47" s="815">
        <f t="shared" si="46"/>
        <v>0</v>
      </c>
      <c r="AG47" s="815">
        <f t="shared" si="46"/>
        <v>0.1</v>
      </c>
      <c r="AH47" s="815">
        <f t="shared" si="46"/>
        <v>0</v>
      </c>
      <c r="AI47" s="815">
        <f t="shared" si="46"/>
        <v>0</v>
      </c>
      <c r="AJ47" s="815">
        <f t="shared" si="46"/>
        <v>0</v>
      </c>
      <c r="AK47" s="815">
        <f t="shared" si="46"/>
        <v>0</v>
      </c>
      <c r="AL47" s="815">
        <f t="shared" si="46"/>
        <v>0</v>
      </c>
      <c r="AM47" s="815">
        <f t="shared" si="46"/>
        <v>0</v>
      </c>
      <c r="AN47" s="815">
        <f t="shared" si="46"/>
        <v>0</v>
      </c>
      <c r="AO47" s="815">
        <f t="shared" si="46"/>
        <v>0</v>
      </c>
      <c r="AP47" s="815">
        <f t="shared" si="46"/>
        <v>0</v>
      </c>
      <c r="AQ47" s="815">
        <f t="shared" si="46"/>
        <v>0</v>
      </c>
      <c r="AR47" s="815">
        <f t="shared" si="46"/>
        <v>0</v>
      </c>
      <c r="AS47" s="815">
        <f t="shared" si="46"/>
        <v>0</v>
      </c>
      <c r="AT47" s="815">
        <f t="shared" si="46"/>
        <v>0</v>
      </c>
      <c r="AU47" s="815">
        <f t="shared" si="46"/>
        <v>0</v>
      </c>
      <c r="AV47" s="815">
        <f t="shared" si="46"/>
        <v>0</v>
      </c>
      <c r="AW47" s="815">
        <f t="shared" si="46"/>
        <v>0</v>
      </c>
      <c r="AX47" s="815">
        <f t="shared" si="46"/>
        <v>0</v>
      </c>
      <c r="AY47" s="815">
        <f t="shared" si="46"/>
        <v>0</v>
      </c>
      <c r="AZ47" s="815">
        <f t="shared" si="46"/>
        <v>0</v>
      </c>
      <c r="BA47" s="815">
        <f t="shared" si="46"/>
        <v>0</v>
      </c>
      <c r="BB47" s="815">
        <f t="shared" si="46"/>
        <v>0</v>
      </c>
      <c r="BC47" s="815">
        <f t="shared" si="46"/>
        <v>0</v>
      </c>
      <c r="BD47" s="815">
        <f t="shared" si="46"/>
        <v>0</v>
      </c>
      <c r="BE47" s="815">
        <f t="shared" si="46"/>
        <v>0</v>
      </c>
      <c r="BF47" s="815">
        <f t="shared" si="46"/>
        <v>0</v>
      </c>
      <c r="BG47" s="815">
        <f t="shared" si="46"/>
        <v>0</v>
      </c>
      <c r="BH47" s="815">
        <f t="shared" si="46"/>
        <v>0</v>
      </c>
      <c r="BI47" s="815">
        <f t="shared" si="46"/>
        <v>0</v>
      </c>
      <c r="BJ47" s="815">
        <f t="shared" si="46"/>
        <v>0</v>
      </c>
      <c r="BK47" s="815">
        <f t="shared" si="46"/>
        <v>0</v>
      </c>
      <c r="BL47" s="815">
        <f t="shared" si="46"/>
        <v>0</v>
      </c>
      <c r="BM47" s="815">
        <f t="shared" si="46"/>
        <v>0</v>
      </c>
      <c r="BN47" s="815">
        <f t="shared" si="46"/>
        <v>0</v>
      </c>
      <c r="BO47" s="815">
        <f t="shared" si="46"/>
        <v>0</v>
      </c>
      <c r="BP47" s="815">
        <f t="shared" si="46"/>
        <v>0</v>
      </c>
      <c r="BQ47" s="828">
        <f>1-SUM(F47:BP47)</f>
        <v>0.10000000000000009</v>
      </c>
      <c r="BR47" s="815"/>
      <c r="BS47" s="815"/>
      <c r="BT47" s="781"/>
      <c r="BU47" s="781"/>
      <c r="BV47" s="781"/>
      <c r="BW47" s="781"/>
      <c r="BX47" s="781"/>
      <c r="BY47" s="781"/>
      <c r="BZ47" s="781"/>
      <c r="CA47" s="781"/>
      <c r="CB47" s="781"/>
      <c r="CC47" s="781"/>
      <c r="CD47" s="781"/>
      <c r="CE47" s="781"/>
      <c r="CF47" s="781"/>
      <c r="CG47" s="781"/>
      <c r="CH47" s="781"/>
      <c r="CI47" s="781"/>
      <c r="CJ47" s="781"/>
      <c r="CK47" s="781"/>
      <c r="CL47" s="781"/>
      <c r="CM47" s="781"/>
      <c r="CN47" s="781"/>
      <c r="CO47" s="781"/>
      <c r="CP47" s="781"/>
      <c r="CQ47" s="781"/>
      <c r="CR47" s="781"/>
      <c r="CS47" s="781"/>
      <c r="CT47" s="781"/>
      <c r="CU47" s="781"/>
      <c r="CV47" s="781"/>
      <c r="CW47" s="781"/>
      <c r="CX47" s="781"/>
      <c r="CY47" s="781"/>
      <c r="CZ47" s="781"/>
      <c r="DA47" s="781"/>
      <c r="DB47" s="781"/>
      <c r="DC47" s="781"/>
      <c r="DD47" s="781"/>
      <c r="DE47" s="781"/>
      <c r="DF47" s="781"/>
      <c r="DG47" s="781"/>
      <c r="DH47" s="781"/>
      <c r="DI47" s="781"/>
      <c r="DJ47" s="781"/>
      <c r="DK47" s="781"/>
      <c r="DL47" s="781"/>
      <c r="DM47" s="781"/>
      <c r="DN47" s="781"/>
      <c r="DO47" s="781"/>
      <c r="DP47" s="781"/>
    </row>
    <row r="48" spans="1:120" s="781" customFormat="1" ht="12.9" customHeight="1">
      <c r="A48" s="798"/>
      <c r="B48" s="799" t="str">
        <f>'사업수지표 '!C36</f>
        <v>지구단위</v>
      </c>
      <c r="C48" s="799"/>
      <c r="D48" s="824">
        <f t="shared" si="38"/>
        <v>1</v>
      </c>
      <c r="E48" s="817"/>
      <c r="F48" s="801">
        <v>0.2</v>
      </c>
      <c r="G48" s="801"/>
      <c r="H48" s="801"/>
      <c r="I48" s="801">
        <v>0.8</v>
      </c>
      <c r="J48" s="801"/>
      <c r="K48" s="801"/>
      <c r="L48" s="801"/>
      <c r="M48" s="801"/>
      <c r="N48" s="801"/>
      <c r="O48" s="801"/>
      <c r="P48" s="801"/>
      <c r="Q48" s="801"/>
      <c r="R48" s="801"/>
      <c r="S48" s="801"/>
      <c r="T48" s="801"/>
      <c r="U48" s="801"/>
      <c r="V48" s="801"/>
      <c r="W48" s="801"/>
      <c r="X48" s="801"/>
      <c r="Y48" s="801"/>
      <c r="Z48" s="801"/>
      <c r="AA48" s="801"/>
      <c r="AB48" s="801"/>
      <c r="AC48" s="801"/>
      <c r="AD48" s="801"/>
      <c r="AE48" s="801"/>
      <c r="AF48" s="801"/>
      <c r="AG48" s="801"/>
      <c r="AH48" s="801"/>
      <c r="AI48" s="801"/>
      <c r="AJ48" s="801"/>
      <c r="AK48" s="801"/>
      <c r="AL48" s="801"/>
      <c r="AM48" s="801"/>
      <c r="AN48" s="801"/>
      <c r="AO48" s="801"/>
      <c r="AP48" s="801"/>
      <c r="AQ48" s="801"/>
      <c r="AR48" s="801"/>
      <c r="AS48" s="801"/>
      <c r="AT48" s="801"/>
      <c r="AU48" s="801"/>
      <c r="AV48" s="801"/>
      <c r="AW48" s="801"/>
      <c r="AX48" s="801"/>
      <c r="AY48" s="801"/>
      <c r="AZ48" s="801"/>
      <c r="BA48" s="801"/>
      <c r="BB48" s="801"/>
      <c r="BC48" s="801"/>
      <c r="BD48" s="801"/>
      <c r="BE48" s="801"/>
      <c r="BF48" s="801"/>
      <c r="BG48" s="801"/>
      <c r="BH48" s="801"/>
      <c r="BI48" s="801"/>
      <c r="BJ48" s="801"/>
      <c r="BK48" s="801"/>
      <c r="BL48" s="801"/>
      <c r="BM48" s="801"/>
      <c r="BN48" s="801"/>
      <c r="BO48" s="801"/>
      <c r="BP48" s="825"/>
      <c r="BQ48" s="801"/>
      <c r="BR48" s="801"/>
      <c r="BS48" s="801"/>
    </row>
    <row r="49" spans="1:120" s="793" customFormat="1" ht="12.9" customHeight="1">
      <c r="A49" s="790"/>
      <c r="B49" s="791" t="str">
        <f>'사업수지표 '!C37</f>
        <v>교통영향평가</v>
      </c>
      <c r="C49" s="791"/>
      <c r="D49" s="814">
        <f t="shared" si="38"/>
        <v>1</v>
      </c>
      <c r="E49" s="796"/>
      <c r="F49" s="815">
        <v>0.2</v>
      </c>
      <c r="G49" s="815"/>
      <c r="H49" s="815"/>
      <c r="I49" s="815">
        <v>0.8</v>
      </c>
      <c r="J49" s="815"/>
      <c r="K49" s="815"/>
      <c r="L49" s="815"/>
      <c r="M49" s="815"/>
      <c r="N49" s="815"/>
      <c r="O49" s="815"/>
      <c r="P49" s="815"/>
      <c r="Q49" s="815"/>
      <c r="R49" s="815"/>
      <c r="S49" s="815"/>
      <c r="T49" s="815"/>
      <c r="U49" s="815"/>
      <c r="V49" s="815"/>
      <c r="W49" s="815"/>
      <c r="X49" s="815"/>
      <c r="Y49" s="815"/>
      <c r="Z49" s="815"/>
      <c r="AA49" s="815"/>
      <c r="AB49" s="815"/>
      <c r="AC49" s="815"/>
      <c r="AD49" s="815"/>
      <c r="AE49" s="815"/>
      <c r="AF49" s="815"/>
      <c r="AG49" s="815"/>
      <c r="AH49" s="815"/>
      <c r="AI49" s="815"/>
      <c r="AJ49" s="815"/>
      <c r="AK49" s="815"/>
      <c r="AL49" s="815"/>
      <c r="AM49" s="815"/>
      <c r="AN49" s="815"/>
      <c r="AO49" s="815"/>
      <c r="AP49" s="815"/>
      <c r="AQ49" s="815"/>
      <c r="AR49" s="815"/>
      <c r="AS49" s="815"/>
      <c r="AT49" s="815"/>
      <c r="AU49" s="815"/>
      <c r="AV49" s="815"/>
      <c r="AW49" s="815"/>
      <c r="AX49" s="815"/>
      <c r="AY49" s="815"/>
      <c r="AZ49" s="815"/>
      <c r="BA49" s="815"/>
      <c r="BB49" s="815"/>
      <c r="BC49" s="815"/>
      <c r="BD49" s="815"/>
      <c r="BE49" s="815"/>
      <c r="BF49" s="815"/>
      <c r="BG49" s="815"/>
      <c r="BH49" s="815"/>
      <c r="BI49" s="815"/>
      <c r="BJ49" s="815"/>
      <c r="BK49" s="815"/>
      <c r="BL49" s="815"/>
      <c r="BM49" s="815"/>
      <c r="BN49" s="815"/>
      <c r="BO49" s="815"/>
      <c r="BP49" s="819"/>
      <c r="BQ49" s="828">
        <f>1-SUM(F49:BP49)</f>
        <v>0</v>
      </c>
      <c r="BR49" s="815"/>
      <c r="BS49" s="815"/>
      <c r="BT49" s="781"/>
      <c r="BU49" s="781"/>
      <c r="BV49" s="781"/>
      <c r="BW49" s="781"/>
      <c r="BX49" s="781"/>
      <c r="BY49" s="781"/>
      <c r="BZ49" s="781"/>
      <c r="CA49" s="781"/>
      <c r="CB49" s="781"/>
      <c r="CC49" s="781"/>
      <c r="CD49" s="781"/>
      <c r="CE49" s="781"/>
      <c r="CF49" s="781"/>
      <c r="CG49" s="781"/>
      <c r="CH49" s="781"/>
      <c r="CI49" s="781"/>
      <c r="CJ49" s="781"/>
      <c r="CK49" s="781"/>
      <c r="CL49" s="781"/>
      <c r="CM49" s="781"/>
      <c r="CN49" s="781"/>
      <c r="CO49" s="781"/>
      <c r="CP49" s="781"/>
      <c r="CQ49" s="781"/>
      <c r="CR49" s="781"/>
      <c r="CS49" s="781"/>
      <c r="CT49" s="781"/>
      <c r="CU49" s="781"/>
      <c r="CV49" s="781"/>
      <c r="CW49" s="781"/>
      <c r="CX49" s="781"/>
      <c r="CY49" s="781"/>
      <c r="CZ49" s="781"/>
      <c r="DA49" s="781"/>
      <c r="DB49" s="781"/>
      <c r="DC49" s="781"/>
      <c r="DD49" s="781"/>
      <c r="DE49" s="781"/>
      <c r="DF49" s="781"/>
      <c r="DG49" s="781"/>
      <c r="DH49" s="781"/>
      <c r="DI49" s="781"/>
      <c r="DJ49" s="781"/>
      <c r="DK49" s="781"/>
      <c r="DL49" s="781"/>
      <c r="DM49" s="781"/>
      <c r="DN49" s="781"/>
      <c r="DO49" s="781"/>
      <c r="DP49" s="781"/>
    </row>
    <row r="50" spans="1:120" s="781" customFormat="1" ht="12.9" customHeight="1">
      <c r="A50" s="798"/>
      <c r="B50" s="799" t="str">
        <f>'사업수지표 '!C38</f>
        <v>CM용역</v>
      </c>
      <c r="C50" s="799"/>
      <c r="D50" s="824">
        <f t="shared" si="38"/>
        <v>0.89999999999999991</v>
      </c>
      <c r="E50" s="817"/>
      <c r="F50" s="801"/>
      <c r="G50" s="801"/>
      <c r="H50" s="801"/>
      <c r="I50" s="801">
        <f>I47</f>
        <v>0.1</v>
      </c>
      <c r="J50" s="801">
        <f t="shared" ref="J50:AZ50" si="47">J47</f>
        <v>0</v>
      </c>
      <c r="K50" s="801">
        <f t="shared" si="47"/>
        <v>0</v>
      </c>
      <c r="L50" s="801">
        <f t="shared" si="47"/>
        <v>0.1</v>
      </c>
      <c r="M50" s="801">
        <f t="shared" si="47"/>
        <v>0</v>
      </c>
      <c r="N50" s="801">
        <f t="shared" si="47"/>
        <v>0</v>
      </c>
      <c r="O50" s="801">
        <f t="shared" si="47"/>
        <v>0.1</v>
      </c>
      <c r="P50" s="801">
        <f t="shared" si="47"/>
        <v>0</v>
      </c>
      <c r="Q50" s="801">
        <f t="shared" si="47"/>
        <v>0</v>
      </c>
      <c r="R50" s="801">
        <f t="shared" si="47"/>
        <v>0.1</v>
      </c>
      <c r="S50" s="801">
        <f t="shared" si="47"/>
        <v>0</v>
      </c>
      <c r="T50" s="801">
        <f t="shared" si="47"/>
        <v>0</v>
      </c>
      <c r="U50" s="801">
        <f t="shared" si="47"/>
        <v>0.1</v>
      </c>
      <c r="V50" s="801">
        <f t="shared" si="47"/>
        <v>0</v>
      </c>
      <c r="W50" s="801">
        <f t="shared" si="47"/>
        <v>0</v>
      </c>
      <c r="X50" s="801">
        <f t="shared" si="47"/>
        <v>0.1</v>
      </c>
      <c r="Y50" s="801">
        <f t="shared" si="47"/>
        <v>0</v>
      </c>
      <c r="Z50" s="801">
        <f t="shared" si="47"/>
        <v>0</v>
      </c>
      <c r="AA50" s="801">
        <f t="shared" si="47"/>
        <v>0.1</v>
      </c>
      <c r="AB50" s="801">
        <f t="shared" si="47"/>
        <v>0</v>
      </c>
      <c r="AC50" s="801">
        <f t="shared" si="47"/>
        <v>0</v>
      </c>
      <c r="AD50" s="801">
        <f t="shared" si="47"/>
        <v>0.1</v>
      </c>
      <c r="AE50" s="801">
        <f t="shared" si="47"/>
        <v>0</v>
      </c>
      <c r="AF50" s="801">
        <f t="shared" si="47"/>
        <v>0</v>
      </c>
      <c r="AG50" s="801">
        <f t="shared" si="47"/>
        <v>0.1</v>
      </c>
      <c r="AH50" s="801">
        <f t="shared" si="47"/>
        <v>0</v>
      </c>
      <c r="AI50" s="801">
        <f t="shared" si="47"/>
        <v>0</v>
      </c>
      <c r="AJ50" s="801">
        <f t="shared" si="47"/>
        <v>0</v>
      </c>
      <c r="AK50" s="801">
        <f t="shared" si="47"/>
        <v>0</v>
      </c>
      <c r="AL50" s="801">
        <f t="shared" si="47"/>
        <v>0</v>
      </c>
      <c r="AM50" s="801">
        <f t="shared" si="47"/>
        <v>0</v>
      </c>
      <c r="AN50" s="801">
        <f t="shared" si="47"/>
        <v>0</v>
      </c>
      <c r="AO50" s="801">
        <f t="shared" si="47"/>
        <v>0</v>
      </c>
      <c r="AP50" s="801">
        <f t="shared" si="47"/>
        <v>0</v>
      </c>
      <c r="AQ50" s="801">
        <f t="shared" si="47"/>
        <v>0</v>
      </c>
      <c r="AR50" s="801">
        <f t="shared" si="47"/>
        <v>0</v>
      </c>
      <c r="AS50" s="801">
        <f t="shared" si="47"/>
        <v>0</v>
      </c>
      <c r="AT50" s="801">
        <f t="shared" si="47"/>
        <v>0</v>
      </c>
      <c r="AU50" s="801">
        <f t="shared" si="47"/>
        <v>0</v>
      </c>
      <c r="AV50" s="801">
        <f t="shared" si="47"/>
        <v>0</v>
      </c>
      <c r="AW50" s="801">
        <f t="shared" si="47"/>
        <v>0</v>
      </c>
      <c r="AX50" s="801">
        <f t="shared" si="47"/>
        <v>0</v>
      </c>
      <c r="AY50" s="801">
        <f t="shared" si="47"/>
        <v>0</v>
      </c>
      <c r="AZ50" s="801">
        <f t="shared" si="47"/>
        <v>0</v>
      </c>
      <c r="BA50" s="801">
        <f t="shared" ref="BA50:BP50" si="48">BA47</f>
        <v>0</v>
      </c>
      <c r="BB50" s="801">
        <f t="shared" si="48"/>
        <v>0</v>
      </c>
      <c r="BC50" s="801">
        <f t="shared" si="48"/>
        <v>0</v>
      </c>
      <c r="BD50" s="801">
        <f t="shared" si="48"/>
        <v>0</v>
      </c>
      <c r="BE50" s="801">
        <f t="shared" si="48"/>
        <v>0</v>
      </c>
      <c r="BF50" s="801">
        <f t="shared" si="48"/>
        <v>0</v>
      </c>
      <c r="BG50" s="801">
        <f t="shared" si="48"/>
        <v>0</v>
      </c>
      <c r="BH50" s="801">
        <f t="shared" si="48"/>
        <v>0</v>
      </c>
      <c r="BI50" s="801">
        <f t="shared" si="48"/>
        <v>0</v>
      </c>
      <c r="BJ50" s="801">
        <f t="shared" si="48"/>
        <v>0</v>
      </c>
      <c r="BK50" s="801">
        <f t="shared" si="48"/>
        <v>0</v>
      </c>
      <c r="BL50" s="801">
        <f t="shared" si="48"/>
        <v>0</v>
      </c>
      <c r="BM50" s="801">
        <f t="shared" si="48"/>
        <v>0</v>
      </c>
      <c r="BN50" s="801">
        <f t="shared" si="48"/>
        <v>0</v>
      </c>
      <c r="BO50" s="801">
        <f t="shared" si="48"/>
        <v>0</v>
      </c>
      <c r="BP50" s="825">
        <f t="shared" si="48"/>
        <v>0</v>
      </c>
      <c r="BQ50" s="828">
        <f>1-SUM(F50:BP50)</f>
        <v>0.10000000000000009</v>
      </c>
      <c r="BR50" s="801"/>
      <c r="BS50" s="801"/>
    </row>
    <row r="51" spans="1:120" s="793" customFormat="1" ht="12.9" customHeight="1">
      <c r="A51" s="790"/>
      <c r="B51" s="791" t="str">
        <f>'사업수지표 '!C39</f>
        <v>지질측량</v>
      </c>
      <c r="C51" s="791"/>
      <c r="D51" s="814">
        <f t="shared" si="38"/>
        <v>1</v>
      </c>
      <c r="E51" s="796"/>
      <c r="F51" s="815">
        <v>0.2</v>
      </c>
      <c r="G51" s="815"/>
      <c r="H51" s="815"/>
      <c r="I51" s="815">
        <v>0.8</v>
      </c>
      <c r="J51" s="815"/>
      <c r="K51" s="815"/>
      <c r="L51" s="815"/>
      <c r="M51" s="815"/>
      <c r="N51" s="815"/>
      <c r="O51" s="815"/>
      <c r="P51" s="815"/>
      <c r="Q51" s="815"/>
      <c r="R51" s="815"/>
      <c r="S51" s="815"/>
      <c r="T51" s="815"/>
      <c r="U51" s="815"/>
      <c r="V51" s="815"/>
      <c r="W51" s="815"/>
      <c r="X51" s="815"/>
      <c r="Y51" s="815"/>
      <c r="Z51" s="815"/>
      <c r="AA51" s="815"/>
      <c r="AB51" s="815"/>
      <c r="AC51" s="815"/>
      <c r="AD51" s="815"/>
      <c r="AE51" s="815"/>
      <c r="AF51" s="815"/>
      <c r="AG51" s="815"/>
      <c r="AH51" s="815"/>
      <c r="AI51" s="815"/>
      <c r="AJ51" s="815"/>
      <c r="AK51" s="815"/>
      <c r="AL51" s="815"/>
      <c r="AM51" s="815"/>
      <c r="AN51" s="815"/>
      <c r="AO51" s="815"/>
      <c r="AP51" s="815"/>
      <c r="AQ51" s="815"/>
      <c r="AR51" s="815"/>
      <c r="AS51" s="815"/>
      <c r="AT51" s="815"/>
      <c r="AU51" s="815"/>
      <c r="AV51" s="815"/>
      <c r="AW51" s="815"/>
      <c r="AX51" s="815"/>
      <c r="AY51" s="815"/>
      <c r="AZ51" s="815"/>
      <c r="BA51" s="815"/>
      <c r="BB51" s="815"/>
      <c r="BC51" s="815"/>
      <c r="BD51" s="815"/>
      <c r="BE51" s="815"/>
      <c r="BF51" s="815"/>
      <c r="BG51" s="815"/>
      <c r="BH51" s="815"/>
      <c r="BI51" s="815"/>
      <c r="BJ51" s="815"/>
      <c r="BK51" s="815"/>
      <c r="BL51" s="815"/>
      <c r="BM51" s="815"/>
      <c r="BN51" s="815"/>
      <c r="BO51" s="815"/>
      <c r="BP51" s="819"/>
      <c r="BQ51" s="815"/>
      <c r="BR51" s="815"/>
      <c r="BS51" s="815"/>
      <c r="BT51" s="781"/>
      <c r="BU51" s="781"/>
      <c r="BV51" s="781"/>
      <c r="BW51" s="781"/>
      <c r="BX51" s="781"/>
      <c r="BY51" s="781"/>
      <c r="BZ51" s="781"/>
      <c r="CA51" s="781"/>
      <c r="CB51" s="781"/>
      <c r="CC51" s="781"/>
      <c r="CD51" s="781"/>
      <c r="CE51" s="781"/>
      <c r="CF51" s="781"/>
      <c r="CG51" s="781"/>
      <c r="CH51" s="781"/>
      <c r="CI51" s="781"/>
      <c r="CJ51" s="781"/>
      <c r="CK51" s="781"/>
      <c r="CL51" s="781"/>
      <c r="CM51" s="781"/>
      <c r="CN51" s="781"/>
      <c r="CO51" s="781"/>
      <c r="CP51" s="781"/>
      <c r="CQ51" s="781"/>
      <c r="CR51" s="781"/>
      <c r="CS51" s="781"/>
      <c r="CT51" s="781"/>
      <c r="CU51" s="781"/>
      <c r="CV51" s="781"/>
      <c r="CW51" s="781"/>
      <c r="CX51" s="781"/>
      <c r="CY51" s="781"/>
      <c r="CZ51" s="781"/>
      <c r="DA51" s="781"/>
      <c r="DB51" s="781"/>
      <c r="DC51" s="781"/>
      <c r="DD51" s="781"/>
      <c r="DE51" s="781"/>
      <c r="DF51" s="781"/>
      <c r="DG51" s="781"/>
      <c r="DH51" s="781"/>
      <c r="DI51" s="781"/>
      <c r="DJ51" s="781"/>
      <c r="DK51" s="781"/>
      <c r="DL51" s="781"/>
      <c r="DM51" s="781"/>
      <c r="DN51" s="781"/>
      <c r="DO51" s="781"/>
      <c r="DP51" s="781"/>
    </row>
    <row r="52" spans="1:120" s="781" customFormat="1" ht="12.9" customHeight="1">
      <c r="A52" s="798"/>
      <c r="B52" s="799" t="str">
        <f>'사업수지표 '!C40</f>
        <v>기타인허가비용</v>
      </c>
      <c r="C52" s="799"/>
      <c r="D52" s="824">
        <f t="shared" si="38"/>
        <v>0.5</v>
      </c>
      <c r="E52" s="817"/>
      <c r="F52" s="801"/>
      <c r="G52" s="801"/>
      <c r="H52" s="801"/>
      <c r="I52" s="801">
        <f>IF(I5="착공",50%,0)</f>
        <v>0.5</v>
      </c>
      <c r="J52" s="801">
        <f t="shared" ref="J52:BP52" si="49">IF(J5="착공",50%,0)</f>
        <v>0</v>
      </c>
      <c r="K52" s="801">
        <f t="shared" si="49"/>
        <v>0</v>
      </c>
      <c r="L52" s="801">
        <f t="shared" si="49"/>
        <v>0</v>
      </c>
      <c r="M52" s="801">
        <f t="shared" si="49"/>
        <v>0</v>
      </c>
      <c r="N52" s="801">
        <f t="shared" si="49"/>
        <v>0</v>
      </c>
      <c r="O52" s="801">
        <f t="shared" si="49"/>
        <v>0</v>
      </c>
      <c r="P52" s="801">
        <f t="shared" si="49"/>
        <v>0</v>
      </c>
      <c r="Q52" s="801">
        <f t="shared" si="49"/>
        <v>0</v>
      </c>
      <c r="R52" s="801">
        <f t="shared" si="49"/>
        <v>0</v>
      </c>
      <c r="S52" s="801">
        <f t="shared" si="49"/>
        <v>0</v>
      </c>
      <c r="T52" s="801">
        <f t="shared" si="49"/>
        <v>0</v>
      </c>
      <c r="U52" s="801">
        <f t="shared" si="49"/>
        <v>0</v>
      </c>
      <c r="V52" s="801">
        <f t="shared" si="49"/>
        <v>0</v>
      </c>
      <c r="W52" s="801">
        <f t="shared" si="49"/>
        <v>0</v>
      </c>
      <c r="X52" s="801">
        <f t="shared" si="49"/>
        <v>0</v>
      </c>
      <c r="Y52" s="801">
        <f t="shared" si="49"/>
        <v>0</v>
      </c>
      <c r="Z52" s="801">
        <f t="shared" si="49"/>
        <v>0</v>
      </c>
      <c r="AA52" s="801">
        <f t="shared" si="49"/>
        <v>0</v>
      </c>
      <c r="AB52" s="801">
        <f t="shared" si="49"/>
        <v>0</v>
      </c>
      <c r="AC52" s="801">
        <f t="shared" si="49"/>
        <v>0</v>
      </c>
      <c r="AD52" s="801">
        <f t="shared" si="49"/>
        <v>0</v>
      </c>
      <c r="AE52" s="801">
        <f t="shared" si="49"/>
        <v>0</v>
      </c>
      <c r="AF52" s="801">
        <f t="shared" si="49"/>
        <v>0</v>
      </c>
      <c r="AG52" s="801">
        <f t="shared" si="49"/>
        <v>0</v>
      </c>
      <c r="AH52" s="801">
        <f t="shared" si="49"/>
        <v>0</v>
      </c>
      <c r="AI52" s="801">
        <f t="shared" si="49"/>
        <v>0</v>
      </c>
      <c r="AJ52" s="801">
        <f t="shared" si="49"/>
        <v>0</v>
      </c>
      <c r="AK52" s="801">
        <f t="shared" si="49"/>
        <v>0</v>
      </c>
      <c r="AL52" s="801">
        <f t="shared" si="49"/>
        <v>0</v>
      </c>
      <c r="AM52" s="801">
        <f t="shared" si="49"/>
        <v>0</v>
      </c>
      <c r="AN52" s="801">
        <f t="shared" si="49"/>
        <v>0</v>
      </c>
      <c r="AO52" s="801">
        <f t="shared" si="49"/>
        <v>0</v>
      </c>
      <c r="AP52" s="801">
        <f t="shared" si="49"/>
        <v>0</v>
      </c>
      <c r="AQ52" s="801">
        <f t="shared" si="49"/>
        <v>0</v>
      </c>
      <c r="AR52" s="801">
        <f t="shared" si="49"/>
        <v>0</v>
      </c>
      <c r="AS52" s="801">
        <f t="shared" si="49"/>
        <v>0</v>
      </c>
      <c r="AT52" s="801">
        <f t="shared" si="49"/>
        <v>0</v>
      </c>
      <c r="AU52" s="801">
        <f t="shared" si="49"/>
        <v>0</v>
      </c>
      <c r="AV52" s="801">
        <f t="shared" si="49"/>
        <v>0</v>
      </c>
      <c r="AW52" s="801">
        <f t="shared" si="49"/>
        <v>0</v>
      </c>
      <c r="AX52" s="801">
        <f t="shared" si="49"/>
        <v>0</v>
      </c>
      <c r="AY52" s="801">
        <f t="shared" si="49"/>
        <v>0</v>
      </c>
      <c r="AZ52" s="801">
        <f t="shared" si="49"/>
        <v>0</v>
      </c>
      <c r="BA52" s="801">
        <f t="shared" si="49"/>
        <v>0</v>
      </c>
      <c r="BB52" s="801">
        <f t="shared" si="49"/>
        <v>0</v>
      </c>
      <c r="BC52" s="801">
        <f t="shared" si="49"/>
        <v>0</v>
      </c>
      <c r="BD52" s="801">
        <f t="shared" si="49"/>
        <v>0</v>
      </c>
      <c r="BE52" s="801">
        <f t="shared" si="49"/>
        <v>0</v>
      </c>
      <c r="BF52" s="801">
        <f t="shared" si="49"/>
        <v>0</v>
      </c>
      <c r="BG52" s="801">
        <f t="shared" si="49"/>
        <v>0</v>
      </c>
      <c r="BH52" s="801">
        <f t="shared" si="49"/>
        <v>0</v>
      </c>
      <c r="BI52" s="801">
        <f t="shared" si="49"/>
        <v>0</v>
      </c>
      <c r="BJ52" s="801">
        <f t="shared" si="49"/>
        <v>0</v>
      </c>
      <c r="BK52" s="801">
        <f t="shared" si="49"/>
        <v>0</v>
      </c>
      <c r="BL52" s="801">
        <f t="shared" si="49"/>
        <v>0</v>
      </c>
      <c r="BM52" s="801">
        <f t="shared" si="49"/>
        <v>0</v>
      </c>
      <c r="BN52" s="801">
        <f t="shared" si="49"/>
        <v>0</v>
      </c>
      <c r="BO52" s="801">
        <f t="shared" si="49"/>
        <v>0</v>
      </c>
      <c r="BP52" s="801">
        <f t="shared" si="49"/>
        <v>0</v>
      </c>
      <c r="BQ52" s="828">
        <f>1-SUM(F52:BP52)</f>
        <v>0.5</v>
      </c>
      <c r="BR52" s="801"/>
      <c r="BS52" s="801"/>
    </row>
    <row r="53" spans="1:120" s="807" customFormat="1" ht="12.9" customHeight="1">
      <c r="A53" s="804"/>
      <c r="B53" s="805" t="str">
        <f>'사업수지표 '!C41</f>
        <v>소계</v>
      </c>
      <c r="C53" s="805"/>
      <c r="D53" s="826">
        <f t="shared" si="38"/>
        <v>0</v>
      </c>
      <c r="E53" s="809"/>
      <c r="F53" s="809"/>
      <c r="G53" s="809"/>
      <c r="H53" s="805"/>
      <c r="I53" s="822"/>
      <c r="J53" s="822"/>
      <c r="K53" s="822"/>
      <c r="L53" s="822"/>
      <c r="M53" s="822"/>
      <c r="N53" s="822"/>
      <c r="O53" s="822"/>
      <c r="P53" s="822"/>
      <c r="Q53" s="822"/>
      <c r="R53" s="822"/>
      <c r="S53" s="822"/>
      <c r="T53" s="822"/>
      <c r="U53" s="822"/>
      <c r="V53" s="822"/>
      <c r="W53" s="822"/>
      <c r="X53" s="822"/>
      <c r="Y53" s="822"/>
      <c r="Z53" s="822"/>
      <c r="AA53" s="822"/>
      <c r="AB53" s="822"/>
      <c r="AC53" s="822"/>
      <c r="AD53" s="822"/>
      <c r="AE53" s="822"/>
      <c r="AF53" s="822"/>
      <c r="AG53" s="822"/>
      <c r="AH53" s="822"/>
      <c r="AI53" s="822"/>
      <c r="AJ53" s="822"/>
      <c r="AK53" s="822"/>
      <c r="AL53" s="822"/>
      <c r="AM53" s="822"/>
      <c r="AN53" s="822"/>
      <c r="AO53" s="822"/>
      <c r="AP53" s="822"/>
      <c r="AQ53" s="822"/>
      <c r="AR53" s="822"/>
      <c r="AS53" s="822"/>
      <c r="AT53" s="822"/>
      <c r="AU53" s="822"/>
      <c r="AV53" s="822"/>
      <c r="AW53" s="822"/>
      <c r="AX53" s="822"/>
      <c r="AY53" s="822"/>
      <c r="AZ53" s="822"/>
      <c r="BA53" s="822"/>
      <c r="BB53" s="822"/>
      <c r="BC53" s="822"/>
      <c r="BD53" s="822"/>
      <c r="BE53" s="822"/>
      <c r="BF53" s="822"/>
      <c r="BG53" s="822"/>
      <c r="BH53" s="822"/>
      <c r="BI53" s="822"/>
      <c r="BJ53" s="822"/>
      <c r="BK53" s="822"/>
      <c r="BL53" s="822"/>
      <c r="BM53" s="822"/>
      <c r="BN53" s="822"/>
      <c r="BO53" s="822"/>
      <c r="BP53" s="823"/>
      <c r="BQ53" s="822"/>
      <c r="BR53" s="822"/>
      <c r="BS53" s="822"/>
      <c r="BT53" s="781"/>
      <c r="BU53" s="781"/>
      <c r="BV53" s="781"/>
      <c r="BW53" s="781"/>
      <c r="BX53" s="781"/>
      <c r="BY53" s="781"/>
      <c r="BZ53" s="781"/>
      <c r="CA53" s="781"/>
      <c r="CB53" s="781"/>
      <c r="CC53" s="781"/>
      <c r="CD53" s="781"/>
      <c r="CE53" s="781"/>
      <c r="CF53" s="781"/>
      <c r="CG53" s="781"/>
      <c r="CH53" s="781"/>
      <c r="CI53" s="781"/>
      <c r="CJ53" s="781"/>
      <c r="CK53" s="781"/>
      <c r="CL53" s="781"/>
      <c r="CM53" s="781"/>
      <c r="CN53" s="781"/>
      <c r="CO53" s="781"/>
      <c r="CP53" s="781"/>
      <c r="CQ53" s="781"/>
      <c r="CR53" s="781"/>
      <c r="CS53" s="781"/>
      <c r="CT53" s="781"/>
      <c r="CU53" s="781"/>
      <c r="CV53" s="781"/>
      <c r="CW53" s="781"/>
      <c r="CX53" s="781"/>
      <c r="CY53" s="781"/>
      <c r="CZ53" s="781"/>
      <c r="DA53" s="781"/>
      <c r="DB53" s="781"/>
      <c r="DC53" s="781"/>
      <c r="DD53" s="781"/>
      <c r="DE53" s="781"/>
      <c r="DF53" s="781"/>
      <c r="DG53" s="781"/>
      <c r="DH53" s="781"/>
      <c r="DI53" s="781"/>
      <c r="DJ53" s="781"/>
      <c r="DK53" s="781"/>
      <c r="DL53" s="781"/>
      <c r="DM53" s="781"/>
      <c r="DN53" s="781"/>
      <c r="DO53" s="781"/>
      <c r="DP53" s="781"/>
    </row>
    <row r="54" spans="1:120" s="781" customFormat="1" ht="12.9" customHeight="1">
      <c r="A54" s="798"/>
      <c r="B54" s="799"/>
      <c r="C54" s="799"/>
      <c r="D54" s="827"/>
      <c r="E54" s="817"/>
      <c r="F54" s="817"/>
      <c r="G54" s="817"/>
      <c r="H54" s="799"/>
      <c r="I54" s="801"/>
      <c r="J54" s="801"/>
      <c r="K54" s="801"/>
      <c r="L54" s="801"/>
      <c r="M54" s="801"/>
      <c r="N54" s="801"/>
      <c r="O54" s="801"/>
      <c r="P54" s="801"/>
      <c r="Q54" s="801"/>
      <c r="R54" s="801"/>
      <c r="S54" s="801"/>
      <c r="T54" s="801"/>
      <c r="U54" s="801"/>
      <c r="V54" s="801"/>
      <c r="W54" s="801"/>
      <c r="X54" s="801"/>
      <c r="Y54" s="801"/>
      <c r="Z54" s="801"/>
      <c r="AA54" s="801"/>
      <c r="AB54" s="801"/>
      <c r="AC54" s="801"/>
      <c r="AD54" s="801"/>
      <c r="AE54" s="801"/>
      <c r="AF54" s="801"/>
      <c r="AG54" s="801"/>
      <c r="AH54" s="801"/>
      <c r="AI54" s="801"/>
      <c r="AJ54" s="801"/>
      <c r="AK54" s="801"/>
      <c r="AL54" s="801"/>
      <c r="AM54" s="801"/>
      <c r="AN54" s="801"/>
      <c r="AO54" s="801"/>
      <c r="AP54" s="801"/>
      <c r="AQ54" s="801"/>
      <c r="AR54" s="801"/>
      <c r="AS54" s="801"/>
      <c r="AT54" s="801"/>
      <c r="AU54" s="801"/>
      <c r="AV54" s="801"/>
      <c r="AW54" s="801"/>
      <c r="AX54" s="801"/>
      <c r="AY54" s="801"/>
      <c r="AZ54" s="801"/>
      <c r="BA54" s="801"/>
      <c r="BB54" s="801"/>
      <c r="BC54" s="801"/>
      <c r="BD54" s="801"/>
      <c r="BE54" s="801"/>
      <c r="BF54" s="801"/>
      <c r="BG54" s="801"/>
      <c r="BH54" s="801"/>
      <c r="BI54" s="801"/>
      <c r="BJ54" s="801"/>
      <c r="BK54" s="801"/>
      <c r="BL54" s="801"/>
      <c r="BM54" s="801"/>
      <c r="BN54" s="801"/>
      <c r="BO54" s="801"/>
      <c r="BP54" s="825"/>
      <c r="BQ54" s="801"/>
      <c r="BR54" s="801"/>
      <c r="BS54" s="801"/>
    </row>
    <row r="55" spans="1:120" s="781" customFormat="1" ht="12.9" customHeight="1">
      <c r="A55" s="798"/>
      <c r="B55" s="799" t="str">
        <f>'사업수지표 '!C42</f>
        <v>학교용지부담금</v>
      </c>
      <c r="C55" s="799"/>
      <c r="D55" s="824">
        <f t="shared" ref="D55:D64" si="50">SUM(E55:BP55)</f>
        <v>1.0000000000000002</v>
      </c>
      <c r="E55" s="817"/>
      <c r="F55" s="817"/>
      <c r="G55" s="817"/>
      <c r="H55" s="799"/>
      <c r="I55" s="801">
        <f>I8</f>
        <v>0.2</v>
      </c>
      <c r="J55" s="801">
        <f t="shared" ref="J55:AZ55" si="51">J8</f>
        <v>0.15</v>
      </c>
      <c r="K55" s="801">
        <f t="shared" si="51"/>
        <v>0.12</v>
      </c>
      <c r="L55" s="801">
        <f t="shared" si="51"/>
        <v>0.1</v>
      </c>
      <c r="M55" s="801">
        <f t="shared" si="51"/>
        <v>0.08</v>
      </c>
      <c r="N55" s="801">
        <f t="shared" si="51"/>
        <v>7.0000000000000007E-2</v>
      </c>
      <c r="O55" s="801">
        <f t="shared" si="51"/>
        <v>0.06</v>
      </c>
      <c r="P55" s="801">
        <f t="shared" si="51"/>
        <v>0.05</v>
      </c>
      <c r="Q55" s="801">
        <f t="shared" si="51"/>
        <v>0.05</v>
      </c>
      <c r="R55" s="801">
        <f t="shared" si="51"/>
        <v>0.04</v>
      </c>
      <c r="S55" s="801">
        <f t="shared" si="51"/>
        <v>0.04</v>
      </c>
      <c r="T55" s="801">
        <f t="shared" si="51"/>
        <v>0.04</v>
      </c>
      <c r="U55" s="801">
        <f t="shared" si="51"/>
        <v>0</v>
      </c>
      <c r="V55" s="801">
        <f t="shared" si="51"/>
        <v>0</v>
      </c>
      <c r="W55" s="801">
        <f t="shared" si="51"/>
        <v>0</v>
      </c>
      <c r="X55" s="801">
        <f t="shared" si="51"/>
        <v>0</v>
      </c>
      <c r="Y55" s="801">
        <f t="shared" si="51"/>
        <v>0</v>
      </c>
      <c r="Z55" s="801">
        <f t="shared" si="51"/>
        <v>0</v>
      </c>
      <c r="AA55" s="801">
        <f t="shared" si="51"/>
        <v>0</v>
      </c>
      <c r="AB55" s="801">
        <f t="shared" si="51"/>
        <v>0</v>
      </c>
      <c r="AC55" s="801">
        <f t="shared" si="51"/>
        <v>0</v>
      </c>
      <c r="AD55" s="801">
        <f t="shared" si="51"/>
        <v>0</v>
      </c>
      <c r="AE55" s="801">
        <f t="shared" si="51"/>
        <v>0</v>
      </c>
      <c r="AF55" s="801">
        <f t="shared" si="51"/>
        <v>0</v>
      </c>
      <c r="AG55" s="801">
        <f t="shared" si="51"/>
        <v>0</v>
      </c>
      <c r="AH55" s="801">
        <f t="shared" si="51"/>
        <v>0</v>
      </c>
      <c r="AI55" s="801">
        <f t="shared" si="51"/>
        <v>0</v>
      </c>
      <c r="AJ55" s="801">
        <f t="shared" si="51"/>
        <v>0</v>
      </c>
      <c r="AK55" s="801">
        <f t="shared" si="51"/>
        <v>0</v>
      </c>
      <c r="AL55" s="801">
        <f t="shared" si="51"/>
        <v>0</v>
      </c>
      <c r="AM55" s="801">
        <f t="shared" si="51"/>
        <v>0</v>
      </c>
      <c r="AN55" s="801">
        <f t="shared" si="51"/>
        <v>0</v>
      </c>
      <c r="AO55" s="801">
        <f t="shared" si="51"/>
        <v>0</v>
      </c>
      <c r="AP55" s="801">
        <f t="shared" si="51"/>
        <v>0</v>
      </c>
      <c r="AQ55" s="801">
        <f t="shared" si="51"/>
        <v>0</v>
      </c>
      <c r="AR55" s="801">
        <f t="shared" si="51"/>
        <v>0</v>
      </c>
      <c r="AS55" s="801">
        <f t="shared" si="51"/>
        <v>0</v>
      </c>
      <c r="AT55" s="801">
        <f t="shared" si="51"/>
        <v>0</v>
      </c>
      <c r="AU55" s="801">
        <f t="shared" si="51"/>
        <v>0</v>
      </c>
      <c r="AV55" s="801">
        <f t="shared" si="51"/>
        <v>0</v>
      </c>
      <c r="AW55" s="801">
        <f t="shared" si="51"/>
        <v>0</v>
      </c>
      <c r="AX55" s="801">
        <f t="shared" si="51"/>
        <v>0</v>
      </c>
      <c r="AY55" s="801">
        <f t="shared" si="51"/>
        <v>0</v>
      </c>
      <c r="AZ55" s="801">
        <f t="shared" si="51"/>
        <v>0</v>
      </c>
      <c r="BA55" s="801">
        <f t="shared" ref="BA55:BP55" si="52">BA8</f>
        <v>0</v>
      </c>
      <c r="BB55" s="801">
        <f t="shared" si="52"/>
        <v>0</v>
      </c>
      <c r="BC55" s="801">
        <f t="shared" si="52"/>
        <v>0</v>
      </c>
      <c r="BD55" s="801">
        <f t="shared" si="52"/>
        <v>0</v>
      </c>
      <c r="BE55" s="801">
        <f t="shared" si="52"/>
        <v>0</v>
      </c>
      <c r="BF55" s="801">
        <f t="shared" si="52"/>
        <v>0</v>
      </c>
      <c r="BG55" s="801">
        <f t="shared" si="52"/>
        <v>0</v>
      </c>
      <c r="BH55" s="801">
        <f t="shared" si="52"/>
        <v>0</v>
      </c>
      <c r="BI55" s="801">
        <f t="shared" si="52"/>
        <v>0</v>
      </c>
      <c r="BJ55" s="801">
        <f t="shared" si="52"/>
        <v>0</v>
      </c>
      <c r="BK55" s="801">
        <f t="shared" si="52"/>
        <v>0</v>
      </c>
      <c r="BL55" s="801">
        <f t="shared" si="52"/>
        <v>0</v>
      </c>
      <c r="BM55" s="801">
        <f t="shared" si="52"/>
        <v>0</v>
      </c>
      <c r="BN55" s="801">
        <f t="shared" si="52"/>
        <v>0</v>
      </c>
      <c r="BO55" s="801">
        <f t="shared" si="52"/>
        <v>0</v>
      </c>
      <c r="BP55" s="825">
        <f t="shared" si="52"/>
        <v>0</v>
      </c>
      <c r="BQ55" s="828">
        <f>1-SUM(F55:BP55)</f>
        <v>0</v>
      </c>
      <c r="BR55" s="801"/>
      <c r="BS55" s="801"/>
    </row>
    <row r="56" spans="1:120" s="793" customFormat="1" ht="12.9" customHeight="1">
      <c r="A56" s="790"/>
      <c r="B56" s="791" t="str">
        <f>'사업수지표 '!C43</f>
        <v>농지보전부담금</v>
      </c>
      <c r="C56" s="791"/>
      <c r="D56" s="814">
        <f t="shared" si="50"/>
        <v>1</v>
      </c>
      <c r="E56" s="796"/>
      <c r="F56" s="796"/>
      <c r="G56" s="796"/>
      <c r="H56" s="791"/>
      <c r="I56" s="815">
        <v>0.5</v>
      </c>
      <c r="J56" s="815"/>
      <c r="K56" s="815"/>
      <c r="L56" s="815"/>
      <c r="M56" s="815"/>
      <c r="N56" s="815">
        <v>0.5</v>
      </c>
      <c r="O56" s="815"/>
      <c r="P56" s="815"/>
      <c r="Q56" s="815"/>
      <c r="R56" s="815"/>
      <c r="S56" s="815"/>
      <c r="T56" s="815"/>
      <c r="U56" s="815"/>
      <c r="V56" s="815"/>
      <c r="W56" s="815"/>
      <c r="X56" s="815"/>
      <c r="Y56" s="815"/>
      <c r="Z56" s="815"/>
      <c r="AA56" s="815"/>
      <c r="AB56" s="815"/>
      <c r="AC56" s="815"/>
      <c r="AD56" s="815"/>
      <c r="AE56" s="815"/>
      <c r="AF56" s="815"/>
      <c r="AG56" s="815"/>
      <c r="AH56" s="815"/>
      <c r="AI56" s="815"/>
      <c r="AJ56" s="815"/>
      <c r="AK56" s="815"/>
      <c r="AL56" s="815"/>
      <c r="AM56" s="815"/>
      <c r="AN56" s="815"/>
      <c r="AO56" s="815"/>
      <c r="AP56" s="815"/>
      <c r="AQ56" s="815"/>
      <c r="AR56" s="815"/>
      <c r="AS56" s="815"/>
      <c r="AT56" s="815"/>
      <c r="AU56" s="815"/>
      <c r="AV56" s="815"/>
      <c r="AW56" s="815"/>
      <c r="AX56" s="815"/>
      <c r="AY56" s="815"/>
      <c r="AZ56" s="815"/>
      <c r="BA56" s="815"/>
      <c r="BB56" s="815"/>
      <c r="BC56" s="815"/>
      <c r="BD56" s="815"/>
      <c r="BE56" s="815"/>
      <c r="BF56" s="815"/>
      <c r="BG56" s="815"/>
      <c r="BH56" s="815"/>
      <c r="BI56" s="815"/>
      <c r="BJ56" s="815"/>
      <c r="BK56" s="815"/>
      <c r="BL56" s="815"/>
      <c r="BM56" s="815"/>
      <c r="BN56" s="815"/>
      <c r="BO56" s="815"/>
      <c r="BP56" s="819"/>
      <c r="BQ56" s="815"/>
      <c r="BR56" s="815"/>
      <c r="BS56" s="815"/>
      <c r="BT56" s="781"/>
      <c r="BU56" s="781"/>
      <c r="BV56" s="781"/>
      <c r="BW56" s="781"/>
      <c r="BX56" s="781"/>
      <c r="BY56" s="781"/>
      <c r="BZ56" s="781"/>
      <c r="CA56" s="781"/>
      <c r="CB56" s="781"/>
      <c r="CC56" s="781"/>
      <c r="CD56" s="781"/>
      <c r="CE56" s="781"/>
      <c r="CF56" s="781"/>
      <c r="CG56" s="781"/>
      <c r="CH56" s="781"/>
      <c r="CI56" s="781"/>
      <c r="CJ56" s="781"/>
      <c r="CK56" s="781"/>
      <c r="CL56" s="781"/>
      <c r="CM56" s="781"/>
      <c r="CN56" s="781"/>
      <c r="CO56" s="781"/>
      <c r="CP56" s="781"/>
      <c r="CQ56" s="781"/>
      <c r="CR56" s="781"/>
      <c r="CS56" s="781"/>
      <c r="CT56" s="781"/>
      <c r="CU56" s="781"/>
      <c r="CV56" s="781"/>
      <c r="CW56" s="781"/>
      <c r="CX56" s="781"/>
      <c r="CY56" s="781"/>
      <c r="CZ56" s="781"/>
      <c r="DA56" s="781"/>
      <c r="DB56" s="781"/>
      <c r="DC56" s="781"/>
      <c r="DD56" s="781"/>
      <c r="DE56" s="781"/>
      <c r="DF56" s="781"/>
      <c r="DG56" s="781"/>
      <c r="DH56" s="781"/>
      <c r="DI56" s="781"/>
      <c r="DJ56" s="781"/>
      <c r="DK56" s="781"/>
      <c r="DL56" s="781"/>
      <c r="DM56" s="781"/>
      <c r="DN56" s="781"/>
      <c r="DO56" s="781"/>
      <c r="DP56" s="781"/>
    </row>
    <row r="57" spans="1:120" s="781" customFormat="1" ht="12.9" customHeight="1">
      <c r="A57" s="798"/>
      <c r="B57" s="799" t="str">
        <f>'사업수지표 '!C44</f>
        <v>상하수도분담금</v>
      </c>
      <c r="C57" s="799"/>
      <c r="D57" s="824">
        <f t="shared" si="50"/>
        <v>0.5</v>
      </c>
      <c r="E57" s="817"/>
      <c r="F57" s="817"/>
      <c r="G57" s="817"/>
      <c r="H57" s="799"/>
      <c r="I57" s="801">
        <v>0</v>
      </c>
      <c r="J57" s="801">
        <f>IF(비용집행계획!J4=(총괄장!$P$6-6),50%,0)</f>
        <v>0</v>
      </c>
      <c r="K57" s="801">
        <f>IF(비용집행계획!K4=(총괄장!$P$6-6),50%,0)</f>
        <v>0</v>
      </c>
      <c r="L57" s="801">
        <f>IF(비용집행계획!L4=(총괄장!$P$6-6),50%,0)</f>
        <v>0</v>
      </c>
      <c r="M57" s="801">
        <f>IF(비용집행계획!M4=(총괄장!$P$6-6),50%,0)</f>
        <v>0</v>
      </c>
      <c r="N57" s="801">
        <f>IF(비용집행계획!N4=(총괄장!$P$6-6),50%,0)</f>
        <v>0</v>
      </c>
      <c r="O57" s="801">
        <f>IF(비용집행계획!O4=(총괄장!$P$6-6),50%,0)</f>
        <v>0</v>
      </c>
      <c r="P57" s="801">
        <f>IF(비용집행계획!P4=(총괄장!$P$6-6),50%,0)</f>
        <v>0</v>
      </c>
      <c r="Q57" s="801">
        <f>IF(비용집행계획!Q4=(총괄장!$P$6-6),50%,0)</f>
        <v>0</v>
      </c>
      <c r="R57" s="801">
        <f>IF(비용집행계획!R4=(총괄장!$P$6-6),50%,0)</f>
        <v>0</v>
      </c>
      <c r="S57" s="801">
        <f>IF(비용집행계획!S4=(총괄장!$P$6-6),50%,0)</f>
        <v>0</v>
      </c>
      <c r="T57" s="801">
        <f>IF(비용집행계획!T4=(총괄장!$P$6-6),50%,0)</f>
        <v>0</v>
      </c>
      <c r="U57" s="801">
        <f>IF(비용집행계획!U4=(총괄장!$P$6-6),50%,0)</f>
        <v>0</v>
      </c>
      <c r="V57" s="801">
        <f>IF(비용집행계획!V4=(총괄장!$P$6-6),50%,0)</f>
        <v>0</v>
      </c>
      <c r="W57" s="801">
        <f>IF(비용집행계획!W4=(총괄장!$P$6-6),50%,0)</f>
        <v>0</v>
      </c>
      <c r="X57" s="801">
        <f>IF(비용집행계획!X4=(총괄장!$P$6-6),50%,0)</f>
        <v>0</v>
      </c>
      <c r="Y57" s="801">
        <f>IF(비용집행계획!Y4=(총괄장!$P$6-6),50%,0)</f>
        <v>0</v>
      </c>
      <c r="Z57" s="801">
        <f>IF(비용집행계획!Z4=(총괄장!$P$6-6),50%,0)</f>
        <v>0</v>
      </c>
      <c r="AA57" s="801">
        <f>IF(비용집행계획!AA4=(총괄장!$P$6-6),50%,0)</f>
        <v>0</v>
      </c>
      <c r="AB57" s="801">
        <f>IF(비용집행계획!AB4=(총괄장!$P$6-6),50%,0)</f>
        <v>0</v>
      </c>
      <c r="AC57" s="801">
        <f>IF(비용집행계획!AC4=(총괄장!$P$6-6),50%,0)</f>
        <v>0</v>
      </c>
      <c r="AD57" s="801">
        <f>IF(비용집행계획!AD4=(총괄장!$P$6-6),50%,0)</f>
        <v>0</v>
      </c>
      <c r="AE57" s="801">
        <f>IF(비용집행계획!AE4=(총괄장!$P$6-6),50%,0)</f>
        <v>0</v>
      </c>
      <c r="AF57" s="801">
        <f>IF(비용집행계획!AF4=(총괄장!$P$6-6),50%,0)</f>
        <v>0.5</v>
      </c>
      <c r="AG57" s="801">
        <f>IF(비용집행계획!AG4=(총괄장!$P$6-6),50%,0)</f>
        <v>0</v>
      </c>
      <c r="AH57" s="801">
        <f>IF(비용집행계획!AH4=(총괄장!$P$6-6),50%,0)</f>
        <v>0</v>
      </c>
      <c r="AI57" s="801">
        <f>IF(비용집행계획!AI4=(총괄장!$P$6-6),50%,0)</f>
        <v>0</v>
      </c>
      <c r="AJ57" s="801">
        <f>IF(비용집행계획!AJ4=(총괄장!$P$6-6),50%,0)</f>
        <v>0</v>
      </c>
      <c r="AK57" s="801">
        <f>IF(비용집행계획!AK4=(총괄장!$P$6-6),50%,0)</f>
        <v>0</v>
      </c>
      <c r="AL57" s="801">
        <f>IF(비용집행계획!AL4=(총괄장!$P$6-6),50%,0)</f>
        <v>0</v>
      </c>
      <c r="AM57" s="801">
        <f>IF(비용집행계획!AM4=(총괄장!$P$6-6),50%,0)</f>
        <v>0</v>
      </c>
      <c r="AN57" s="801">
        <f>IF(비용집행계획!AN4=(총괄장!$P$6-6),50%,0)</f>
        <v>0</v>
      </c>
      <c r="AO57" s="801">
        <f>IF(비용집행계획!AO4=(총괄장!$P$6-6),50%,0)</f>
        <v>0</v>
      </c>
      <c r="AP57" s="801">
        <f>IF(비용집행계획!AP4=(총괄장!$P$6-6),50%,0)</f>
        <v>0</v>
      </c>
      <c r="AQ57" s="801">
        <f>IF(비용집행계획!AQ4=(총괄장!$P$6-6),50%,0)</f>
        <v>0</v>
      </c>
      <c r="AR57" s="801">
        <f>IF(비용집행계획!AR4=(총괄장!$P$6-6),50%,0)</f>
        <v>0</v>
      </c>
      <c r="AS57" s="801">
        <f>IF(비용집행계획!AS4=(총괄장!$P$6-6),50%,0)</f>
        <v>0</v>
      </c>
      <c r="AT57" s="801">
        <f>IF(비용집행계획!AT4=(총괄장!$P$6-6),50%,0)</f>
        <v>0</v>
      </c>
      <c r="AU57" s="801">
        <f>IF(비용집행계획!AU4=(총괄장!$P$6-6),50%,0)</f>
        <v>0</v>
      </c>
      <c r="AV57" s="801">
        <f>IF(비용집행계획!AV4=(총괄장!$P$6-6),50%,0)</f>
        <v>0</v>
      </c>
      <c r="AW57" s="801">
        <f>IF(비용집행계획!AW4=(총괄장!$P$6-6),50%,0)</f>
        <v>0</v>
      </c>
      <c r="AX57" s="801">
        <f>IF(비용집행계획!AX4=(총괄장!$P$6-6),50%,0)</f>
        <v>0</v>
      </c>
      <c r="AY57" s="801">
        <f>IF(비용집행계획!AY4=(총괄장!$P$6-6),50%,0)</f>
        <v>0</v>
      </c>
      <c r="AZ57" s="801">
        <f>IF(비용집행계획!AZ4=(총괄장!$P$6-6),50%,0)</f>
        <v>0</v>
      </c>
      <c r="BA57" s="801">
        <f>IF(비용집행계획!BA4=(총괄장!$P$6-6),50%,0)</f>
        <v>0</v>
      </c>
      <c r="BB57" s="801">
        <f>IF(비용집행계획!BB4=(총괄장!$P$6-6),50%,0)</f>
        <v>0</v>
      </c>
      <c r="BC57" s="801">
        <f>IF(비용집행계획!BC4=(총괄장!$P$6-6),50%,0)</f>
        <v>0</v>
      </c>
      <c r="BD57" s="801">
        <f>IF(비용집행계획!BD4=(총괄장!$P$6-6),50%,0)</f>
        <v>0</v>
      </c>
      <c r="BE57" s="801">
        <f>IF(비용집행계획!BE4=(총괄장!$P$6-6),50%,0)</f>
        <v>0</v>
      </c>
      <c r="BF57" s="801">
        <f>IF(비용집행계획!BF4=(총괄장!$P$6-6),50%,0)</f>
        <v>0</v>
      </c>
      <c r="BG57" s="801">
        <f>IF(비용집행계획!BG4=(총괄장!$P$6-6),50%,0)</f>
        <v>0</v>
      </c>
      <c r="BH57" s="801">
        <f>IF(비용집행계획!BH4=(총괄장!$P$6-6),50%,0)</f>
        <v>0</v>
      </c>
      <c r="BI57" s="801">
        <f>IF(비용집행계획!BI4=(총괄장!$P$6-6),50%,0)</f>
        <v>0</v>
      </c>
      <c r="BJ57" s="801">
        <f>IF(비용집행계획!BJ4=(총괄장!$P$6-6),50%,0)</f>
        <v>0</v>
      </c>
      <c r="BK57" s="801">
        <f>IF(비용집행계획!BK4=(총괄장!$P$6-6),50%,0)</f>
        <v>0</v>
      </c>
      <c r="BL57" s="801">
        <f>IF(비용집행계획!BL4=(총괄장!$P$6-6),50%,0)</f>
        <v>0</v>
      </c>
      <c r="BM57" s="801">
        <f>IF(비용집행계획!BM4=(총괄장!$P$6-6),50%,0)</f>
        <v>0</v>
      </c>
      <c r="BN57" s="801">
        <f>IF(비용집행계획!BN4=(총괄장!$P$6-6),50%,0)</f>
        <v>0</v>
      </c>
      <c r="BO57" s="801">
        <f>IF(비용집행계획!BO4=(총괄장!$P$6-6),50%,0)</f>
        <v>0</v>
      </c>
      <c r="BP57" s="801">
        <f>IF(비용집행계획!BP4=(총괄장!$P$6-6),50%,0)</f>
        <v>0</v>
      </c>
      <c r="BQ57" s="828">
        <f>1-SUM(F57:BP57)</f>
        <v>0.5</v>
      </c>
      <c r="BR57" s="801"/>
      <c r="BS57" s="801"/>
    </row>
    <row r="58" spans="1:120" s="793" customFormat="1" ht="12.9" customHeight="1">
      <c r="A58" s="790"/>
      <c r="B58" s="791" t="str">
        <f>'사업수지표 '!C45</f>
        <v>과밀부담금</v>
      </c>
      <c r="C58" s="791"/>
      <c r="D58" s="814">
        <f t="shared" si="50"/>
        <v>0.99999999999999989</v>
      </c>
      <c r="E58" s="796"/>
      <c r="F58" s="796"/>
      <c r="G58" s="796"/>
      <c r="H58" s="791"/>
      <c r="I58" s="815">
        <f>IF(총괄장!$P$6&lt;비용집행계획!I4,0,1/총괄장!$P$6)</f>
        <v>3.3333333333333333E-2</v>
      </c>
      <c r="J58" s="815">
        <f>IF(총괄장!$P$6&lt;비용집행계획!J4,0,1/총괄장!$P$6)</f>
        <v>3.3333333333333333E-2</v>
      </c>
      <c r="K58" s="815">
        <f>IF(총괄장!$P$6&lt;비용집행계획!K4,0,1/총괄장!$P$6)</f>
        <v>3.3333333333333333E-2</v>
      </c>
      <c r="L58" s="815">
        <f>IF(총괄장!$P$6&lt;비용집행계획!L4,0,1/총괄장!$P$6)</f>
        <v>3.3333333333333333E-2</v>
      </c>
      <c r="M58" s="815">
        <f>IF(총괄장!$P$6&lt;비용집행계획!M4,0,1/총괄장!$P$6)</f>
        <v>3.3333333333333333E-2</v>
      </c>
      <c r="N58" s="815">
        <f>IF(총괄장!$P$6&lt;비용집행계획!N4,0,1/총괄장!$P$6)</f>
        <v>3.3333333333333333E-2</v>
      </c>
      <c r="O58" s="815">
        <f>IF(총괄장!$P$6&lt;비용집행계획!O4,0,1/총괄장!$P$6)</f>
        <v>3.3333333333333333E-2</v>
      </c>
      <c r="P58" s="815">
        <f>IF(총괄장!$P$6&lt;비용집행계획!P4,0,1/총괄장!$P$6)</f>
        <v>3.3333333333333333E-2</v>
      </c>
      <c r="Q58" s="815">
        <f>IF(총괄장!$P$6&lt;비용집행계획!Q4,0,1/총괄장!$P$6)</f>
        <v>3.3333333333333333E-2</v>
      </c>
      <c r="R58" s="815">
        <f>IF(총괄장!$P$6&lt;비용집행계획!R4,0,1/총괄장!$P$6)</f>
        <v>3.3333333333333333E-2</v>
      </c>
      <c r="S58" s="815">
        <f>IF(총괄장!$P$6&lt;비용집행계획!S4,0,1/총괄장!$P$6)</f>
        <v>3.3333333333333333E-2</v>
      </c>
      <c r="T58" s="815">
        <f>IF(총괄장!$P$6&lt;비용집행계획!T4,0,1/총괄장!$P$6)</f>
        <v>3.3333333333333333E-2</v>
      </c>
      <c r="U58" s="815">
        <f>IF(총괄장!$P$6&lt;비용집행계획!U4,0,1/총괄장!$P$6)</f>
        <v>3.3333333333333333E-2</v>
      </c>
      <c r="V58" s="815">
        <f>IF(총괄장!$P$6&lt;비용집행계획!V4,0,1/총괄장!$P$6)</f>
        <v>3.3333333333333333E-2</v>
      </c>
      <c r="W58" s="815">
        <f>IF(총괄장!$P$6&lt;비용집행계획!W4,0,1/총괄장!$P$6)</f>
        <v>3.3333333333333333E-2</v>
      </c>
      <c r="X58" s="815">
        <f>IF(총괄장!$P$6&lt;비용집행계획!X4,0,1/총괄장!$P$6)</f>
        <v>3.3333333333333333E-2</v>
      </c>
      <c r="Y58" s="815">
        <f>IF(총괄장!$P$6&lt;비용집행계획!Y4,0,1/총괄장!$P$6)</f>
        <v>3.3333333333333333E-2</v>
      </c>
      <c r="Z58" s="815">
        <f>IF(총괄장!$P$6&lt;비용집행계획!Z4,0,1/총괄장!$P$6)</f>
        <v>3.3333333333333333E-2</v>
      </c>
      <c r="AA58" s="815">
        <f>IF(총괄장!$P$6&lt;비용집행계획!AA4,0,1/총괄장!$P$6)</f>
        <v>3.3333333333333333E-2</v>
      </c>
      <c r="AB58" s="815">
        <f>IF(총괄장!$P$6&lt;비용집행계획!AB4,0,1/총괄장!$P$6)</f>
        <v>3.3333333333333333E-2</v>
      </c>
      <c r="AC58" s="815">
        <f>IF(총괄장!$P$6&lt;비용집행계획!AC4,0,1/총괄장!$P$6)</f>
        <v>3.3333333333333333E-2</v>
      </c>
      <c r="AD58" s="815">
        <f>IF(총괄장!$P$6&lt;비용집행계획!AD4,0,1/총괄장!$P$6)</f>
        <v>3.3333333333333333E-2</v>
      </c>
      <c r="AE58" s="815">
        <f>IF(총괄장!$P$6&lt;비용집행계획!AE4,0,1/총괄장!$P$6)</f>
        <v>3.3333333333333333E-2</v>
      </c>
      <c r="AF58" s="815">
        <f>IF(총괄장!$P$6&lt;비용집행계획!AF4,0,1/총괄장!$P$6)</f>
        <v>3.3333333333333333E-2</v>
      </c>
      <c r="AG58" s="815">
        <f>IF(총괄장!$P$6&lt;비용집행계획!AG4,0,1/총괄장!$P$6)</f>
        <v>3.3333333333333333E-2</v>
      </c>
      <c r="AH58" s="815">
        <f>IF(총괄장!$P$6&lt;비용집행계획!AH4,0,1/총괄장!$P$6)</f>
        <v>3.3333333333333333E-2</v>
      </c>
      <c r="AI58" s="815">
        <f>IF(총괄장!$P$6&lt;비용집행계획!AI4,0,1/총괄장!$P$6)</f>
        <v>3.3333333333333333E-2</v>
      </c>
      <c r="AJ58" s="815">
        <f>IF(총괄장!$P$6&lt;비용집행계획!AJ4,0,1/총괄장!$P$6)</f>
        <v>3.3333333333333333E-2</v>
      </c>
      <c r="AK58" s="815">
        <f>IF(총괄장!$P$6&lt;비용집행계획!AK4,0,1/총괄장!$P$6)</f>
        <v>3.3333333333333333E-2</v>
      </c>
      <c r="AL58" s="815">
        <f>IF(총괄장!$P$6&lt;비용집행계획!AL4,0,1/총괄장!$P$6)</f>
        <v>3.3333333333333333E-2</v>
      </c>
      <c r="AM58" s="815">
        <f>IF(총괄장!$P$6&lt;비용집행계획!AM4,0,1/총괄장!$P$6)</f>
        <v>0</v>
      </c>
      <c r="AN58" s="815">
        <f>IF(총괄장!$P$6&lt;비용집행계획!AN4,0,1/총괄장!$P$6)</f>
        <v>0</v>
      </c>
      <c r="AO58" s="815">
        <f>IF(총괄장!$P$6&lt;비용집행계획!AO4,0,1/총괄장!$P$6)</f>
        <v>0</v>
      </c>
      <c r="AP58" s="815">
        <f>IF(총괄장!$P$6&lt;비용집행계획!AP4,0,1/총괄장!$P$6)</f>
        <v>0</v>
      </c>
      <c r="AQ58" s="815">
        <f>IF(총괄장!$P$6&lt;비용집행계획!AQ4,0,1/총괄장!$P$6)</f>
        <v>0</v>
      </c>
      <c r="AR58" s="815">
        <f>IF(총괄장!$P$6&lt;비용집행계획!AR4,0,1/총괄장!$P$6)</f>
        <v>0</v>
      </c>
      <c r="AS58" s="815">
        <f>IF(총괄장!$P$6&lt;비용집행계획!AS4,0,1/총괄장!$P$6)</f>
        <v>0</v>
      </c>
      <c r="AT58" s="815">
        <f>IF(총괄장!$P$6&lt;비용집행계획!AT4,0,1/총괄장!$P$6)</f>
        <v>0</v>
      </c>
      <c r="AU58" s="815">
        <f>IF(총괄장!$P$6&lt;비용집행계획!AU4,0,1/총괄장!$P$6)</f>
        <v>0</v>
      </c>
      <c r="AV58" s="815">
        <f>IF(총괄장!$P$6&lt;비용집행계획!AV4,0,1/총괄장!$P$6)</f>
        <v>0</v>
      </c>
      <c r="AW58" s="815">
        <f>IF(총괄장!$P$6&lt;비용집행계획!AW4,0,1/총괄장!$P$6)</f>
        <v>0</v>
      </c>
      <c r="AX58" s="815">
        <f>IF(총괄장!$P$6&lt;비용집행계획!AX4,0,1/총괄장!$P$6)</f>
        <v>0</v>
      </c>
      <c r="AY58" s="815">
        <f>IF(총괄장!$P$6&lt;비용집행계획!AY4,0,1/총괄장!$P$6)</f>
        <v>0</v>
      </c>
      <c r="AZ58" s="815">
        <f>IF(총괄장!$P$6&lt;비용집행계획!AZ4,0,1/총괄장!$P$6)</f>
        <v>0</v>
      </c>
      <c r="BA58" s="815">
        <f>IF(총괄장!$P$6&lt;비용집행계획!BA4,0,1/총괄장!$P$6)</f>
        <v>0</v>
      </c>
      <c r="BB58" s="815">
        <f>IF(총괄장!$P$6&lt;비용집행계획!BB4,0,1/총괄장!$P$6)</f>
        <v>0</v>
      </c>
      <c r="BC58" s="815">
        <f>IF(총괄장!$P$6&lt;비용집행계획!BC4,0,1/총괄장!$P$6)</f>
        <v>0</v>
      </c>
      <c r="BD58" s="815">
        <f>IF(총괄장!$P$6&lt;비용집행계획!BD4,0,1/총괄장!$P$6)</f>
        <v>0</v>
      </c>
      <c r="BE58" s="815">
        <f>IF(총괄장!$P$6&lt;비용집행계획!BE4,0,1/총괄장!$P$6)</f>
        <v>0</v>
      </c>
      <c r="BF58" s="815">
        <f>IF(총괄장!$P$6&lt;비용집행계획!BF4,0,1/총괄장!$P$6)</f>
        <v>0</v>
      </c>
      <c r="BG58" s="815">
        <f>IF(총괄장!$P$6&lt;비용집행계획!BG4,0,1/총괄장!$P$6)</f>
        <v>0</v>
      </c>
      <c r="BH58" s="815">
        <f>IF(총괄장!$P$6&lt;비용집행계획!BH4,0,1/총괄장!$P$6)</f>
        <v>0</v>
      </c>
      <c r="BI58" s="815">
        <f>IF(총괄장!$P$6&lt;비용집행계획!BI4,0,1/총괄장!$P$6)</f>
        <v>0</v>
      </c>
      <c r="BJ58" s="815">
        <f>IF(총괄장!$P$6&lt;비용집행계획!BJ4,0,1/총괄장!$P$6)</f>
        <v>0</v>
      </c>
      <c r="BK58" s="815">
        <f>IF(총괄장!$P$6&lt;비용집행계획!BK4,0,1/총괄장!$P$6)</f>
        <v>0</v>
      </c>
      <c r="BL58" s="815">
        <f>IF(총괄장!$P$6&lt;비용집행계획!BL4,0,1/총괄장!$P$6)</f>
        <v>0</v>
      </c>
      <c r="BM58" s="815">
        <f>IF(총괄장!$P$6&lt;비용집행계획!BM4,0,1/총괄장!$P$6)</f>
        <v>0</v>
      </c>
      <c r="BN58" s="815">
        <f>IF(총괄장!$P$6&lt;비용집행계획!BN4,0,1/총괄장!$P$6)</f>
        <v>0</v>
      </c>
      <c r="BO58" s="815">
        <f>IF(총괄장!$P$6&lt;비용집행계획!BO4,0,1/총괄장!$P$6)</f>
        <v>0</v>
      </c>
      <c r="BP58" s="819">
        <f>IF(총괄장!$P$6&lt;비용집행계획!BP4,0,1/총괄장!$P$6)</f>
        <v>0</v>
      </c>
      <c r="BQ58" s="828">
        <f>1-SUM(F58:BP58)</f>
        <v>0</v>
      </c>
      <c r="BR58" s="815"/>
      <c r="BS58" s="815"/>
      <c r="BT58" s="781"/>
      <c r="BU58" s="781"/>
      <c r="BV58" s="781"/>
      <c r="BW58" s="781"/>
      <c r="BX58" s="781"/>
      <c r="BY58" s="781"/>
      <c r="BZ58" s="781"/>
      <c r="CA58" s="781"/>
      <c r="CB58" s="781"/>
      <c r="CC58" s="781"/>
      <c r="CD58" s="781"/>
      <c r="CE58" s="781"/>
      <c r="CF58" s="781"/>
      <c r="CG58" s="781"/>
      <c r="CH58" s="781"/>
      <c r="CI58" s="781"/>
      <c r="CJ58" s="781"/>
      <c r="CK58" s="781"/>
      <c r="CL58" s="781"/>
      <c r="CM58" s="781"/>
      <c r="CN58" s="781"/>
      <c r="CO58" s="781"/>
      <c r="CP58" s="781"/>
      <c r="CQ58" s="781"/>
      <c r="CR58" s="781"/>
      <c r="CS58" s="781"/>
      <c r="CT58" s="781"/>
      <c r="CU58" s="781"/>
      <c r="CV58" s="781"/>
      <c r="CW58" s="781"/>
      <c r="CX58" s="781"/>
      <c r="CY58" s="781"/>
      <c r="CZ58" s="781"/>
      <c r="DA58" s="781"/>
      <c r="DB58" s="781"/>
      <c r="DC58" s="781"/>
      <c r="DD58" s="781"/>
      <c r="DE58" s="781"/>
      <c r="DF58" s="781"/>
      <c r="DG58" s="781"/>
      <c r="DH58" s="781"/>
      <c r="DI58" s="781"/>
      <c r="DJ58" s="781"/>
      <c r="DK58" s="781"/>
      <c r="DL58" s="781"/>
      <c r="DM58" s="781"/>
      <c r="DN58" s="781"/>
      <c r="DO58" s="781"/>
      <c r="DP58" s="781"/>
    </row>
    <row r="59" spans="1:120" s="781" customFormat="1" ht="12.9" customHeight="1">
      <c r="A59" s="798"/>
      <c r="B59" s="799" t="str">
        <f>'사업수지표 '!C46</f>
        <v>광역교통시설부담금</v>
      </c>
      <c r="C59" s="799"/>
      <c r="D59" s="824">
        <f t="shared" si="50"/>
        <v>1</v>
      </c>
      <c r="E59" s="817"/>
      <c r="F59" s="817"/>
      <c r="G59" s="817"/>
      <c r="H59" s="799"/>
      <c r="I59" s="801">
        <v>0.5</v>
      </c>
      <c r="J59" s="801"/>
      <c r="K59" s="801"/>
      <c r="L59" s="801"/>
      <c r="M59" s="801"/>
      <c r="N59" s="801">
        <v>0.5</v>
      </c>
      <c r="O59" s="801"/>
      <c r="P59" s="801"/>
      <c r="Q59" s="801"/>
      <c r="R59" s="801"/>
      <c r="S59" s="801"/>
      <c r="T59" s="801"/>
      <c r="U59" s="801"/>
      <c r="V59" s="801"/>
      <c r="W59" s="801"/>
      <c r="X59" s="801"/>
      <c r="Y59" s="801"/>
      <c r="Z59" s="801"/>
      <c r="AA59" s="801"/>
      <c r="AB59" s="801"/>
      <c r="AC59" s="801"/>
      <c r="AD59" s="801"/>
      <c r="AE59" s="801"/>
      <c r="AF59" s="801"/>
      <c r="AG59" s="801"/>
      <c r="AH59" s="801"/>
      <c r="AI59" s="801"/>
      <c r="AJ59" s="801"/>
      <c r="AK59" s="801"/>
      <c r="AL59" s="801"/>
      <c r="AM59" s="801"/>
      <c r="AN59" s="801"/>
      <c r="AO59" s="801"/>
      <c r="AP59" s="801"/>
      <c r="AQ59" s="801"/>
      <c r="AR59" s="801"/>
      <c r="AS59" s="801"/>
      <c r="AT59" s="801"/>
      <c r="AU59" s="801"/>
      <c r="AV59" s="801"/>
      <c r="AW59" s="801"/>
      <c r="AX59" s="801"/>
      <c r="AY59" s="801"/>
      <c r="AZ59" s="801"/>
      <c r="BA59" s="801"/>
      <c r="BB59" s="801"/>
      <c r="BC59" s="801"/>
      <c r="BD59" s="801"/>
      <c r="BE59" s="801"/>
      <c r="BF59" s="801"/>
      <c r="BG59" s="801"/>
      <c r="BH59" s="801"/>
      <c r="BI59" s="801"/>
      <c r="BJ59" s="801"/>
      <c r="BK59" s="801"/>
      <c r="BL59" s="801"/>
      <c r="BM59" s="801"/>
      <c r="BN59" s="801"/>
      <c r="BO59" s="801"/>
      <c r="BP59" s="825"/>
      <c r="BQ59" s="801"/>
      <c r="BR59" s="801"/>
      <c r="BS59" s="801"/>
    </row>
    <row r="60" spans="1:120" s="793" customFormat="1" ht="12.9" customHeight="1">
      <c r="A60" s="790"/>
      <c r="B60" s="791" t="str">
        <f>'사업수지표 '!C47</f>
        <v>교통유발부담금</v>
      </c>
      <c r="C60" s="791"/>
      <c r="D60" s="814">
        <f t="shared" si="50"/>
        <v>1</v>
      </c>
      <c r="E60" s="796"/>
      <c r="F60" s="796"/>
      <c r="G60" s="796"/>
      <c r="H60" s="791"/>
      <c r="I60" s="815">
        <v>1</v>
      </c>
      <c r="J60" s="815"/>
      <c r="K60" s="815"/>
      <c r="L60" s="815"/>
      <c r="M60" s="815"/>
      <c r="N60" s="815"/>
      <c r="O60" s="815"/>
      <c r="P60" s="815"/>
      <c r="Q60" s="815"/>
      <c r="R60" s="815"/>
      <c r="S60" s="815"/>
      <c r="T60" s="815"/>
      <c r="U60" s="815"/>
      <c r="V60" s="815"/>
      <c r="W60" s="815"/>
      <c r="X60" s="815"/>
      <c r="Y60" s="815"/>
      <c r="Z60" s="815"/>
      <c r="AA60" s="815"/>
      <c r="AB60" s="815"/>
      <c r="AC60" s="815"/>
      <c r="AD60" s="815"/>
      <c r="AE60" s="815"/>
      <c r="AF60" s="815"/>
      <c r="AG60" s="815"/>
      <c r="AH60" s="815"/>
      <c r="AI60" s="815"/>
      <c r="AJ60" s="815"/>
      <c r="AK60" s="815"/>
      <c r="AL60" s="815"/>
      <c r="AM60" s="815"/>
      <c r="AN60" s="815"/>
      <c r="AO60" s="815"/>
      <c r="AP60" s="815"/>
      <c r="AQ60" s="815"/>
      <c r="AR60" s="815"/>
      <c r="AS60" s="815"/>
      <c r="AT60" s="815"/>
      <c r="AU60" s="815"/>
      <c r="AV60" s="815"/>
      <c r="AW60" s="815"/>
      <c r="AX60" s="815"/>
      <c r="AY60" s="815"/>
      <c r="AZ60" s="815"/>
      <c r="BA60" s="815"/>
      <c r="BB60" s="815"/>
      <c r="BC60" s="815"/>
      <c r="BD60" s="815"/>
      <c r="BE60" s="815"/>
      <c r="BF60" s="815"/>
      <c r="BG60" s="815"/>
      <c r="BH60" s="815"/>
      <c r="BI60" s="815"/>
      <c r="BJ60" s="815"/>
      <c r="BK60" s="815"/>
      <c r="BL60" s="815"/>
      <c r="BM60" s="815"/>
      <c r="BN60" s="815"/>
      <c r="BO60" s="815"/>
      <c r="BP60" s="819"/>
      <c r="BQ60" s="815"/>
      <c r="BR60" s="815"/>
      <c r="BS60" s="815"/>
      <c r="BT60" s="781"/>
      <c r="BU60" s="781"/>
      <c r="BV60" s="781"/>
      <c r="BW60" s="781"/>
      <c r="BX60" s="781"/>
      <c r="BY60" s="781"/>
      <c r="BZ60" s="781"/>
      <c r="CA60" s="781"/>
      <c r="CB60" s="781"/>
      <c r="CC60" s="781"/>
      <c r="CD60" s="781"/>
      <c r="CE60" s="781"/>
      <c r="CF60" s="781"/>
      <c r="CG60" s="781"/>
      <c r="CH60" s="781"/>
      <c r="CI60" s="781"/>
      <c r="CJ60" s="781"/>
      <c r="CK60" s="781"/>
      <c r="CL60" s="781"/>
      <c r="CM60" s="781"/>
      <c r="CN60" s="781"/>
      <c r="CO60" s="781"/>
      <c r="CP60" s="781"/>
      <c r="CQ60" s="781"/>
      <c r="CR60" s="781"/>
      <c r="CS60" s="781"/>
      <c r="CT60" s="781"/>
      <c r="CU60" s="781"/>
      <c r="CV60" s="781"/>
      <c r="CW60" s="781"/>
      <c r="CX60" s="781"/>
      <c r="CY60" s="781"/>
      <c r="CZ60" s="781"/>
      <c r="DA60" s="781"/>
      <c r="DB60" s="781"/>
      <c r="DC60" s="781"/>
      <c r="DD60" s="781"/>
      <c r="DE60" s="781"/>
      <c r="DF60" s="781"/>
      <c r="DG60" s="781"/>
      <c r="DH60" s="781"/>
      <c r="DI60" s="781"/>
      <c r="DJ60" s="781"/>
      <c r="DK60" s="781"/>
      <c r="DL60" s="781"/>
      <c r="DM60" s="781"/>
      <c r="DN60" s="781"/>
      <c r="DO60" s="781"/>
      <c r="DP60" s="781"/>
    </row>
    <row r="61" spans="1:120" s="781" customFormat="1" ht="13.5" customHeight="1">
      <c r="A61" s="798"/>
      <c r="B61" s="799" t="str">
        <f>'사업수지표 '!C48</f>
        <v>대체산림조원조성비</v>
      </c>
      <c r="C61" s="799"/>
      <c r="D61" s="824">
        <f t="shared" si="50"/>
        <v>1</v>
      </c>
      <c r="E61" s="817"/>
      <c r="F61" s="817"/>
      <c r="G61" s="817"/>
      <c r="H61" s="799"/>
      <c r="I61" s="801">
        <v>1</v>
      </c>
      <c r="J61" s="801"/>
      <c r="K61" s="801"/>
      <c r="L61" s="801"/>
      <c r="M61" s="801"/>
      <c r="N61" s="801"/>
      <c r="O61" s="801"/>
      <c r="P61" s="801"/>
      <c r="Q61" s="801"/>
      <c r="R61" s="801"/>
      <c r="S61" s="801"/>
      <c r="T61" s="801"/>
      <c r="U61" s="801"/>
      <c r="V61" s="801"/>
      <c r="W61" s="801"/>
      <c r="X61" s="801"/>
      <c r="Y61" s="801"/>
      <c r="Z61" s="801"/>
      <c r="AA61" s="801"/>
      <c r="AB61" s="801"/>
      <c r="AC61" s="801"/>
      <c r="AD61" s="801"/>
      <c r="AE61" s="801"/>
      <c r="AF61" s="801"/>
      <c r="AG61" s="801"/>
      <c r="AH61" s="801"/>
      <c r="AI61" s="801"/>
      <c r="AJ61" s="801"/>
      <c r="AK61" s="801"/>
      <c r="AL61" s="801"/>
      <c r="AM61" s="801"/>
      <c r="AN61" s="801"/>
      <c r="AO61" s="801"/>
      <c r="AP61" s="801"/>
      <c r="AQ61" s="801"/>
      <c r="AR61" s="801"/>
      <c r="AS61" s="801"/>
      <c r="AT61" s="801"/>
      <c r="AU61" s="801"/>
      <c r="AV61" s="801"/>
      <c r="AW61" s="801"/>
      <c r="AX61" s="801"/>
      <c r="AY61" s="801"/>
      <c r="AZ61" s="801"/>
      <c r="BA61" s="801"/>
      <c r="BB61" s="801"/>
      <c r="BC61" s="801"/>
      <c r="BD61" s="801"/>
      <c r="BE61" s="801"/>
      <c r="BF61" s="801"/>
      <c r="BG61" s="801"/>
      <c r="BH61" s="801"/>
      <c r="BI61" s="801"/>
      <c r="BJ61" s="801"/>
      <c r="BK61" s="801"/>
      <c r="BL61" s="801"/>
      <c r="BM61" s="801"/>
      <c r="BN61" s="801"/>
      <c r="BO61" s="801"/>
      <c r="BP61" s="825"/>
      <c r="BQ61" s="801"/>
      <c r="BR61" s="801"/>
      <c r="BS61" s="801"/>
    </row>
    <row r="62" spans="1:120" s="793" customFormat="1" ht="12.9" customHeight="1">
      <c r="A62" s="790"/>
      <c r="B62" s="791" t="str">
        <f>'사업수지표 '!C49</f>
        <v>개발부담금</v>
      </c>
      <c r="C62" s="791"/>
      <c r="D62" s="814">
        <f t="shared" si="50"/>
        <v>0</v>
      </c>
      <c r="E62" s="796"/>
      <c r="F62" s="796"/>
      <c r="G62" s="796"/>
      <c r="H62" s="791"/>
      <c r="I62" s="815">
        <f>0</f>
        <v>0</v>
      </c>
      <c r="J62" s="815">
        <f>0</f>
        <v>0</v>
      </c>
      <c r="K62" s="815">
        <f>0</f>
        <v>0</v>
      </c>
      <c r="L62" s="815">
        <f>0</f>
        <v>0</v>
      </c>
      <c r="M62" s="815">
        <f>0</f>
        <v>0</v>
      </c>
      <c r="N62" s="815">
        <f>0</f>
        <v>0</v>
      </c>
      <c r="O62" s="815">
        <f>0</f>
        <v>0</v>
      </c>
      <c r="P62" s="815">
        <f>0</f>
        <v>0</v>
      </c>
      <c r="Q62" s="815">
        <f>0</f>
        <v>0</v>
      </c>
      <c r="R62" s="815">
        <f>0</f>
        <v>0</v>
      </c>
      <c r="S62" s="815">
        <f>0</f>
        <v>0</v>
      </c>
      <c r="T62" s="815">
        <f>0</f>
        <v>0</v>
      </c>
      <c r="U62" s="815">
        <f>0</f>
        <v>0</v>
      </c>
      <c r="V62" s="815">
        <f>0</f>
        <v>0</v>
      </c>
      <c r="W62" s="815">
        <f>0</f>
        <v>0</v>
      </c>
      <c r="X62" s="815">
        <f>0</f>
        <v>0</v>
      </c>
      <c r="Y62" s="815">
        <f>0</f>
        <v>0</v>
      </c>
      <c r="Z62" s="815">
        <f>0</f>
        <v>0</v>
      </c>
      <c r="AA62" s="815">
        <f>0</f>
        <v>0</v>
      </c>
      <c r="AB62" s="815">
        <f>0</f>
        <v>0</v>
      </c>
      <c r="AC62" s="815">
        <f>0</f>
        <v>0</v>
      </c>
      <c r="AD62" s="815">
        <f>0</f>
        <v>0</v>
      </c>
      <c r="AE62" s="815">
        <f>0</f>
        <v>0</v>
      </c>
      <c r="AF62" s="815">
        <f>0</f>
        <v>0</v>
      </c>
      <c r="AG62" s="815">
        <f>0</f>
        <v>0</v>
      </c>
      <c r="AH62" s="815">
        <f>0</f>
        <v>0</v>
      </c>
      <c r="AI62" s="815">
        <f>0</f>
        <v>0</v>
      </c>
      <c r="AJ62" s="815">
        <f>0</f>
        <v>0</v>
      </c>
      <c r="AK62" s="815">
        <f>0</f>
        <v>0</v>
      </c>
      <c r="AL62" s="815">
        <f>0</f>
        <v>0</v>
      </c>
      <c r="AM62" s="815">
        <f>0</f>
        <v>0</v>
      </c>
      <c r="AN62" s="815">
        <f>0</f>
        <v>0</v>
      </c>
      <c r="AO62" s="815">
        <f>0</f>
        <v>0</v>
      </c>
      <c r="AP62" s="815">
        <f>0</f>
        <v>0</v>
      </c>
      <c r="AQ62" s="815">
        <f>0</f>
        <v>0</v>
      </c>
      <c r="AR62" s="815">
        <f>0</f>
        <v>0</v>
      </c>
      <c r="AS62" s="815">
        <f>0</f>
        <v>0</v>
      </c>
      <c r="AT62" s="815">
        <f>0</f>
        <v>0</v>
      </c>
      <c r="AU62" s="815">
        <f>0</f>
        <v>0</v>
      </c>
      <c r="AV62" s="815">
        <f>0</f>
        <v>0</v>
      </c>
      <c r="AW62" s="815">
        <f>0</f>
        <v>0</v>
      </c>
      <c r="AX62" s="815">
        <f>0</f>
        <v>0</v>
      </c>
      <c r="AY62" s="815">
        <f>0</f>
        <v>0</v>
      </c>
      <c r="AZ62" s="815">
        <f>0</f>
        <v>0</v>
      </c>
      <c r="BA62" s="815">
        <f>0</f>
        <v>0</v>
      </c>
      <c r="BB62" s="815">
        <f>0</f>
        <v>0</v>
      </c>
      <c r="BC62" s="815">
        <f>0</f>
        <v>0</v>
      </c>
      <c r="BD62" s="815">
        <f>0</f>
        <v>0</v>
      </c>
      <c r="BE62" s="815">
        <f>0</f>
        <v>0</v>
      </c>
      <c r="BF62" s="815">
        <f>0</f>
        <v>0</v>
      </c>
      <c r="BG62" s="815">
        <f>0</f>
        <v>0</v>
      </c>
      <c r="BH62" s="815">
        <f>0</f>
        <v>0</v>
      </c>
      <c r="BI62" s="815">
        <f>0</f>
        <v>0</v>
      </c>
      <c r="BJ62" s="815">
        <f>0</f>
        <v>0</v>
      </c>
      <c r="BK62" s="815">
        <f>0</f>
        <v>0</v>
      </c>
      <c r="BL62" s="815">
        <f>0</f>
        <v>0</v>
      </c>
      <c r="BM62" s="815">
        <f>0</f>
        <v>0</v>
      </c>
      <c r="BN62" s="815">
        <f>0</f>
        <v>0</v>
      </c>
      <c r="BO62" s="815">
        <f>0</f>
        <v>0</v>
      </c>
      <c r="BP62" s="815">
        <f>0</f>
        <v>0</v>
      </c>
      <c r="BQ62" s="828">
        <f>1-SUM(F62:BP62)</f>
        <v>1</v>
      </c>
      <c r="BR62" s="815"/>
      <c r="BS62" s="815"/>
      <c r="BT62" s="781"/>
      <c r="BU62" s="781"/>
      <c r="BV62" s="781"/>
      <c r="BW62" s="781"/>
      <c r="BX62" s="781"/>
      <c r="BY62" s="781"/>
      <c r="BZ62" s="781"/>
      <c r="CA62" s="781"/>
      <c r="CB62" s="781"/>
      <c r="CC62" s="781"/>
      <c r="CD62" s="781"/>
      <c r="CE62" s="781"/>
      <c r="CF62" s="781"/>
      <c r="CG62" s="781"/>
      <c r="CH62" s="781"/>
      <c r="CI62" s="781"/>
      <c r="CJ62" s="781"/>
      <c r="CK62" s="781"/>
      <c r="CL62" s="781"/>
      <c r="CM62" s="781"/>
      <c r="CN62" s="781"/>
      <c r="CO62" s="781"/>
      <c r="CP62" s="781"/>
      <c r="CQ62" s="781"/>
      <c r="CR62" s="781"/>
      <c r="CS62" s="781"/>
      <c r="CT62" s="781"/>
      <c r="CU62" s="781"/>
      <c r="CV62" s="781"/>
      <c r="CW62" s="781"/>
      <c r="CX62" s="781"/>
      <c r="CY62" s="781"/>
      <c r="CZ62" s="781"/>
      <c r="DA62" s="781"/>
      <c r="DB62" s="781"/>
      <c r="DC62" s="781"/>
      <c r="DD62" s="781"/>
      <c r="DE62" s="781"/>
      <c r="DF62" s="781"/>
      <c r="DG62" s="781"/>
      <c r="DH62" s="781"/>
      <c r="DI62" s="781"/>
      <c r="DJ62" s="781"/>
      <c r="DK62" s="781"/>
      <c r="DL62" s="781"/>
      <c r="DM62" s="781"/>
      <c r="DN62" s="781"/>
      <c r="DO62" s="781"/>
      <c r="DP62" s="781"/>
    </row>
    <row r="63" spans="1:120" s="781" customFormat="1" ht="12.9" customHeight="1">
      <c r="A63" s="798"/>
      <c r="B63" s="799" t="str">
        <f>'사업수지표 '!C50</f>
        <v xml:space="preserve">통학차량제공 </v>
      </c>
      <c r="C63" s="799"/>
      <c r="D63" s="824">
        <f t="shared" si="50"/>
        <v>0</v>
      </c>
      <c r="E63" s="817"/>
      <c r="F63" s="817"/>
      <c r="G63" s="817"/>
      <c r="H63" s="799"/>
      <c r="I63" s="801">
        <v>0</v>
      </c>
      <c r="J63" s="801">
        <v>0</v>
      </c>
      <c r="K63" s="801">
        <v>0</v>
      </c>
      <c r="L63" s="801">
        <v>0</v>
      </c>
      <c r="M63" s="801">
        <v>0</v>
      </c>
      <c r="N63" s="801">
        <v>0</v>
      </c>
      <c r="O63" s="801">
        <v>0</v>
      </c>
      <c r="P63" s="801">
        <v>0</v>
      </c>
      <c r="Q63" s="801">
        <v>0</v>
      </c>
      <c r="R63" s="801">
        <v>0</v>
      </c>
      <c r="S63" s="801">
        <v>0</v>
      </c>
      <c r="T63" s="801">
        <v>0</v>
      </c>
      <c r="U63" s="801">
        <v>0</v>
      </c>
      <c r="V63" s="801">
        <v>0</v>
      </c>
      <c r="W63" s="801">
        <v>0</v>
      </c>
      <c r="X63" s="801">
        <v>0</v>
      </c>
      <c r="Y63" s="801">
        <v>0</v>
      </c>
      <c r="Z63" s="801">
        <v>0</v>
      </c>
      <c r="AA63" s="801">
        <v>0</v>
      </c>
      <c r="AB63" s="801">
        <v>0</v>
      </c>
      <c r="AC63" s="801">
        <v>0</v>
      </c>
      <c r="AD63" s="801">
        <v>0</v>
      </c>
      <c r="AE63" s="801">
        <v>0</v>
      </c>
      <c r="AF63" s="801">
        <v>0</v>
      </c>
      <c r="AG63" s="801">
        <v>0</v>
      </c>
      <c r="AH63" s="801">
        <v>0</v>
      </c>
      <c r="AI63" s="801">
        <v>0</v>
      </c>
      <c r="AJ63" s="801">
        <v>0</v>
      </c>
      <c r="AK63" s="801">
        <v>0</v>
      </c>
      <c r="AL63" s="801">
        <v>0</v>
      </c>
      <c r="AM63" s="801">
        <v>0</v>
      </c>
      <c r="AN63" s="801">
        <v>0</v>
      </c>
      <c r="AO63" s="801">
        <v>0</v>
      </c>
      <c r="AP63" s="801">
        <v>0</v>
      </c>
      <c r="AQ63" s="801">
        <v>0</v>
      </c>
      <c r="AR63" s="801">
        <v>0</v>
      </c>
      <c r="AS63" s="801">
        <v>0</v>
      </c>
      <c r="AT63" s="801">
        <v>0</v>
      </c>
      <c r="AU63" s="801">
        <v>0</v>
      </c>
      <c r="AV63" s="801">
        <v>0</v>
      </c>
      <c r="AW63" s="801">
        <v>0</v>
      </c>
      <c r="AX63" s="801">
        <v>0</v>
      </c>
      <c r="AY63" s="801">
        <v>0</v>
      </c>
      <c r="AZ63" s="801">
        <v>0</v>
      </c>
      <c r="BA63" s="801">
        <v>0</v>
      </c>
      <c r="BB63" s="801">
        <v>0</v>
      </c>
      <c r="BC63" s="801">
        <v>0</v>
      </c>
      <c r="BD63" s="801">
        <v>0</v>
      </c>
      <c r="BE63" s="801">
        <v>0</v>
      </c>
      <c r="BF63" s="801">
        <v>0</v>
      </c>
      <c r="BG63" s="801">
        <v>0</v>
      </c>
      <c r="BH63" s="801">
        <v>0</v>
      </c>
      <c r="BI63" s="801">
        <v>0</v>
      </c>
      <c r="BJ63" s="801">
        <v>0</v>
      </c>
      <c r="BK63" s="801">
        <v>0</v>
      </c>
      <c r="BL63" s="801">
        <v>0</v>
      </c>
      <c r="BM63" s="801">
        <v>0</v>
      </c>
      <c r="BN63" s="801">
        <v>0</v>
      </c>
      <c r="BO63" s="801">
        <v>0</v>
      </c>
      <c r="BP63" s="801">
        <v>0</v>
      </c>
      <c r="BQ63" s="828">
        <f>1-SUM(F63:BP63)</f>
        <v>1</v>
      </c>
      <c r="BR63" s="801"/>
      <c r="BS63" s="801"/>
    </row>
    <row r="64" spans="1:120" s="793" customFormat="1" ht="12.9" customHeight="1">
      <c r="A64" s="790"/>
      <c r="B64" s="791" t="str">
        <f>'사업수지표 '!C51</f>
        <v>기타부담금</v>
      </c>
      <c r="C64" s="791"/>
      <c r="D64" s="814">
        <f t="shared" si="50"/>
        <v>1</v>
      </c>
      <c r="E64" s="796"/>
      <c r="F64" s="796"/>
      <c r="G64" s="796"/>
      <c r="H64" s="791"/>
      <c r="I64" s="815">
        <f>IF(I5="착공",50%,IF(I5="준공",50%,))</f>
        <v>0.5</v>
      </c>
      <c r="J64" s="815">
        <f t="shared" ref="J64:AZ64" si="53">IF(J5="착공",50%,IF(J5="준공",50%,))</f>
        <v>0</v>
      </c>
      <c r="K64" s="815">
        <f t="shared" si="53"/>
        <v>0</v>
      </c>
      <c r="L64" s="815">
        <f t="shared" si="53"/>
        <v>0</v>
      </c>
      <c r="M64" s="815">
        <f t="shared" si="53"/>
        <v>0</v>
      </c>
      <c r="N64" s="815">
        <f t="shared" si="53"/>
        <v>0</v>
      </c>
      <c r="O64" s="815">
        <f t="shared" si="53"/>
        <v>0</v>
      </c>
      <c r="P64" s="815">
        <f t="shared" si="53"/>
        <v>0</v>
      </c>
      <c r="Q64" s="815">
        <f t="shared" si="53"/>
        <v>0</v>
      </c>
      <c r="R64" s="815">
        <f t="shared" si="53"/>
        <v>0</v>
      </c>
      <c r="S64" s="815">
        <f t="shared" si="53"/>
        <v>0</v>
      </c>
      <c r="T64" s="815">
        <f t="shared" si="53"/>
        <v>0</v>
      </c>
      <c r="U64" s="815">
        <f t="shared" si="53"/>
        <v>0</v>
      </c>
      <c r="V64" s="815">
        <f t="shared" si="53"/>
        <v>0</v>
      </c>
      <c r="W64" s="815">
        <f t="shared" si="53"/>
        <v>0</v>
      </c>
      <c r="X64" s="815">
        <f t="shared" si="53"/>
        <v>0</v>
      </c>
      <c r="Y64" s="815">
        <f t="shared" si="53"/>
        <v>0</v>
      </c>
      <c r="Z64" s="815">
        <f t="shared" si="53"/>
        <v>0</v>
      </c>
      <c r="AA64" s="815">
        <f t="shared" si="53"/>
        <v>0</v>
      </c>
      <c r="AB64" s="815">
        <f t="shared" si="53"/>
        <v>0</v>
      </c>
      <c r="AC64" s="815">
        <f t="shared" si="53"/>
        <v>0</v>
      </c>
      <c r="AD64" s="815">
        <f t="shared" si="53"/>
        <v>0</v>
      </c>
      <c r="AE64" s="815">
        <f t="shared" si="53"/>
        <v>0</v>
      </c>
      <c r="AF64" s="815">
        <f t="shared" si="53"/>
        <v>0</v>
      </c>
      <c r="AG64" s="815">
        <f t="shared" si="53"/>
        <v>0</v>
      </c>
      <c r="AH64" s="815">
        <f t="shared" si="53"/>
        <v>0</v>
      </c>
      <c r="AI64" s="815">
        <f t="shared" si="53"/>
        <v>0</v>
      </c>
      <c r="AJ64" s="815">
        <f t="shared" si="53"/>
        <v>0</v>
      </c>
      <c r="AK64" s="815">
        <f t="shared" si="53"/>
        <v>0</v>
      </c>
      <c r="AL64" s="815">
        <f t="shared" si="53"/>
        <v>0.5</v>
      </c>
      <c r="AM64" s="815">
        <f t="shared" si="53"/>
        <v>0</v>
      </c>
      <c r="AN64" s="815">
        <f t="shared" si="53"/>
        <v>0</v>
      </c>
      <c r="AO64" s="815">
        <f t="shared" si="53"/>
        <v>0</v>
      </c>
      <c r="AP64" s="815">
        <f t="shared" si="53"/>
        <v>0</v>
      </c>
      <c r="AQ64" s="815">
        <f t="shared" si="53"/>
        <v>0</v>
      </c>
      <c r="AR64" s="815">
        <f t="shared" si="53"/>
        <v>0</v>
      </c>
      <c r="AS64" s="815">
        <f t="shared" si="53"/>
        <v>0</v>
      </c>
      <c r="AT64" s="815">
        <f t="shared" si="53"/>
        <v>0</v>
      </c>
      <c r="AU64" s="815">
        <f t="shared" si="53"/>
        <v>0</v>
      </c>
      <c r="AV64" s="815">
        <f t="shared" si="53"/>
        <v>0</v>
      </c>
      <c r="AW64" s="815">
        <f t="shared" si="53"/>
        <v>0</v>
      </c>
      <c r="AX64" s="815">
        <f t="shared" si="53"/>
        <v>0</v>
      </c>
      <c r="AY64" s="815">
        <f t="shared" si="53"/>
        <v>0</v>
      </c>
      <c r="AZ64" s="815">
        <f t="shared" si="53"/>
        <v>0</v>
      </c>
      <c r="BA64" s="815">
        <f t="shared" ref="BA64:BP64" si="54">IF(BA5="착공",50%,IF(BA5="준공",50%,))</f>
        <v>0</v>
      </c>
      <c r="BB64" s="815">
        <f t="shared" si="54"/>
        <v>0</v>
      </c>
      <c r="BC64" s="815">
        <f t="shared" si="54"/>
        <v>0</v>
      </c>
      <c r="BD64" s="815">
        <f t="shared" si="54"/>
        <v>0</v>
      </c>
      <c r="BE64" s="815">
        <f t="shared" si="54"/>
        <v>0</v>
      </c>
      <c r="BF64" s="815">
        <f t="shared" si="54"/>
        <v>0</v>
      </c>
      <c r="BG64" s="815">
        <f t="shared" si="54"/>
        <v>0</v>
      </c>
      <c r="BH64" s="815">
        <f t="shared" si="54"/>
        <v>0</v>
      </c>
      <c r="BI64" s="815">
        <f t="shared" si="54"/>
        <v>0</v>
      </c>
      <c r="BJ64" s="815">
        <f t="shared" si="54"/>
        <v>0</v>
      </c>
      <c r="BK64" s="815">
        <f t="shared" si="54"/>
        <v>0</v>
      </c>
      <c r="BL64" s="815">
        <f t="shared" si="54"/>
        <v>0</v>
      </c>
      <c r="BM64" s="815">
        <f t="shared" si="54"/>
        <v>0</v>
      </c>
      <c r="BN64" s="815">
        <f t="shared" si="54"/>
        <v>0</v>
      </c>
      <c r="BO64" s="815">
        <f t="shared" si="54"/>
        <v>0</v>
      </c>
      <c r="BP64" s="819">
        <f t="shared" si="54"/>
        <v>0</v>
      </c>
      <c r="BQ64" s="828">
        <f>1-SUM(F64:BP64)</f>
        <v>0</v>
      </c>
      <c r="BR64" s="815"/>
      <c r="BS64" s="815"/>
      <c r="BT64" s="781"/>
      <c r="BU64" s="781"/>
      <c r="BV64" s="781"/>
      <c r="BW64" s="781"/>
      <c r="BX64" s="781"/>
      <c r="BY64" s="781"/>
      <c r="BZ64" s="781"/>
      <c r="CA64" s="781"/>
      <c r="CB64" s="781"/>
      <c r="CC64" s="781"/>
      <c r="CD64" s="781"/>
      <c r="CE64" s="781"/>
      <c r="CF64" s="781"/>
      <c r="CG64" s="781"/>
      <c r="CH64" s="781"/>
      <c r="CI64" s="781"/>
      <c r="CJ64" s="781"/>
      <c r="CK64" s="781"/>
      <c r="CL64" s="781"/>
      <c r="CM64" s="781"/>
      <c r="CN64" s="781"/>
      <c r="CO64" s="781"/>
      <c r="CP64" s="781"/>
      <c r="CQ64" s="781"/>
      <c r="CR64" s="781"/>
      <c r="CS64" s="781"/>
      <c r="CT64" s="781"/>
      <c r="CU64" s="781"/>
      <c r="CV64" s="781"/>
      <c r="CW64" s="781"/>
      <c r="CX64" s="781"/>
      <c r="CY64" s="781"/>
      <c r="CZ64" s="781"/>
      <c r="DA64" s="781"/>
      <c r="DB64" s="781"/>
      <c r="DC64" s="781"/>
      <c r="DD64" s="781"/>
      <c r="DE64" s="781"/>
      <c r="DF64" s="781"/>
      <c r="DG64" s="781"/>
      <c r="DH64" s="781"/>
      <c r="DI64" s="781"/>
      <c r="DJ64" s="781"/>
      <c r="DK64" s="781"/>
      <c r="DL64" s="781"/>
      <c r="DM64" s="781"/>
      <c r="DN64" s="781"/>
      <c r="DO64" s="781"/>
      <c r="DP64" s="781"/>
    </row>
    <row r="65" spans="1:120" s="807" customFormat="1" ht="12.9" customHeight="1">
      <c r="A65" s="804"/>
      <c r="B65" s="805" t="str">
        <f>'사업수지표 '!C52</f>
        <v>소계</v>
      </c>
      <c r="C65" s="805"/>
      <c r="D65" s="826"/>
      <c r="E65" s="809"/>
      <c r="F65" s="809"/>
      <c r="G65" s="809"/>
      <c r="H65" s="805"/>
      <c r="I65" s="822"/>
      <c r="J65" s="822"/>
      <c r="K65" s="822"/>
      <c r="L65" s="822"/>
      <c r="M65" s="822"/>
      <c r="N65" s="822"/>
      <c r="O65" s="822"/>
      <c r="P65" s="822"/>
      <c r="Q65" s="822"/>
      <c r="R65" s="822"/>
      <c r="S65" s="822"/>
      <c r="T65" s="822"/>
      <c r="U65" s="822"/>
      <c r="V65" s="822"/>
      <c r="W65" s="822"/>
      <c r="X65" s="822"/>
      <c r="Y65" s="822"/>
      <c r="Z65" s="822"/>
      <c r="AA65" s="822"/>
      <c r="AB65" s="822"/>
      <c r="AC65" s="822"/>
      <c r="AD65" s="822"/>
      <c r="AE65" s="822"/>
      <c r="AF65" s="822"/>
      <c r="AG65" s="822"/>
      <c r="AH65" s="822"/>
      <c r="AI65" s="822"/>
      <c r="AJ65" s="822"/>
      <c r="AK65" s="822"/>
      <c r="AL65" s="822"/>
      <c r="AM65" s="822"/>
      <c r="AN65" s="822"/>
      <c r="AO65" s="822"/>
      <c r="AP65" s="822"/>
      <c r="AQ65" s="822"/>
      <c r="AR65" s="822"/>
      <c r="AS65" s="822"/>
      <c r="AT65" s="822"/>
      <c r="AU65" s="822"/>
      <c r="AV65" s="822"/>
      <c r="AW65" s="822"/>
      <c r="AX65" s="822"/>
      <c r="AY65" s="822"/>
      <c r="AZ65" s="822"/>
      <c r="BA65" s="822"/>
      <c r="BB65" s="822"/>
      <c r="BC65" s="822"/>
      <c r="BD65" s="822"/>
      <c r="BE65" s="822"/>
      <c r="BF65" s="822"/>
      <c r="BG65" s="822"/>
      <c r="BH65" s="822"/>
      <c r="BI65" s="822"/>
      <c r="BJ65" s="822"/>
      <c r="BK65" s="822"/>
      <c r="BL65" s="822"/>
      <c r="BM65" s="822"/>
      <c r="BN65" s="822"/>
      <c r="BO65" s="822"/>
      <c r="BP65" s="823"/>
      <c r="BQ65" s="822"/>
      <c r="BR65" s="822"/>
      <c r="BS65" s="822"/>
      <c r="BT65" s="781"/>
      <c r="BU65" s="781"/>
      <c r="BV65" s="781"/>
      <c r="BW65" s="781"/>
      <c r="BX65" s="781"/>
      <c r="BY65" s="781"/>
      <c r="BZ65" s="781"/>
      <c r="CA65" s="781"/>
      <c r="CB65" s="781"/>
      <c r="CC65" s="781"/>
      <c r="CD65" s="781"/>
      <c r="CE65" s="781"/>
      <c r="CF65" s="781"/>
      <c r="CG65" s="781"/>
      <c r="CH65" s="781"/>
      <c r="CI65" s="781"/>
      <c r="CJ65" s="781"/>
      <c r="CK65" s="781"/>
      <c r="CL65" s="781"/>
      <c r="CM65" s="781"/>
      <c r="CN65" s="781"/>
      <c r="CO65" s="781"/>
      <c r="CP65" s="781"/>
      <c r="CQ65" s="781"/>
      <c r="CR65" s="781"/>
      <c r="CS65" s="781"/>
      <c r="CT65" s="781"/>
      <c r="CU65" s="781"/>
      <c r="CV65" s="781"/>
      <c r="CW65" s="781"/>
      <c r="CX65" s="781"/>
      <c r="CY65" s="781"/>
      <c r="CZ65" s="781"/>
      <c r="DA65" s="781"/>
      <c r="DB65" s="781"/>
      <c r="DC65" s="781"/>
      <c r="DD65" s="781"/>
      <c r="DE65" s="781"/>
      <c r="DF65" s="781"/>
      <c r="DG65" s="781"/>
      <c r="DH65" s="781"/>
      <c r="DI65" s="781"/>
      <c r="DJ65" s="781"/>
      <c r="DK65" s="781"/>
      <c r="DL65" s="781"/>
      <c r="DM65" s="781"/>
      <c r="DN65" s="781"/>
      <c r="DO65" s="781"/>
      <c r="DP65" s="781"/>
    </row>
    <row r="66" spans="1:120" s="781" customFormat="1" ht="12.9" customHeight="1">
      <c r="A66" s="798"/>
      <c r="B66" s="799" t="str">
        <f>'사업수지표 '!C53</f>
        <v>보존등기비</v>
      </c>
      <c r="C66" s="799"/>
      <c r="D66" s="827">
        <f t="shared" ref="D66:D71" si="55">SUM(E66:BP66)</f>
        <v>0</v>
      </c>
      <c r="E66" s="817"/>
      <c r="F66" s="817"/>
      <c r="G66" s="817"/>
      <c r="H66" s="799"/>
      <c r="I66" s="801"/>
      <c r="J66" s="801"/>
      <c r="K66" s="801"/>
      <c r="L66" s="801"/>
      <c r="M66" s="801"/>
      <c r="N66" s="801"/>
      <c r="O66" s="801"/>
      <c r="P66" s="801"/>
      <c r="Q66" s="801"/>
      <c r="R66" s="801"/>
      <c r="S66" s="801"/>
      <c r="T66" s="801"/>
      <c r="U66" s="801"/>
      <c r="V66" s="801"/>
      <c r="W66" s="801"/>
      <c r="X66" s="801"/>
      <c r="Y66" s="801"/>
      <c r="Z66" s="801"/>
      <c r="AA66" s="801"/>
      <c r="AB66" s="801"/>
      <c r="AC66" s="801"/>
      <c r="AD66" s="801"/>
      <c r="AE66" s="801"/>
      <c r="AF66" s="801"/>
      <c r="AG66" s="801"/>
      <c r="AH66" s="801"/>
      <c r="AI66" s="801"/>
      <c r="AJ66" s="801"/>
      <c r="AK66" s="801"/>
      <c r="AL66" s="801"/>
      <c r="AM66" s="801"/>
      <c r="AN66" s="801"/>
      <c r="AO66" s="801"/>
      <c r="AP66" s="801"/>
      <c r="AQ66" s="801"/>
      <c r="AR66" s="801"/>
      <c r="AS66" s="801"/>
      <c r="AT66" s="801"/>
      <c r="AU66" s="801"/>
      <c r="AV66" s="801"/>
      <c r="AW66" s="801"/>
      <c r="AX66" s="801"/>
      <c r="AY66" s="801"/>
      <c r="AZ66" s="801"/>
      <c r="BA66" s="801"/>
      <c r="BB66" s="801"/>
      <c r="BC66" s="801"/>
      <c r="BD66" s="801"/>
      <c r="BE66" s="801"/>
      <c r="BF66" s="801"/>
      <c r="BG66" s="801"/>
      <c r="BH66" s="801"/>
      <c r="BI66" s="801"/>
      <c r="BJ66" s="801"/>
      <c r="BK66" s="801"/>
      <c r="BL66" s="801"/>
      <c r="BM66" s="801"/>
      <c r="BN66" s="801"/>
      <c r="BO66" s="801"/>
      <c r="BP66" s="825"/>
      <c r="BQ66" s="828">
        <f>1-SUM(F66:BP66)</f>
        <v>1</v>
      </c>
      <c r="BR66" s="801"/>
      <c r="BS66" s="801"/>
    </row>
    <row r="67" spans="1:120" s="793" customFormat="1" ht="12.9" customHeight="1">
      <c r="A67" s="790"/>
      <c r="B67" s="791" t="str">
        <f>'사업수지표 '!C54</f>
        <v>매입부가세</v>
      </c>
      <c r="C67" s="791"/>
      <c r="D67" s="814">
        <f t="shared" si="55"/>
        <v>0</v>
      </c>
      <c r="E67" s="796"/>
      <c r="F67" s="796"/>
      <c r="G67" s="796"/>
      <c r="H67" s="791"/>
      <c r="I67" s="815"/>
      <c r="J67" s="815"/>
      <c r="K67" s="815"/>
      <c r="L67" s="815"/>
      <c r="M67" s="815"/>
      <c r="N67" s="815"/>
      <c r="O67" s="815"/>
      <c r="P67" s="815"/>
      <c r="Q67" s="815"/>
      <c r="R67" s="815"/>
      <c r="S67" s="815"/>
      <c r="T67" s="815"/>
      <c r="U67" s="815"/>
      <c r="V67" s="815"/>
      <c r="W67" s="815"/>
      <c r="X67" s="815"/>
      <c r="Y67" s="815"/>
      <c r="Z67" s="815"/>
      <c r="AA67" s="815"/>
      <c r="AB67" s="815"/>
      <c r="AC67" s="815"/>
      <c r="AD67" s="815"/>
      <c r="AE67" s="815"/>
      <c r="AF67" s="815"/>
      <c r="AG67" s="815"/>
      <c r="AH67" s="815"/>
      <c r="AI67" s="815"/>
      <c r="AJ67" s="815"/>
      <c r="AK67" s="815"/>
      <c r="AL67" s="815"/>
      <c r="AM67" s="815"/>
      <c r="AN67" s="815"/>
      <c r="AO67" s="815"/>
      <c r="AP67" s="815"/>
      <c r="AQ67" s="815"/>
      <c r="AR67" s="815"/>
      <c r="AS67" s="815"/>
      <c r="AT67" s="815"/>
      <c r="AU67" s="815"/>
      <c r="AV67" s="815"/>
      <c r="AW67" s="815"/>
      <c r="AX67" s="815"/>
      <c r="AY67" s="815"/>
      <c r="AZ67" s="815"/>
      <c r="BA67" s="815"/>
      <c r="BB67" s="815"/>
      <c r="BC67" s="815"/>
      <c r="BD67" s="815"/>
      <c r="BE67" s="815"/>
      <c r="BF67" s="815"/>
      <c r="BG67" s="815"/>
      <c r="BH67" s="815"/>
      <c r="BI67" s="815"/>
      <c r="BJ67" s="815"/>
      <c r="BK67" s="815"/>
      <c r="BL67" s="815"/>
      <c r="BM67" s="815"/>
      <c r="BN67" s="815"/>
      <c r="BO67" s="815"/>
      <c r="BP67" s="819"/>
      <c r="BQ67" s="815"/>
      <c r="BR67" s="815"/>
      <c r="BS67" s="815"/>
      <c r="BT67" s="781"/>
      <c r="BU67" s="781"/>
      <c r="BV67" s="781"/>
      <c r="BW67" s="781"/>
      <c r="BX67" s="781"/>
      <c r="BY67" s="781"/>
      <c r="BZ67" s="781"/>
      <c r="CA67" s="781"/>
      <c r="CB67" s="781"/>
      <c r="CC67" s="781"/>
      <c r="CD67" s="781"/>
      <c r="CE67" s="781"/>
      <c r="CF67" s="781"/>
      <c r="CG67" s="781"/>
      <c r="CH67" s="781"/>
      <c r="CI67" s="781"/>
      <c r="CJ67" s="781"/>
      <c r="CK67" s="781"/>
      <c r="CL67" s="781"/>
      <c r="CM67" s="781"/>
      <c r="CN67" s="781"/>
      <c r="CO67" s="781"/>
      <c r="CP67" s="781"/>
      <c r="CQ67" s="781"/>
      <c r="CR67" s="781"/>
      <c r="CS67" s="781"/>
      <c r="CT67" s="781"/>
      <c r="CU67" s="781"/>
      <c r="CV67" s="781"/>
      <c r="CW67" s="781"/>
      <c r="CX67" s="781"/>
      <c r="CY67" s="781"/>
      <c r="CZ67" s="781"/>
      <c r="DA67" s="781"/>
      <c r="DB67" s="781"/>
      <c r="DC67" s="781"/>
      <c r="DD67" s="781"/>
      <c r="DE67" s="781"/>
      <c r="DF67" s="781"/>
      <c r="DG67" s="781"/>
      <c r="DH67" s="781"/>
      <c r="DI67" s="781"/>
      <c r="DJ67" s="781"/>
      <c r="DK67" s="781"/>
      <c r="DL67" s="781"/>
      <c r="DM67" s="781"/>
      <c r="DN67" s="781"/>
      <c r="DO67" s="781"/>
      <c r="DP67" s="781"/>
    </row>
    <row r="68" spans="1:120" s="781" customFormat="1" ht="12.9" customHeight="1">
      <c r="A68" s="798"/>
      <c r="B68" s="799" t="str">
        <f>'사업수지표 '!C55</f>
        <v>부가세납부</v>
      </c>
      <c r="C68" s="799"/>
      <c r="D68" s="824">
        <f t="shared" si="55"/>
        <v>0</v>
      </c>
      <c r="E68" s="817"/>
      <c r="F68" s="817"/>
      <c r="G68" s="817"/>
      <c r="H68" s="799"/>
      <c r="I68" s="801"/>
      <c r="J68" s="801"/>
      <c r="K68" s="801"/>
      <c r="L68" s="801"/>
      <c r="M68" s="801"/>
      <c r="N68" s="801"/>
      <c r="O68" s="801"/>
      <c r="P68" s="801"/>
      <c r="Q68" s="801"/>
      <c r="R68" s="801"/>
      <c r="S68" s="801"/>
      <c r="T68" s="801"/>
      <c r="U68" s="801"/>
      <c r="V68" s="801"/>
      <c r="W68" s="801"/>
      <c r="X68" s="801"/>
      <c r="Y68" s="801"/>
      <c r="Z68" s="801"/>
      <c r="AA68" s="801"/>
      <c r="AB68" s="801"/>
      <c r="AC68" s="801"/>
      <c r="AD68" s="801"/>
      <c r="AE68" s="801"/>
      <c r="AF68" s="801"/>
      <c r="AG68" s="801"/>
      <c r="AH68" s="801"/>
      <c r="AI68" s="801"/>
      <c r="AJ68" s="801"/>
      <c r="AK68" s="801"/>
      <c r="AL68" s="801"/>
      <c r="AM68" s="801"/>
      <c r="AN68" s="801"/>
      <c r="AO68" s="801"/>
      <c r="AP68" s="801"/>
      <c r="AQ68" s="801"/>
      <c r="AR68" s="801"/>
      <c r="AS68" s="801"/>
      <c r="AT68" s="801"/>
      <c r="AU68" s="801"/>
      <c r="AV68" s="801"/>
      <c r="AW68" s="801"/>
      <c r="AX68" s="801"/>
      <c r="AY68" s="801"/>
      <c r="AZ68" s="801"/>
      <c r="BA68" s="801"/>
      <c r="BB68" s="801"/>
      <c r="BC68" s="801"/>
      <c r="BD68" s="801"/>
      <c r="BE68" s="801"/>
      <c r="BF68" s="801"/>
      <c r="BG68" s="801"/>
      <c r="BH68" s="801"/>
      <c r="BI68" s="801"/>
      <c r="BJ68" s="801"/>
      <c r="BK68" s="801"/>
      <c r="BL68" s="801"/>
      <c r="BM68" s="801"/>
      <c r="BN68" s="801"/>
      <c r="BO68" s="801"/>
      <c r="BP68" s="825"/>
      <c r="BQ68" s="801"/>
      <c r="BR68" s="801"/>
      <c r="BS68" s="801"/>
    </row>
    <row r="69" spans="1:120" s="793" customFormat="1" ht="12.9" customHeight="1">
      <c r="A69" s="790"/>
      <c r="B69" s="791" t="str">
        <f>'사업수지표 '!C56</f>
        <v>재산세</v>
      </c>
      <c r="C69" s="791"/>
      <c r="D69" s="814">
        <f t="shared" si="55"/>
        <v>1</v>
      </c>
      <c r="E69" s="796"/>
      <c r="F69" s="796"/>
      <c r="G69" s="796"/>
      <c r="H69" s="791"/>
      <c r="I69" s="828">
        <f>IFERROR(1/$C$137*I138,0)</f>
        <v>0</v>
      </c>
      <c r="J69" s="828">
        <f t="shared" ref="J69:BP69" si="56">IFERROR(1/$C$137*J138,0)</f>
        <v>0</v>
      </c>
      <c r="K69" s="828">
        <f t="shared" si="56"/>
        <v>0</v>
      </c>
      <c r="L69" s="828">
        <f t="shared" si="56"/>
        <v>0</v>
      </c>
      <c r="M69" s="828">
        <f t="shared" si="56"/>
        <v>0</v>
      </c>
      <c r="N69" s="828">
        <f t="shared" si="56"/>
        <v>0</v>
      </c>
      <c r="O69" s="828">
        <f t="shared" si="56"/>
        <v>0</v>
      </c>
      <c r="P69" s="828">
        <f t="shared" si="56"/>
        <v>0</v>
      </c>
      <c r="Q69" s="828">
        <f t="shared" si="56"/>
        <v>0.5</v>
      </c>
      <c r="R69" s="828">
        <f t="shared" si="56"/>
        <v>0</v>
      </c>
      <c r="S69" s="828">
        <f t="shared" si="56"/>
        <v>0</v>
      </c>
      <c r="T69" s="828">
        <f t="shared" si="56"/>
        <v>0</v>
      </c>
      <c r="U69" s="828">
        <f t="shared" si="56"/>
        <v>0</v>
      </c>
      <c r="V69" s="828">
        <f t="shared" si="56"/>
        <v>0</v>
      </c>
      <c r="W69" s="828">
        <f t="shared" si="56"/>
        <v>0</v>
      </c>
      <c r="X69" s="828">
        <f t="shared" si="56"/>
        <v>0</v>
      </c>
      <c r="Y69" s="828">
        <f t="shared" si="56"/>
        <v>0</v>
      </c>
      <c r="Z69" s="828">
        <f t="shared" si="56"/>
        <v>0</v>
      </c>
      <c r="AA69" s="828">
        <f t="shared" si="56"/>
        <v>0</v>
      </c>
      <c r="AB69" s="828">
        <f t="shared" si="56"/>
        <v>0</v>
      </c>
      <c r="AC69" s="828">
        <f t="shared" si="56"/>
        <v>0.5</v>
      </c>
      <c r="AD69" s="828">
        <f t="shared" si="56"/>
        <v>0</v>
      </c>
      <c r="AE69" s="828">
        <f t="shared" si="56"/>
        <v>0</v>
      </c>
      <c r="AF69" s="828">
        <f t="shared" si="56"/>
        <v>0</v>
      </c>
      <c r="AG69" s="828">
        <f t="shared" si="56"/>
        <v>0</v>
      </c>
      <c r="AH69" s="828">
        <f t="shared" si="56"/>
        <v>0</v>
      </c>
      <c r="AI69" s="828">
        <f t="shared" si="56"/>
        <v>0</v>
      </c>
      <c r="AJ69" s="828">
        <f t="shared" si="56"/>
        <v>0</v>
      </c>
      <c r="AK69" s="828">
        <f t="shared" si="56"/>
        <v>0</v>
      </c>
      <c r="AL69" s="828">
        <f t="shared" si="56"/>
        <v>0</v>
      </c>
      <c r="AM69" s="828">
        <f t="shared" si="56"/>
        <v>0</v>
      </c>
      <c r="AN69" s="828">
        <f t="shared" si="56"/>
        <v>0</v>
      </c>
      <c r="AO69" s="828">
        <f t="shared" si="56"/>
        <v>0</v>
      </c>
      <c r="AP69" s="828">
        <f t="shared" si="56"/>
        <v>0</v>
      </c>
      <c r="AQ69" s="828">
        <f t="shared" si="56"/>
        <v>0</v>
      </c>
      <c r="AR69" s="828">
        <f t="shared" si="56"/>
        <v>0</v>
      </c>
      <c r="AS69" s="828">
        <f t="shared" si="56"/>
        <v>0</v>
      </c>
      <c r="AT69" s="828">
        <f t="shared" si="56"/>
        <v>0</v>
      </c>
      <c r="AU69" s="828">
        <f t="shared" si="56"/>
        <v>0</v>
      </c>
      <c r="AV69" s="828">
        <f t="shared" si="56"/>
        <v>0</v>
      </c>
      <c r="AW69" s="828">
        <f t="shared" si="56"/>
        <v>0</v>
      </c>
      <c r="AX69" s="828">
        <f t="shared" si="56"/>
        <v>0</v>
      </c>
      <c r="AY69" s="828">
        <f t="shared" si="56"/>
        <v>0</v>
      </c>
      <c r="AZ69" s="828">
        <f t="shared" si="56"/>
        <v>0</v>
      </c>
      <c r="BA69" s="828">
        <f t="shared" si="56"/>
        <v>0</v>
      </c>
      <c r="BB69" s="828">
        <f t="shared" si="56"/>
        <v>0</v>
      </c>
      <c r="BC69" s="828">
        <f t="shared" si="56"/>
        <v>0</v>
      </c>
      <c r="BD69" s="828">
        <f t="shared" si="56"/>
        <v>0</v>
      </c>
      <c r="BE69" s="828">
        <f t="shared" si="56"/>
        <v>0</v>
      </c>
      <c r="BF69" s="828">
        <f t="shared" si="56"/>
        <v>0</v>
      </c>
      <c r="BG69" s="828">
        <f t="shared" si="56"/>
        <v>0</v>
      </c>
      <c r="BH69" s="828">
        <f t="shared" si="56"/>
        <v>0</v>
      </c>
      <c r="BI69" s="828">
        <f t="shared" si="56"/>
        <v>0</v>
      </c>
      <c r="BJ69" s="828">
        <f t="shared" si="56"/>
        <v>0</v>
      </c>
      <c r="BK69" s="828">
        <f t="shared" si="56"/>
        <v>0</v>
      </c>
      <c r="BL69" s="828">
        <f t="shared" si="56"/>
        <v>0</v>
      </c>
      <c r="BM69" s="828">
        <f t="shared" si="56"/>
        <v>0</v>
      </c>
      <c r="BN69" s="828">
        <f t="shared" si="56"/>
        <v>0</v>
      </c>
      <c r="BO69" s="828">
        <f t="shared" si="56"/>
        <v>0</v>
      </c>
      <c r="BP69" s="828">
        <f t="shared" si="56"/>
        <v>0</v>
      </c>
      <c r="BQ69" s="828">
        <f>1-SUM(F69:BP69)</f>
        <v>0</v>
      </c>
      <c r="BR69" s="828"/>
      <c r="BS69" s="828"/>
      <c r="BT69" s="781"/>
      <c r="BU69" s="781"/>
      <c r="BV69" s="781"/>
      <c r="BW69" s="781"/>
      <c r="BX69" s="781"/>
      <c r="BY69" s="781"/>
      <c r="BZ69" s="781"/>
      <c r="CA69" s="781"/>
      <c r="CB69" s="781"/>
      <c r="CC69" s="781"/>
      <c r="CD69" s="781"/>
      <c r="CE69" s="781"/>
      <c r="CF69" s="781"/>
      <c r="CG69" s="781"/>
      <c r="CH69" s="781"/>
      <c r="CI69" s="781"/>
      <c r="CJ69" s="781"/>
      <c r="CK69" s="781"/>
      <c r="CL69" s="781"/>
      <c r="CM69" s="781"/>
      <c r="CN69" s="781"/>
      <c r="CO69" s="781"/>
      <c r="CP69" s="781"/>
      <c r="CQ69" s="781"/>
      <c r="CR69" s="781"/>
      <c r="CS69" s="781"/>
      <c r="CT69" s="781"/>
      <c r="CU69" s="781"/>
      <c r="CV69" s="781"/>
      <c r="CW69" s="781"/>
      <c r="CX69" s="781"/>
      <c r="CY69" s="781"/>
      <c r="CZ69" s="781"/>
      <c r="DA69" s="781"/>
      <c r="DB69" s="781"/>
      <c r="DC69" s="781"/>
      <c r="DD69" s="781"/>
      <c r="DE69" s="781"/>
      <c r="DF69" s="781"/>
      <c r="DG69" s="781"/>
      <c r="DH69" s="781"/>
      <c r="DI69" s="781"/>
      <c r="DJ69" s="781"/>
      <c r="DK69" s="781"/>
      <c r="DL69" s="781"/>
      <c r="DM69" s="781"/>
      <c r="DN69" s="781"/>
      <c r="DO69" s="781"/>
      <c r="DP69" s="781"/>
    </row>
    <row r="70" spans="1:120" s="781" customFormat="1" ht="12.9" customHeight="1">
      <c r="A70" s="798"/>
      <c r="B70" s="799" t="str">
        <f>'사업수지표 '!C57</f>
        <v>종부세</v>
      </c>
      <c r="C70" s="799"/>
      <c r="D70" s="824">
        <f t="shared" si="55"/>
        <v>1</v>
      </c>
      <c r="E70" s="817"/>
      <c r="F70" s="817"/>
      <c r="G70" s="817"/>
      <c r="H70" s="799"/>
      <c r="I70" s="829">
        <f>IFERROR(1/$C$141*I141,)</f>
        <v>0</v>
      </c>
      <c r="J70" s="829">
        <f t="shared" ref="J70:BP70" si="57">IFERROR(1/$C$141*J141,)</f>
        <v>0</v>
      </c>
      <c r="K70" s="829">
        <f t="shared" si="57"/>
        <v>0</v>
      </c>
      <c r="L70" s="829">
        <f t="shared" si="57"/>
        <v>0</v>
      </c>
      <c r="M70" s="829">
        <f t="shared" si="57"/>
        <v>0</v>
      </c>
      <c r="N70" s="829">
        <f t="shared" si="57"/>
        <v>0</v>
      </c>
      <c r="O70" s="829">
        <f t="shared" si="57"/>
        <v>0</v>
      </c>
      <c r="P70" s="829">
        <f t="shared" si="57"/>
        <v>0</v>
      </c>
      <c r="Q70" s="829">
        <f t="shared" si="57"/>
        <v>0</v>
      </c>
      <c r="R70" s="829">
        <f t="shared" si="57"/>
        <v>0</v>
      </c>
      <c r="S70" s="829">
        <f t="shared" si="57"/>
        <v>0.5</v>
      </c>
      <c r="T70" s="829">
        <f t="shared" si="57"/>
        <v>0</v>
      </c>
      <c r="U70" s="829">
        <f t="shared" si="57"/>
        <v>0</v>
      </c>
      <c r="V70" s="829">
        <f t="shared" si="57"/>
        <v>0</v>
      </c>
      <c r="W70" s="829">
        <f t="shared" si="57"/>
        <v>0</v>
      </c>
      <c r="X70" s="829">
        <f t="shared" si="57"/>
        <v>0</v>
      </c>
      <c r="Y70" s="829">
        <f t="shared" si="57"/>
        <v>0</v>
      </c>
      <c r="Z70" s="829">
        <f t="shared" si="57"/>
        <v>0</v>
      </c>
      <c r="AA70" s="829">
        <f t="shared" si="57"/>
        <v>0</v>
      </c>
      <c r="AB70" s="829">
        <f t="shared" si="57"/>
        <v>0</v>
      </c>
      <c r="AC70" s="829">
        <f t="shared" si="57"/>
        <v>0</v>
      </c>
      <c r="AD70" s="829">
        <f t="shared" si="57"/>
        <v>0</v>
      </c>
      <c r="AE70" s="829">
        <f t="shared" si="57"/>
        <v>0.5</v>
      </c>
      <c r="AF70" s="829">
        <f t="shared" si="57"/>
        <v>0</v>
      </c>
      <c r="AG70" s="829">
        <f t="shared" si="57"/>
        <v>0</v>
      </c>
      <c r="AH70" s="829">
        <f t="shared" si="57"/>
        <v>0</v>
      </c>
      <c r="AI70" s="829">
        <f t="shared" si="57"/>
        <v>0</v>
      </c>
      <c r="AJ70" s="829">
        <f t="shared" si="57"/>
        <v>0</v>
      </c>
      <c r="AK70" s="829">
        <f t="shared" si="57"/>
        <v>0</v>
      </c>
      <c r="AL70" s="829">
        <f t="shared" si="57"/>
        <v>0</v>
      </c>
      <c r="AM70" s="829">
        <f t="shared" si="57"/>
        <v>0</v>
      </c>
      <c r="AN70" s="829">
        <f t="shared" si="57"/>
        <v>0</v>
      </c>
      <c r="AO70" s="829">
        <f t="shared" si="57"/>
        <v>0</v>
      </c>
      <c r="AP70" s="829">
        <f t="shared" si="57"/>
        <v>0</v>
      </c>
      <c r="AQ70" s="829">
        <f t="shared" si="57"/>
        <v>0</v>
      </c>
      <c r="AR70" s="829">
        <f t="shared" si="57"/>
        <v>0</v>
      </c>
      <c r="AS70" s="829">
        <f t="shared" si="57"/>
        <v>0</v>
      </c>
      <c r="AT70" s="829">
        <f t="shared" si="57"/>
        <v>0</v>
      </c>
      <c r="AU70" s="829">
        <f t="shared" si="57"/>
        <v>0</v>
      </c>
      <c r="AV70" s="829">
        <f t="shared" si="57"/>
        <v>0</v>
      </c>
      <c r="AW70" s="829">
        <f t="shared" si="57"/>
        <v>0</v>
      </c>
      <c r="AX70" s="829">
        <f t="shared" si="57"/>
        <v>0</v>
      </c>
      <c r="AY70" s="829">
        <f t="shared" si="57"/>
        <v>0</v>
      </c>
      <c r="AZ70" s="829">
        <f t="shared" si="57"/>
        <v>0</v>
      </c>
      <c r="BA70" s="829">
        <f t="shared" si="57"/>
        <v>0</v>
      </c>
      <c r="BB70" s="829">
        <f t="shared" si="57"/>
        <v>0</v>
      </c>
      <c r="BC70" s="829">
        <f t="shared" si="57"/>
        <v>0</v>
      </c>
      <c r="BD70" s="829">
        <f t="shared" si="57"/>
        <v>0</v>
      </c>
      <c r="BE70" s="829">
        <f t="shared" si="57"/>
        <v>0</v>
      </c>
      <c r="BF70" s="829">
        <f t="shared" si="57"/>
        <v>0</v>
      </c>
      <c r="BG70" s="829">
        <f t="shared" si="57"/>
        <v>0</v>
      </c>
      <c r="BH70" s="829">
        <f t="shared" si="57"/>
        <v>0</v>
      </c>
      <c r="BI70" s="829">
        <f t="shared" si="57"/>
        <v>0</v>
      </c>
      <c r="BJ70" s="829">
        <f t="shared" si="57"/>
        <v>0</v>
      </c>
      <c r="BK70" s="829">
        <f t="shared" si="57"/>
        <v>0</v>
      </c>
      <c r="BL70" s="829">
        <f t="shared" si="57"/>
        <v>0</v>
      </c>
      <c r="BM70" s="829">
        <f t="shared" si="57"/>
        <v>0</v>
      </c>
      <c r="BN70" s="829">
        <f t="shared" si="57"/>
        <v>0</v>
      </c>
      <c r="BO70" s="829">
        <f t="shared" si="57"/>
        <v>0</v>
      </c>
      <c r="BP70" s="829">
        <f t="shared" si="57"/>
        <v>0</v>
      </c>
      <c r="BQ70" s="828">
        <f>1-SUM(F70:BP70)</f>
        <v>0</v>
      </c>
      <c r="BR70" s="829"/>
      <c r="BS70" s="829"/>
    </row>
    <row r="71" spans="1:120" s="781" customFormat="1" ht="12.9" customHeight="1">
      <c r="A71" s="798"/>
      <c r="B71" s="799" t="str">
        <f>'사업수지표 '!C58</f>
        <v>기타비용</v>
      </c>
      <c r="C71" s="799"/>
      <c r="D71" s="824">
        <f t="shared" si="55"/>
        <v>1</v>
      </c>
      <c r="E71" s="817"/>
      <c r="F71" s="817"/>
      <c r="G71" s="817"/>
      <c r="H71" s="799"/>
      <c r="I71" s="801">
        <v>0.5</v>
      </c>
      <c r="J71" s="801"/>
      <c r="K71" s="801"/>
      <c r="L71" s="801"/>
      <c r="M71" s="801"/>
      <c r="N71" s="801">
        <v>0.5</v>
      </c>
      <c r="O71" s="801"/>
      <c r="P71" s="801"/>
      <c r="Q71" s="801"/>
      <c r="R71" s="801"/>
      <c r="S71" s="801"/>
      <c r="T71" s="801"/>
      <c r="U71" s="801"/>
      <c r="V71" s="801"/>
      <c r="W71" s="801"/>
      <c r="X71" s="801"/>
      <c r="Y71" s="801"/>
      <c r="Z71" s="801"/>
      <c r="AA71" s="801"/>
      <c r="AB71" s="801"/>
      <c r="AC71" s="801"/>
      <c r="AD71" s="801"/>
      <c r="AE71" s="801"/>
      <c r="AF71" s="801"/>
      <c r="AG71" s="801"/>
      <c r="AH71" s="801"/>
      <c r="AI71" s="801"/>
      <c r="AJ71" s="801"/>
      <c r="AK71" s="801"/>
      <c r="AL71" s="801"/>
      <c r="AM71" s="801"/>
      <c r="AN71" s="801"/>
      <c r="AO71" s="801"/>
      <c r="AP71" s="801"/>
      <c r="AQ71" s="801"/>
      <c r="AR71" s="801"/>
      <c r="AS71" s="801"/>
      <c r="AT71" s="801"/>
      <c r="AU71" s="801"/>
      <c r="AV71" s="801"/>
      <c r="AW71" s="801"/>
      <c r="AX71" s="801"/>
      <c r="AY71" s="801"/>
      <c r="AZ71" s="801"/>
      <c r="BA71" s="801"/>
      <c r="BB71" s="801"/>
      <c r="BC71" s="801"/>
      <c r="BD71" s="801"/>
      <c r="BE71" s="801"/>
      <c r="BF71" s="801"/>
      <c r="BG71" s="801"/>
      <c r="BH71" s="801"/>
      <c r="BI71" s="801"/>
      <c r="BJ71" s="801"/>
      <c r="BK71" s="801"/>
      <c r="BL71" s="801"/>
      <c r="BM71" s="801"/>
      <c r="BN71" s="801"/>
      <c r="BO71" s="801"/>
      <c r="BP71" s="825"/>
      <c r="BQ71" s="801"/>
      <c r="BR71" s="801"/>
      <c r="BS71" s="801"/>
    </row>
    <row r="72" spans="1:120" s="781" customFormat="1" ht="12.9" customHeight="1">
      <c r="A72" s="798"/>
      <c r="B72" s="799">
        <f>'사업수지표 '!C59</f>
        <v>0</v>
      </c>
      <c r="C72" s="799"/>
      <c r="D72" s="827"/>
      <c r="E72" s="817"/>
      <c r="F72" s="817"/>
      <c r="G72" s="817"/>
      <c r="H72" s="799"/>
      <c r="I72" s="801"/>
      <c r="J72" s="801"/>
      <c r="K72" s="801"/>
      <c r="L72" s="801"/>
      <c r="M72" s="801"/>
      <c r="N72" s="801"/>
      <c r="O72" s="801"/>
      <c r="P72" s="801"/>
      <c r="Q72" s="801"/>
      <c r="R72" s="801"/>
      <c r="S72" s="801"/>
      <c r="T72" s="801"/>
      <c r="U72" s="801"/>
      <c r="V72" s="801"/>
      <c r="W72" s="801"/>
      <c r="X72" s="801"/>
      <c r="Y72" s="801"/>
      <c r="Z72" s="801"/>
      <c r="AA72" s="801"/>
      <c r="AB72" s="801"/>
      <c r="AC72" s="801"/>
      <c r="AD72" s="801"/>
      <c r="AE72" s="801"/>
      <c r="AF72" s="801"/>
      <c r="AG72" s="801"/>
      <c r="AH72" s="801"/>
      <c r="AI72" s="801"/>
      <c r="AJ72" s="801"/>
      <c r="AK72" s="801"/>
      <c r="AL72" s="801"/>
      <c r="AM72" s="801"/>
      <c r="AN72" s="801"/>
      <c r="AO72" s="801"/>
      <c r="AP72" s="801"/>
      <c r="AQ72" s="801"/>
      <c r="AR72" s="801"/>
      <c r="AS72" s="801"/>
      <c r="AT72" s="801"/>
      <c r="AU72" s="801"/>
      <c r="AV72" s="801"/>
      <c r="AW72" s="801"/>
      <c r="AX72" s="801"/>
      <c r="AY72" s="801"/>
      <c r="AZ72" s="801"/>
      <c r="BA72" s="801"/>
      <c r="BB72" s="801"/>
      <c r="BC72" s="801"/>
      <c r="BD72" s="801"/>
      <c r="BE72" s="801"/>
      <c r="BF72" s="801"/>
      <c r="BG72" s="801"/>
      <c r="BH72" s="801"/>
      <c r="BI72" s="801"/>
      <c r="BJ72" s="801"/>
      <c r="BK72" s="801"/>
      <c r="BL72" s="801"/>
      <c r="BM72" s="801"/>
      <c r="BN72" s="801"/>
      <c r="BO72" s="801"/>
      <c r="BP72" s="825"/>
      <c r="BQ72" s="801"/>
      <c r="BR72" s="801"/>
      <c r="BS72" s="801"/>
    </row>
    <row r="73" spans="1:120" s="807" customFormat="1" ht="12.9" customHeight="1">
      <c r="A73" s="804"/>
      <c r="B73" s="805" t="str">
        <f>'사업수지표 '!C60</f>
        <v>소계</v>
      </c>
      <c r="C73" s="805"/>
      <c r="D73" s="826"/>
      <c r="E73" s="809"/>
      <c r="F73" s="809"/>
      <c r="G73" s="809"/>
      <c r="H73" s="805"/>
      <c r="I73" s="822"/>
      <c r="J73" s="822"/>
      <c r="K73" s="822"/>
      <c r="L73" s="822"/>
      <c r="M73" s="822"/>
      <c r="N73" s="822"/>
      <c r="O73" s="822"/>
      <c r="P73" s="822"/>
      <c r="Q73" s="822"/>
      <c r="R73" s="822"/>
      <c r="S73" s="822"/>
      <c r="T73" s="822"/>
      <c r="U73" s="822"/>
      <c r="V73" s="822"/>
      <c r="W73" s="822"/>
      <c r="X73" s="822"/>
      <c r="Y73" s="822"/>
      <c r="Z73" s="822"/>
      <c r="AA73" s="822"/>
      <c r="AB73" s="822"/>
      <c r="AC73" s="822"/>
      <c r="AD73" s="822"/>
      <c r="AE73" s="822"/>
      <c r="AF73" s="822"/>
      <c r="AG73" s="822"/>
      <c r="AH73" s="822"/>
      <c r="AI73" s="822"/>
      <c r="AJ73" s="822"/>
      <c r="AK73" s="822"/>
      <c r="AL73" s="822"/>
      <c r="AM73" s="822"/>
      <c r="AN73" s="822"/>
      <c r="AO73" s="822"/>
      <c r="AP73" s="822"/>
      <c r="AQ73" s="822"/>
      <c r="AR73" s="822"/>
      <c r="AS73" s="822"/>
      <c r="AT73" s="822"/>
      <c r="AU73" s="822"/>
      <c r="AV73" s="822"/>
      <c r="AW73" s="822"/>
      <c r="AX73" s="822"/>
      <c r="AY73" s="822"/>
      <c r="AZ73" s="822"/>
      <c r="BA73" s="822"/>
      <c r="BB73" s="822"/>
      <c r="BC73" s="822"/>
      <c r="BD73" s="822"/>
      <c r="BE73" s="822"/>
      <c r="BF73" s="822"/>
      <c r="BG73" s="822"/>
      <c r="BH73" s="822"/>
      <c r="BI73" s="822"/>
      <c r="BJ73" s="822"/>
      <c r="BK73" s="822"/>
      <c r="BL73" s="822"/>
      <c r="BM73" s="822"/>
      <c r="BN73" s="822"/>
      <c r="BO73" s="822"/>
      <c r="BP73" s="823"/>
      <c r="BQ73" s="822"/>
      <c r="BR73" s="822"/>
      <c r="BS73" s="822"/>
      <c r="BT73" s="781"/>
      <c r="BU73" s="781"/>
      <c r="BV73" s="781"/>
      <c r="BW73" s="781"/>
      <c r="BX73" s="781"/>
      <c r="BY73" s="781"/>
      <c r="BZ73" s="781"/>
      <c r="CA73" s="781"/>
      <c r="CB73" s="781"/>
      <c r="CC73" s="781"/>
      <c r="CD73" s="781"/>
      <c r="CE73" s="781"/>
      <c r="CF73" s="781"/>
      <c r="CG73" s="781"/>
      <c r="CH73" s="781"/>
      <c r="CI73" s="781"/>
      <c r="CJ73" s="781"/>
      <c r="CK73" s="781"/>
      <c r="CL73" s="781"/>
      <c r="CM73" s="781"/>
      <c r="CN73" s="781"/>
      <c r="CO73" s="781"/>
      <c r="CP73" s="781"/>
      <c r="CQ73" s="781"/>
      <c r="CR73" s="781"/>
      <c r="CS73" s="781"/>
      <c r="CT73" s="781"/>
      <c r="CU73" s="781"/>
      <c r="CV73" s="781"/>
      <c r="CW73" s="781"/>
      <c r="CX73" s="781"/>
      <c r="CY73" s="781"/>
      <c r="CZ73" s="781"/>
      <c r="DA73" s="781"/>
      <c r="DB73" s="781"/>
      <c r="DC73" s="781"/>
      <c r="DD73" s="781"/>
      <c r="DE73" s="781"/>
      <c r="DF73" s="781"/>
      <c r="DG73" s="781"/>
      <c r="DH73" s="781"/>
      <c r="DI73" s="781"/>
      <c r="DJ73" s="781"/>
      <c r="DK73" s="781"/>
      <c r="DL73" s="781"/>
      <c r="DM73" s="781"/>
      <c r="DN73" s="781"/>
      <c r="DO73" s="781"/>
      <c r="DP73" s="781"/>
    </row>
    <row r="74" spans="1:120" s="781" customFormat="1" ht="12.9" customHeight="1">
      <c r="A74" s="798"/>
      <c r="B74" s="799" t="str">
        <f>'사업수지표 '!C61</f>
        <v>M/H설치비</v>
      </c>
      <c r="C74" s="799"/>
      <c r="D74" s="824">
        <f t="shared" ref="D74:D85" si="58">SUM(E74:BP74)</f>
        <v>1</v>
      </c>
      <c r="E74" s="817"/>
      <c r="F74" s="817"/>
      <c r="G74" s="801"/>
      <c r="H74" s="799"/>
      <c r="I74" s="801">
        <f>IF(I5="착공",50%,IF(I4=Equity!$G$27,50%,))</f>
        <v>0.5</v>
      </c>
      <c r="J74" s="801">
        <f>IF(J5="착공",50%,IF(J4=Equity!$G$27,50%,))</f>
        <v>0</v>
      </c>
      <c r="K74" s="801">
        <v>0</v>
      </c>
      <c r="L74" s="801">
        <f>IF(L5="착공",50%,IF(L4=Equity!$G$27,50%,))</f>
        <v>0.5</v>
      </c>
      <c r="M74" s="801">
        <f>IF(M5="착공",50%,IF(M4=Equity!$G$27,50%,))</f>
        <v>0</v>
      </c>
      <c r="N74" s="801">
        <f>IF(N5="착공",50%,IF(N4=Equity!$G$27,50%,))</f>
        <v>0</v>
      </c>
      <c r="O74" s="801">
        <f>IF(O5="착공",50%,IF(O4=Equity!$G$27,50%,))</f>
        <v>0</v>
      </c>
      <c r="P74" s="801">
        <f>IF(P5="착공",50%,IF(P4=Equity!$G$27,50%,))</f>
        <v>0</v>
      </c>
      <c r="Q74" s="801">
        <f>IF(Q5="착공",50%,IF(Q4=Equity!$G$27,50%,))</f>
        <v>0</v>
      </c>
      <c r="R74" s="801">
        <f>IF(R5="착공",50%,IF(R4=Equity!$G$27,50%,))</f>
        <v>0</v>
      </c>
      <c r="S74" s="801">
        <f>IF(S5="착공",50%,IF(S4=Equity!$G$27,50%,))</f>
        <v>0</v>
      </c>
      <c r="T74" s="801">
        <f>IF(T5="착공",50%,IF(T4=Equity!$G$27,50%,))</f>
        <v>0</v>
      </c>
      <c r="U74" s="801">
        <f>IF(U5="착공",50%,IF(U4=Equity!$G$27,50%,))</f>
        <v>0</v>
      </c>
      <c r="V74" s="801">
        <f>IF(V5="착공",50%,IF(V4=Equity!$G$27,50%,))</f>
        <v>0</v>
      </c>
      <c r="W74" s="801">
        <f>IF(W5="착공",50%,IF(W4=Equity!$G$27,50%,))</f>
        <v>0</v>
      </c>
      <c r="X74" s="801">
        <f>IF(X5="착공",50%,IF(X4=Equity!$G$27,50%,))</f>
        <v>0</v>
      </c>
      <c r="Y74" s="801">
        <f>IF(Y5="착공",50%,IF(Y4=Equity!$G$27,50%,))</f>
        <v>0</v>
      </c>
      <c r="Z74" s="801">
        <f>IF(Z5="착공",50%,IF(Z4=Equity!$G$27,50%,))</f>
        <v>0</v>
      </c>
      <c r="AA74" s="801">
        <f>IF(AA5="착공",50%,IF(AA4=Equity!$G$27,50%,))</f>
        <v>0</v>
      </c>
      <c r="AB74" s="801">
        <f>IF(AB5="착공",50%,IF(AB4=Equity!$G$27,50%,))</f>
        <v>0</v>
      </c>
      <c r="AC74" s="801">
        <f>IF(AC5="착공",50%,IF(AC4=Equity!$G$27,50%,))</f>
        <v>0</v>
      </c>
      <c r="AD74" s="801">
        <f>IF(AD5="착공",50%,IF(AD4=Equity!$G$27,50%,))</f>
        <v>0</v>
      </c>
      <c r="AE74" s="801">
        <f>IF(AE5="착공",50%,IF(AE4=Equity!$G$27,50%,))</f>
        <v>0</v>
      </c>
      <c r="AF74" s="801">
        <f>IF(AF5="착공",50%,IF(AF4=Equity!$G$27,50%,))</f>
        <v>0</v>
      </c>
      <c r="AG74" s="801">
        <f>IF(AG5="착공",50%,IF(AG4=Equity!$G$27,50%,))</f>
        <v>0</v>
      </c>
      <c r="AH74" s="801">
        <f>IF(AH5="착공",50%,IF(AH4=Equity!$G$27,50%,))</f>
        <v>0</v>
      </c>
      <c r="AI74" s="801">
        <f>IF(AI5="착공",50%,IF(AI4=Equity!$G$27,50%,))</f>
        <v>0</v>
      </c>
      <c r="AJ74" s="801">
        <f>IF(AJ5="착공",50%,IF(AJ4=Equity!$G$27,50%,))</f>
        <v>0</v>
      </c>
      <c r="AK74" s="801">
        <f>IF(AK5="착공",50%,IF(AK4=Equity!$G$27,50%,))</f>
        <v>0</v>
      </c>
      <c r="AL74" s="801">
        <f>IF(AL5="착공",50%,IF(AL4=Equity!$G$27,50%,))</f>
        <v>0</v>
      </c>
      <c r="AM74" s="801">
        <f>IF(AM5="착공",50%,IF(AM4=Equity!$G$27,50%,))</f>
        <v>0</v>
      </c>
      <c r="AN74" s="801">
        <f>IF(AN5="착공",50%,IF(AN4=Equity!$G$27,50%,))</f>
        <v>0</v>
      </c>
      <c r="AO74" s="801">
        <f>IF(AO5="착공",50%,IF(AO4=Equity!$G$27,50%,))</f>
        <v>0</v>
      </c>
      <c r="AP74" s="801">
        <f>IF(AP5="착공",50%,IF(AP4=Equity!$G$27,50%,))</f>
        <v>0</v>
      </c>
      <c r="AQ74" s="801">
        <f>IF(AQ5="착공",50%,IF(AQ4=Equity!$G$27,50%,))</f>
        <v>0</v>
      </c>
      <c r="AR74" s="801">
        <f>IF(AR5="착공",50%,IF(AR4=Equity!$G$27,50%,))</f>
        <v>0</v>
      </c>
      <c r="AS74" s="801">
        <f>IF(AS5="착공",50%,IF(AS4=Equity!$G$27,50%,))</f>
        <v>0</v>
      </c>
      <c r="AT74" s="801">
        <f>IF(AT5="착공",50%,IF(AT4=Equity!$G$27,50%,))</f>
        <v>0</v>
      </c>
      <c r="AU74" s="801">
        <f>IF(AU5="착공",50%,IF(AU4=Equity!$G$27,50%,))</f>
        <v>0</v>
      </c>
      <c r="AV74" s="801">
        <f>IF(AV5="착공",50%,IF(AV4=Equity!$G$27,50%,))</f>
        <v>0</v>
      </c>
      <c r="AW74" s="801">
        <f>IF(AW5="착공",50%,IF(AW4=Equity!$G$27,50%,))</f>
        <v>0</v>
      </c>
      <c r="AX74" s="801">
        <f>IF(AX5="착공",50%,IF(AX4=Equity!$G$27,50%,))</f>
        <v>0</v>
      </c>
      <c r="AY74" s="801">
        <f>IF(AY5="착공",50%,IF(AY4=Equity!$G$27,50%,))</f>
        <v>0</v>
      </c>
      <c r="AZ74" s="801">
        <f>IF(AZ5="착공",50%,IF(AZ4=Equity!$G$27,50%,))</f>
        <v>0</v>
      </c>
      <c r="BA74" s="801">
        <f>IF(BA5="착공",50%,IF(BA4=Equity!$G$27,50%,))</f>
        <v>0</v>
      </c>
      <c r="BB74" s="801">
        <f>IF(BB5="착공",50%,IF(BB4=Equity!$G$27,50%,))</f>
        <v>0</v>
      </c>
      <c r="BC74" s="801">
        <f>IF(BC5="착공",50%,IF(BC4=Equity!$G$27,50%,))</f>
        <v>0</v>
      </c>
      <c r="BD74" s="801">
        <f>IF(BD5="착공",50%,IF(BD4=Equity!$G$27,50%,))</f>
        <v>0</v>
      </c>
      <c r="BE74" s="801">
        <f>IF(BE5="착공",50%,IF(BE4=Equity!$G$27,50%,))</f>
        <v>0</v>
      </c>
      <c r="BF74" s="801">
        <f>IF(BF5="착공",50%,IF(BF4=Equity!$G$27,50%,))</f>
        <v>0</v>
      </c>
      <c r="BG74" s="801">
        <f>IF(BG5="착공",50%,IF(BG4=Equity!$G$27,50%,))</f>
        <v>0</v>
      </c>
      <c r="BH74" s="801">
        <f>IF(BH5="착공",50%,IF(BH4=Equity!$G$27,50%,))</f>
        <v>0</v>
      </c>
      <c r="BI74" s="801">
        <f>IF(BI5="착공",50%,IF(BI4=Equity!$G$27,50%,))</f>
        <v>0</v>
      </c>
      <c r="BJ74" s="801">
        <f>IF(BJ5="착공",50%,IF(BJ4=Equity!$G$27,50%,))</f>
        <v>0</v>
      </c>
      <c r="BK74" s="801">
        <f>IF(BK5="착공",50%,IF(BK4=Equity!$G$27,50%,))</f>
        <v>0</v>
      </c>
      <c r="BL74" s="801">
        <f>IF(BL5="착공",50%,IF(BL4=Equity!$G$27,50%,))</f>
        <v>0</v>
      </c>
      <c r="BM74" s="801">
        <f>IF(BM5="착공",50%,IF(BM4=Equity!$G$27,50%,))</f>
        <v>0</v>
      </c>
      <c r="BN74" s="801">
        <f>IF(BN5="착공",50%,IF(BN4=Equity!$G$27,50%,))</f>
        <v>0</v>
      </c>
      <c r="BO74" s="801">
        <f>IF(BO5="착공",50%,IF(BO4=Equity!$G$27,50%,))</f>
        <v>0</v>
      </c>
      <c r="BP74" s="825">
        <f>IF(BP5="착공",50%,IF(BP4=Equity!$G$27,50%,))</f>
        <v>0</v>
      </c>
      <c r="BQ74" s="828">
        <f>1-SUM(F74:BP74)</f>
        <v>0</v>
      </c>
      <c r="BR74" s="801"/>
      <c r="BS74" s="801"/>
    </row>
    <row r="75" spans="1:120" s="793" customFormat="1" ht="12.9" customHeight="1">
      <c r="A75" s="790"/>
      <c r="B75" s="791" t="str">
        <f>'사업수지표 '!C62</f>
        <v>M/H운영비</v>
      </c>
      <c r="C75" s="791" t="s">
        <v>1194</v>
      </c>
      <c r="D75" s="830">
        <f t="shared" si="58"/>
        <v>12</v>
      </c>
      <c r="E75" s="796"/>
      <c r="F75" s="796"/>
      <c r="G75" s="796"/>
      <c r="H75" s="791"/>
      <c r="I75" s="831">
        <f>IF(I4&gt;'사업수지표 '!$L$62,0,1)</f>
        <v>1</v>
      </c>
      <c r="J75" s="831">
        <f>IF(J4&gt;'사업수지표 '!$L$62,0,1)</f>
        <v>1</v>
      </c>
      <c r="K75" s="831">
        <f>IF(K4&gt;'사업수지표 '!$L$62,0,1)</f>
        <v>1</v>
      </c>
      <c r="L75" s="831">
        <f>IF(L4&gt;'사업수지표 '!$L$62,0,1)</f>
        <v>1</v>
      </c>
      <c r="M75" s="831">
        <f>IF(M4&gt;'사업수지표 '!$L$62,0,1)</f>
        <v>1</v>
      </c>
      <c r="N75" s="831">
        <f>IF(N4&gt;'사업수지표 '!$L$62,0,1)</f>
        <v>1</v>
      </c>
      <c r="O75" s="831">
        <f>IF(O4&gt;'사업수지표 '!$L$62,0,1)</f>
        <v>1</v>
      </c>
      <c r="P75" s="831">
        <f>IF(P4&gt;'사업수지표 '!$L$62,0,1)</f>
        <v>1</v>
      </c>
      <c r="Q75" s="831">
        <f>IF(Q4&gt;'사업수지표 '!$L$62,0,1)</f>
        <v>1</v>
      </c>
      <c r="R75" s="831">
        <f>IF(R4&gt;'사업수지표 '!$L$62,0,1)</f>
        <v>1</v>
      </c>
      <c r="S75" s="831">
        <f>IF(S4&gt;'사업수지표 '!$L$62,0,1)</f>
        <v>1</v>
      </c>
      <c r="T75" s="831">
        <f>IF(T4&gt;'사업수지표 '!$L$62,0,1)</f>
        <v>1</v>
      </c>
      <c r="U75" s="831">
        <f>IF(U4&gt;'사업수지표 '!$L$62,0,1)</f>
        <v>0</v>
      </c>
      <c r="V75" s="831">
        <f>IF(V4&gt;'사업수지표 '!$L$62,0,1)</f>
        <v>0</v>
      </c>
      <c r="W75" s="831">
        <f>IF(W4&gt;'사업수지표 '!$L$62,0,1)</f>
        <v>0</v>
      </c>
      <c r="X75" s="831">
        <f>IF(X4&gt;'사업수지표 '!$L$62,0,1)</f>
        <v>0</v>
      </c>
      <c r="Y75" s="831">
        <f>IF(Y4&gt;'사업수지표 '!$L$62,0,1)</f>
        <v>0</v>
      </c>
      <c r="Z75" s="831">
        <f>IF(Z4&gt;'사업수지표 '!$L$62,0,1)</f>
        <v>0</v>
      </c>
      <c r="AA75" s="831">
        <f>IF(AA4&gt;'사업수지표 '!$L$62,0,1)</f>
        <v>0</v>
      </c>
      <c r="AB75" s="831">
        <f>IF(AB4&gt;'사업수지표 '!$L$62,0,1)</f>
        <v>0</v>
      </c>
      <c r="AC75" s="831">
        <f>IF(AC4&gt;'사업수지표 '!$L$62,0,1)</f>
        <v>0</v>
      </c>
      <c r="AD75" s="831">
        <f>IF(AD4&gt;'사업수지표 '!$L$62,0,1)</f>
        <v>0</v>
      </c>
      <c r="AE75" s="831">
        <f>IF(AE4&gt;'사업수지표 '!$L$62,0,1)</f>
        <v>0</v>
      </c>
      <c r="AF75" s="831">
        <f>IF(AF4&gt;'사업수지표 '!$L$62,0,1)</f>
        <v>0</v>
      </c>
      <c r="AG75" s="831">
        <f>IF(AG4&gt;'사업수지표 '!$L$62,0,1)</f>
        <v>0</v>
      </c>
      <c r="AH75" s="831">
        <f>IF(AH4&gt;'사업수지표 '!$L$62,0,1)</f>
        <v>0</v>
      </c>
      <c r="AI75" s="831">
        <f>IF(AI4&gt;'사업수지표 '!$L$62,0,1)</f>
        <v>0</v>
      </c>
      <c r="AJ75" s="831">
        <f>IF(AJ4&gt;'사업수지표 '!$L$62,0,1)</f>
        <v>0</v>
      </c>
      <c r="AK75" s="831">
        <f>IF(AK4&gt;'사업수지표 '!$L$62,0,1)</f>
        <v>0</v>
      </c>
      <c r="AL75" s="831">
        <f>IF(AL4&gt;'사업수지표 '!$L$62,0,1)</f>
        <v>0</v>
      </c>
      <c r="AM75" s="831">
        <f>IF(AM4&gt;'사업수지표 '!$L$62,0,1)</f>
        <v>0</v>
      </c>
      <c r="AN75" s="831">
        <f>IF(AN4&gt;'사업수지표 '!$L$62,0,1)</f>
        <v>0</v>
      </c>
      <c r="AO75" s="831">
        <f>IF(AO4&gt;'사업수지표 '!$L$62,0,1)</f>
        <v>0</v>
      </c>
      <c r="AP75" s="831">
        <f>IF(AP4&gt;'사업수지표 '!$L$62,0,1)</f>
        <v>0</v>
      </c>
      <c r="AQ75" s="831">
        <f>IF(AQ4&gt;'사업수지표 '!$L$62,0,1)</f>
        <v>0</v>
      </c>
      <c r="AR75" s="831">
        <f>IF(AR4&gt;'사업수지표 '!$L$62,0,1)</f>
        <v>0</v>
      </c>
      <c r="AS75" s="831">
        <f>IF(AS4&gt;'사업수지표 '!$L$62,0,1)</f>
        <v>0</v>
      </c>
      <c r="AT75" s="831">
        <f>IF(AT4&gt;'사업수지표 '!$L$62,0,1)</f>
        <v>0</v>
      </c>
      <c r="AU75" s="831">
        <f>IF(AU4&gt;'사업수지표 '!$L$62,0,1)</f>
        <v>0</v>
      </c>
      <c r="AV75" s="831">
        <f>IF(AV4&gt;'사업수지표 '!$L$62,0,1)</f>
        <v>0</v>
      </c>
      <c r="AW75" s="831">
        <f>IF(AW4&gt;'사업수지표 '!$L$62,0,1)</f>
        <v>0</v>
      </c>
      <c r="AX75" s="831">
        <f>IF(AX4&gt;'사업수지표 '!$L$62,0,1)</f>
        <v>0</v>
      </c>
      <c r="AY75" s="831">
        <f>IF(AY4&gt;'사업수지표 '!$L$62,0,1)</f>
        <v>0</v>
      </c>
      <c r="AZ75" s="831">
        <f>IF(AZ4&gt;'사업수지표 '!$L$62,0,1)</f>
        <v>0</v>
      </c>
      <c r="BA75" s="831">
        <f>IF(BA4&gt;'사업수지표 '!$L$62,0,1)</f>
        <v>0</v>
      </c>
      <c r="BB75" s="831">
        <f>IF(BB4&gt;'사업수지표 '!$L$62,0,1)</f>
        <v>0</v>
      </c>
      <c r="BC75" s="831">
        <f>IF(BC4&gt;'사업수지표 '!$L$62,0,1)</f>
        <v>0</v>
      </c>
      <c r="BD75" s="831">
        <f>IF(BD4&gt;'사업수지표 '!$L$62,0,1)</f>
        <v>0</v>
      </c>
      <c r="BE75" s="831">
        <f>IF(BE4&gt;'사업수지표 '!$L$62,0,1)</f>
        <v>0</v>
      </c>
      <c r="BF75" s="831">
        <f>IF(BF4&gt;'사업수지표 '!$L$62,0,1)</f>
        <v>0</v>
      </c>
      <c r="BG75" s="831">
        <f>IF(BG4&gt;'사업수지표 '!$L$62,0,1)</f>
        <v>0</v>
      </c>
      <c r="BH75" s="831">
        <f>IF(BH4&gt;'사업수지표 '!$L$62,0,1)</f>
        <v>0</v>
      </c>
      <c r="BI75" s="831">
        <f>IF(BI4&gt;'사업수지표 '!$L$62,0,1)</f>
        <v>0</v>
      </c>
      <c r="BJ75" s="831">
        <f>IF(BJ4&gt;'사업수지표 '!$L$62,0,1)</f>
        <v>0</v>
      </c>
      <c r="BK75" s="831">
        <f>IF(BK4&gt;'사업수지표 '!$L$62,0,1)</f>
        <v>0</v>
      </c>
      <c r="BL75" s="831">
        <f>IF(BL4&gt;'사업수지표 '!$L$62,0,1)</f>
        <v>0</v>
      </c>
      <c r="BM75" s="831">
        <f>IF(BM4&gt;'사업수지표 '!$L$62,0,1)</f>
        <v>0</v>
      </c>
      <c r="BN75" s="831">
        <f>IF(BN4&gt;'사업수지표 '!$L$62,0,1)</f>
        <v>0</v>
      </c>
      <c r="BO75" s="831">
        <f>IF(BO4&gt;'사업수지표 '!$L$62,0,1)</f>
        <v>0</v>
      </c>
      <c r="BP75" s="832">
        <f>IF(BP4&gt;'사업수지표 '!$L$62,0,1)</f>
        <v>0</v>
      </c>
      <c r="BQ75" s="828"/>
      <c r="BR75" s="831"/>
      <c r="BS75" s="831"/>
      <c r="BT75" s="781"/>
      <c r="BU75" s="781"/>
      <c r="BV75" s="781"/>
      <c r="BW75" s="781"/>
      <c r="BX75" s="781"/>
      <c r="BY75" s="781"/>
      <c r="BZ75" s="781"/>
      <c r="CA75" s="781"/>
      <c r="CB75" s="781"/>
      <c r="CC75" s="781"/>
      <c r="CD75" s="781"/>
      <c r="CE75" s="781"/>
      <c r="CF75" s="781"/>
      <c r="CG75" s="781"/>
      <c r="CH75" s="781"/>
      <c r="CI75" s="781"/>
      <c r="CJ75" s="781"/>
      <c r="CK75" s="781"/>
      <c r="CL75" s="781"/>
      <c r="CM75" s="781"/>
      <c r="CN75" s="781"/>
      <c r="CO75" s="781"/>
      <c r="CP75" s="781"/>
      <c r="CQ75" s="781"/>
      <c r="CR75" s="781"/>
      <c r="CS75" s="781"/>
      <c r="CT75" s="781"/>
      <c r="CU75" s="781"/>
      <c r="CV75" s="781"/>
      <c r="CW75" s="781"/>
      <c r="CX75" s="781"/>
      <c r="CY75" s="781"/>
      <c r="CZ75" s="781"/>
      <c r="DA75" s="781"/>
      <c r="DB75" s="781"/>
      <c r="DC75" s="781"/>
      <c r="DD75" s="781"/>
      <c r="DE75" s="781"/>
      <c r="DF75" s="781"/>
      <c r="DG75" s="781"/>
      <c r="DH75" s="781"/>
      <c r="DI75" s="781"/>
      <c r="DJ75" s="781"/>
      <c r="DK75" s="781"/>
      <c r="DL75" s="781"/>
      <c r="DM75" s="781"/>
      <c r="DN75" s="781"/>
      <c r="DO75" s="781"/>
      <c r="DP75" s="781"/>
    </row>
    <row r="76" spans="1:120" s="781" customFormat="1" ht="12.9" customHeight="1">
      <c r="A76" s="798"/>
      <c r="B76" s="799" t="str">
        <f>'사업수지표 '!C63</f>
        <v>M/H임차료</v>
      </c>
      <c r="C76" s="799" t="s">
        <v>1194</v>
      </c>
      <c r="D76" s="827">
        <f t="shared" si="58"/>
        <v>14</v>
      </c>
      <c r="E76" s="817"/>
      <c r="F76" s="817"/>
      <c r="G76" s="817"/>
      <c r="H76" s="799">
        <v>1</v>
      </c>
      <c r="I76" s="833">
        <f>IF(I4&gt;('사업수지표 '!$L$63-1),0,1)</f>
        <v>1</v>
      </c>
      <c r="J76" s="833">
        <f>IF(J4&gt;('사업수지표 '!$L$63-1),0,1)</f>
        <v>1</v>
      </c>
      <c r="K76" s="833">
        <f>IF(K4&gt;('사업수지표 '!$L$63-1),0,1)</f>
        <v>1</v>
      </c>
      <c r="L76" s="833">
        <f>IF(L4&gt;('사업수지표 '!$L$63-1),0,1)</f>
        <v>1</v>
      </c>
      <c r="M76" s="833">
        <f>IF(M4&gt;('사업수지표 '!$L$63-1),0,1)</f>
        <v>1</v>
      </c>
      <c r="N76" s="833">
        <f>IF(N4&gt;('사업수지표 '!$L$63-1),0,1)</f>
        <v>1</v>
      </c>
      <c r="O76" s="833">
        <f>IF(O4&gt;('사업수지표 '!$L$63-1),0,1)</f>
        <v>1</v>
      </c>
      <c r="P76" s="833">
        <f>IF(P4&gt;('사업수지표 '!$L$63-1),0,1)</f>
        <v>1</v>
      </c>
      <c r="Q76" s="833">
        <f>IF(Q4&gt;('사업수지표 '!$L$63-1),0,1)</f>
        <v>1</v>
      </c>
      <c r="R76" s="833">
        <f>IF(R4&gt;('사업수지표 '!$L$63-1),0,1)</f>
        <v>1</v>
      </c>
      <c r="S76" s="833">
        <f>IF(S4&gt;('사업수지표 '!$L$63-1),0,1)</f>
        <v>1</v>
      </c>
      <c r="T76" s="833">
        <f>IF(T4&gt;('사업수지표 '!$L$63-1),0,1)</f>
        <v>1</v>
      </c>
      <c r="U76" s="833">
        <f>IF(U4&gt;('사업수지표 '!$L$63-1),0,1)</f>
        <v>1</v>
      </c>
      <c r="V76" s="833">
        <f>IF(V4&gt;('사업수지표 '!$L$63-1),0,1)</f>
        <v>0</v>
      </c>
      <c r="W76" s="833">
        <f>IF(W4&gt;('사업수지표 '!$L$63-1),0,1)</f>
        <v>0</v>
      </c>
      <c r="X76" s="833">
        <f>IF(X4&gt;('사업수지표 '!$L$63-1),0,1)</f>
        <v>0</v>
      </c>
      <c r="Y76" s="833">
        <f>IF(Y4&gt;('사업수지표 '!$L$63-1),0,1)</f>
        <v>0</v>
      </c>
      <c r="Z76" s="833">
        <f>IF(Z4&gt;('사업수지표 '!$L$63-1),0,1)</f>
        <v>0</v>
      </c>
      <c r="AA76" s="833">
        <f>IF(AA4&gt;('사업수지표 '!$L$63-1),0,1)</f>
        <v>0</v>
      </c>
      <c r="AB76" s="833">
        <f>IF(AB4&gt;('사업수지표 '!$L$63-1),0,1)</f>
        <v>0</v>
      </c>
      <c r="AC76" s="833">
        <f>IF(AC4&gt;('사업수지표 '!$L$63-1),0,1)</f>
        <v>0</v>
      </c>
      <c r="AD76" s="833">
        <f>IF(AD4&gt;('사업수지표 '!$L$63-1),0,1)</f>
        <v>0</v>
      </c>
      <c r="AE76" s="833">
        <f>IF(AE4&gt;('사업수지표 '!$L$63-1),0,1)</f>
        <v>0</v>
      </c>
      <c r="AF76" s="833">
        <f>IF(AF4&gt;('사업수지표 '!$L$63-1),0,1)</f>
        <v>0</v>
      </c>
      <c r="AG76" s="833">
        <f>IF(AG4&gt;('사업수지표 '!$L$63-1),0,1)</f>
        <v>0</v>
      </c>
      <c r="AH76" s="833">
        <f>IF(AH4&gt;('사업수지표 '!$L$63-1),0,1)</f>
        <v>0</v>
      </c>
      <c r="AI76" s="833">
        <f>IF(AI4&gt;('사업수지표 '!$L$63-1),0,1)</f>
        <v>0</v>
      </c>
      <c r="AJ76" s="833">
        <f>IF(AJ4&gt;('사업수지표 '!$L$63-1),0,1)</f>
        <v>0</v>
      </c>
      <c r="AK76" s="833">
        <f>IF(AK4&gt;('사업수지표 '!$L$63-1),0,1)</f>
        <v>0</v>
      </c>
      <c r="AL76" s="833">
        <f>IF(AL4&gt;('사업수지표 '!$L$63-1),0,1)</f>
        <v>0</v>
      </c>
      <c r="AM76" s="833">
        <f>IF(AM4&gt;('사업수지표 '!$L$63-1),0,1)</f>
        <v>0</v>
      </c>
      <c r="AN76" s="833">
        <f>IF(AN4&gt;('사업수지표 '!$L$63-1),0,1)</f>
        <v>0</v>
      </c>
      <c r="AO76" s="833">
        <f>IF(AO4&gt;('사업수지표 '!$L$63-1),0,1)</f>
        <v>0</v>
      </c>
      <c r="AP76" s="833">
        <f>IF(AP4&gt;('사업수지표 '!$L$63-1),0,1)</f>
        <v>0</v>
      </c>
      <c r="AQ76" s="833">
        <f>IF(AQ4&gt;('사업수지표 '!$L$63-1),0,1)</f>
        <v>0</v>
      </c>
      <c r="AR76" s="833">
        <f>IF(AR4&gt;('사업수지표 '!$L$63-1),0,1)</f>
        <v>0</v>
      </c>
      <c r="AS76" s="833">
        <f>IF(AS4&gt;('사업수지표 '!$L$63-1),0,1)</f>
        <v>0</v>
      </c>
      <c r="AT76" s="833">
        <f>IF(AT4&gt;('사업수지표 '!$L$63-1),0,1)</f>
        <v>0</v>
      </c>
      <c r="AU76" s="833">
        <f>IF(AU4&gt;('사업수지표 '!$L$63-1),0,1)</f>
        <v>0</v>
      </c>
      <c r="AV76" s="833">
        <f>IF(AV4&gt;('사업수지표 '!$L$63-1),0,1)</f>
        <v>0</v>
      </c>
      <c r="AW76" s="833">
        <f>IF(AW4&gt;('사업수지표 '!$L$63-1),0,1)</f>
        <v>0</v>
      </c>
      <c r="AX76" s="833">
        <f>IF(AX4&gt;('사업수지표 '!$L$63-1),0,1)</f>
        <v>0</v>
      </c>
      <c r="AY76" s="833">
        <f>IF(AY4&gt;('사업수지표 '!$L$63-1),0,1)</f>
        <v>0</v>
      </c>
      <c r="AZ76" s="833">
        <f>IF(AZ4&gt;('사업수지표 '!$L$63-1),0,1)</f>
        <v>0</v>
      </c>
      <c r="BA76" s="833">
        <f>IF(BA4&gt;('사업수지표 '!$L$63-1),0,1)</f>
        <v>0</v>
      </c>
      <c r="BB76" s="833">
        <f>IF(BB4&gt;('사업수지표 '!$L$63-1),0,1)</f>
        <v>0</v>
      </c>
      <c r="BC76" s="833">
        <f>IF(BC4&gt;('사업수지표 '!$L$63-1),0,1)</f>
        <v>0</v>
      </c>
      <c r="BD76" s="833">
        <f>IF(BD4&gt;('사업수지표 '!$L$63-1),0,1)</f>
        <v>0</v>
      </c>
      <c r="BE76" s="833">
        <f>IF(BE4&gt;('사업수지표 '!$L$63-1),0,1)</f>
        <v>0</v>
      </c>
      <c r="BF76" s="833">
        <f>IF(BF4&gt;('사업수지표 '!$L$63-1),0,1)</f>
        <v>0</v>
      </c>
      <c r="BG76" s="833">
        <f>IF(BG4&gt;('사업수지표 '!$L$63-1),0,1)</f>
        <v>0</v>
      </c>
      <c r="BH76" s="833">
        <f>IF(BH4&gt;('사업수지표 '!$L$63-1),0,1)</f>
        <v>0</v>
      </c>
      <c r="BI76" s="833">
        <f>IF(BI4&gt;('사업수지표 '!$L$63-1),0,1)</f>
        <v>0</v>
      </c>
      <c r="BJ76" s="833">
        <f>IF(BJ4&gt;('사업수지표 '!$L$63-1),0,1)</f>
        <v>0</v>
      </c>
      <c r="BK76" s="833">
        <f>IF(BK4&gt;('사업수지표 '!$L$63-1),0,1)</f>
        <v>0</v>
      </c>
      <c r="BL76" s="833">
        <f>IF(BL4&gt;('사업수지표 '!$L$63-1),0,1)</f>
        <v>0</v>
      </c>
      <c r="BM76" s="833">
        <f>IF(BM4&gt;('사업수지표 '!$L$63-1),0,1)</f>
        <v>0</v>
      </c>
      <c r="BN76" s="833">
        <f>IF(BN4&gt;('사업수지표 '!$L$63-1),0,1)</f>
        <v>0</v>
      </c>
      <c r="BO76" s="833">
        <f>IF(BO4&gt;('사업수지표 '!$L$63-1),0,1)</f>
        <v>0</v>
      </c>
      <c r="BP76" s="833">
        <f>IF(BP4&gt;('사업수지표 '!$L$63-1),0,1)</f>
        <v>0</v>
      </c>
      <c r="BQ76" s="828"/>
      <c r="BR76" s="833"/>
      <c r="BS76" s="833"/>
    </row>
    <row r="77" spans="1:120" s="793" customFormat="1" ht="12.9" customHeight="1">
      <c r="A77" s="790"/>
      <c r="B77" s="791" t="str">
        <f>'사업수지표 '!C64</f>
        <v>분양수수료(공동주택)</v>
      </c>
      <c r="C77" s="791"/>
      <c r="D77" s="814">
        <f t="shared" si="58"/>
        <v>0.90000000000000024</v>
      </c>
      <c r="E77" s="796"/>
      <c r="F77" s="796"/>
      <c r="G77" s="796"/>
      <c r="H77" s="791"/>
      <c r="I77" s="815">
        <f t="shared" ref="I77" si="59">IF(I4&gt;공사기간,0,H8*90%)</f>
        <v>0</v>
      </c>
      <c r="J77" s="815">
        <f t="shared" ref="J77:BP77" si="60">IF(J4&gt;공사기간,0,I8*90%)</f>
        <v>0.18000000000000002</v>
      </c>
      <c r="K77" s="815">
        <f t="shared" si="60"/>
        <v>0.13500000000000001</v>
      </c>
      <c r="L77" s="815">
        <f t="shared" si="60"/>
        <v>0.108</v>
      </c>
      <c r="M77" s="815">
        <f t="shared" si="60"/>
        <v>9.0000000000000011E-2</v>
      </c>
      <c r="N77" s="815">
        <f t="shared" si="60"/>
        <v>7.2000000000000008E-2</v>
      </c>
      <c r="O77" s="815">
        <f t="shared" si="60"/>
        <v>6.3000000000000014E-2</v>
      </c>
      <c r="P77" s="815">
        <f t="shared" si="60"/>
        <v>5.3999999999999999E-2</v>
      </c>
      <c r="Q77" s="815">
        <f t="shared" si="60"/>
        <v>4.5000000000000005E-2</v>
      </c>
      <c r="R77" s="815">
        <f t="shared" si="60"/>
        <v>4.5000000000000005E-2</v>
      </c>
      <c r="S77" s="815">
        <f t="shared" si="60"/>
        <v>3.6000000000000004E-2</v>
      </c>
      <c r="T77" s="815">
        <f t="shared" si="60"/>
        <v>3.6000000000000004E-2</v>
      </c>
      <c r="U77" s="815">
        <f t="shared" si="60"/>
        <v>3.6000000000000004E-2</v>
      </c>
      <c r="V77" s="815">
        <f t="shared" si="60"/>
        <v>0</v>
      </c>
      <c r="W77" s="815">
        <f t="shared" si="60"/>
        <v>0</v>
      </c>
      <c r="X77" s="815">
        <f t="shared" si="60"/>
        <v>0</v>
      </c>
      <c r="Y77" s="815">
        <f t="shared" si="60"/>
        <v>0</v>
      </c>
      <c r="Z77" s="815">
        <f t="shared" si="60"/>
        <v>0</v>
      </c>
      <c r="AA77" s="815">
        <f t="shared" si="60"/>
        <v>0</v>
      </c>
      <c r="AB77" s="815">
        <f t="shared" si="60"/>
        <v>0</v>
      </c>
      <c r="AC77" s="815">
        <f t="shared" si="60"/>
        <v>0</v>
      </c>
      <c r="AD77" s="815">
        <f t="shared" si="60"/>
        <v>0</v>
      </c>
      <c r="AE77" s="815">
        <f t="shared" si="60"/>
        <v>0</v>
      </c>
      <c r="AF77" s="815">
        <f t="shared" si="60"/>
        <v>0</v>
      </c>
      <c r="AG77" s="815">
        <f t="shared" si="60"/>
        <v>0</v>
      </c>
      <c r="AH77" s="815">
        <f t="shared" si="60"/>
        <v>0</v>
      </c>
      <c r="AI77" s="815">
        <f t="shared" si="60"/>
        <v>0</v>
      </c>
      <c r="AJ77" s="815">
        <f t="shared" si="60"/>
        <v>0</v>
      </c>
      <c r="AK77" s="815">
        <f t="shared" si="60"/>
        <v>0</v>
      </c>
      <c r="AL77" s="815">
        <f t="shared" si="60"/>
        <v>0</v>
      </c>
      <c r="AM77" s="815">
        <f t="shared" si="60"/>
        <v>0</v>
      </c>
      <c r="AN77" s="815">
        <f t="shared" si="60"/>
        <v>0</v>
      </c>
      <c r="AO77" s="815">
        <f t="shared" si="60"/>
        <v>0</v>
      </c>
      <c r="AP77" s="815">
        <f t="shared" si="60"/>
        <v>0</v>
      </c>
      <c r="AQ77" s="815">
        <f t="shared" si="60"/>
        <v>0</v>
      </c>
      <c r="AR77" s="815">
        <f t="shared" si="60"/>
        <v>0</v>
      </c>
      <c r="AS77" s="815">
        <f t="shared" si="60"/>
        <v>0</v>
      </c>
      <c r="AT77" s="815">
        <f t="shared" si="60"/>
        <v>0</v>
      </c>
      <c r="AU77" s="815">
        <f t="shared" si="60"/>
        <v>0</v>
      </c>
      <c r="AV77" s="815">
        <f t="shared" si="60"/>
        <v>0</v>
      </c>
      <c r="AW77" s="815">
        <f t="shared" si="60"/>
        <v>0</v>
      </c>
      <c r="AX77" s="815">
        <f t="shared" si="60"/>
        <v>0</v>
      </c>
      <c r="AY77" s="815">
        <f t="shared" si="60"/>
        <v>0</v>
      </c>
      <c r="AZ77" s="815">
        <f t="shared" si="60"/>
        <v>0</v>
      </c>
      <c r="BA77" s="815">
        <f t="shared" si="60"/>
        <v>0</v>
      </c>
      <c r="BB77" s="815">
        <f t="shared" si="60"/>
        <v>0</v>
      </c>
      <c r="BC77" s="815">
        <f t="shared" si="60"/>
        <v>0</v>
      </c>
      <c r="BD77" s="815">
        <f t="shared" si="60"/>
        <v>0</v>
      </c>
      <c r="BE77" s="815">
        <f t="shared" si="60"/>
        <v>0</v>
      </c>
      <c r="BF77" s="815">
        <f t="shared" si="60"/>
        <v>0</v>
      </c>
      <c r="BG77" s="815">
        <f t="shared" si="60"/>
        <v>0</v>
      </c>
      <c r="BH77" s="815">
        <f t="shared" si="60"/>
        <v>0</v>
      </c>
      <c r="BI77" s="815">
        <f t="shared" si="60"/>
        <v>0</v>
      </c>
      <c r="BJ77" s="815">
        <f t="shared" si="60"/>
        <v>0</v>
      </c>
      <c r="BK77" s="815">
        <f t="shared" si="60"/>
        <v>0</v>
      </c>
      <c r="BL77" s="815">
        <f t="shared" si="60"/>
        <v>0</v>
      </c>
      <c r="BM77" s="815">
        <f t="shared" si="60"/>
        <v>0</v>
      </c>
      <c r="BN77" s="815">
        <f t="shared" si="60"/>
        <v>0</v>
      </c>
      <c r="BO77" s="815">
        <f t="shared" si="60"/>
        <v>0</v>
      </c>
      <c r="BP77" s="815">
        <f t="shared" si="60"/>
        <v>0</v>
      </c>
      <c r="BQ77" s="828">
        <f t="shared" ref="BQ77:BQ88" si="61">1-SUM(F77:BP77)</f>
        <v>9.9999999999999756E-2</v>
      </c>
      <c r="BR77" s="815"/>
      <c r="BS77" s="815"/>
      <c r="BT77" s="781"/>
      <c r="BU77" s="781"/>
      <c r="BV77" s="781"/>
      <c r="BW77" s="781"/>
      <c r="BX77" s="781"/>
      <c r="BY77" s="781"/>
      <c r="BZ77" s="781"/>
      <c r="CA77" s="781"/>
      <c r="CB77" s="781"/>
      <c r="CC77" s="781"/>
      <c r="CD77" s="781"/>
      <c r="CE77" s="781"/>
      <c r="CF77" s="781"/>
      <c r="CG77" s="781"/>
      <c r="CH77" s="781"/>
      <c r="CI77" s="781"/>
      <c r="CJ77" s="781"/>
      <c r="CK77" s="781"/>
      <c r="CL77" s="781"/>
      <c r="CM77" s="781"/>
      <c r="CN77" s="781"/>
      <c r="CO77" s="781"/>
      <c r="CP77" s="781"/>
      <c r="CQ77" s="781"/>
      <c r="CR77" s="781"/>
      <c r="CS77" s="781"/>
      <c r="CT77" s="781"/>
      <c r="CU77" s="781"/>
      <c r="CV77" s="781"/>
      <c r="CW77" s="781"/>
      <c r="CX77" s="781"/>
      <c r="CY77" s="781"/>
      <c r="CZ77" s="781"/>
      <c r="DA77" s="781"/>
      <c r="DB77" s="781"/>
      <c r="DC77" s="781"/>
      <c r="DD77" s="781"/>
      <c r="DE77" s="781"/>
      <c r="DF77" s="781"/>
      <c r="DG77" s="781"/>
      <c r="DH77" s="781"/>
      <c r="DI77" s="781"/>
      <c r="DJ77" s="781"/>
      <c r="DK77" s="781"/>
      <c r="DL77" s="781"/>
      <c r="DM77" s="781"/>
      <c r="DN77" s="781"/>
      <c r="DO77" s="781"/>
      <c r="DP77" s="781"/>
    </row>
    <row r="78" spans="1:120" s="781" customFormat="1" ht="12.9" customHeight="1">
      <c r="A78" s="798"/>
      <c r="B78" s="799" t="str">
        <f>'사업수지표 '!C65</f>
        <v>분양수수료(도생)</v>
      </c>
      <c r="C78" s="799"/>
      <c r="D78" s="824">
        <f t="shared" si="58"/>
        <v>0</v>
      </c>
      <c r="E78" s="817"/>
      <c r="F78" s="817"/>
      <c r="G78" s="817"/>
      <c r="H78" s="799"/>
      <c r="I78" s="801">
        <f t="shared" ref="I78:AN78" si="62">IF(AI4&gt;공사기간,0,H17*90%)</f>
        <v>0</v>
      </c>
      <c r="J78" s="801">
        <f t="shared" si="62"/>
        <v>0</v>
      </c>
      <c r="K78" s="801">
        <f t="shared" si="62"/>
        <v>0</v>
      </c>
      <c r="L78" s="801">
        <f t="shared" si="62"/>
        <v>0</v>
      </c>
      <c r="M78" s="801">
        <f t="shared" si="62"/>
        <v>0</v>
      </c>
      <c r="N78" s="801">
        <f t="shared" si="62"/>
        <v>0</v>
      </c>
      <c r="O78" s="801">
        <f t="shared" si="62"/>
        <v>0</v>
      </c>
      <c r="P78" s="801">
        <f t="shared" si="62"/>
        <v>0</v>
      </c>
      <c r="Q78" s="801">
        <f t="shared" si="62"/>
        <v>0</v>
      </c>
      <c r="R78" s="801">
        <f t="shared" si="62"/>
        <v>0</v>
      </c>
      <c r="S78" s="801">
        <f t="shared" si="62"/>
        <v>0</v>
      </c>
      <c r="T78" s="801">
        <f t="shared" si="62"/>
        <v>0</v>
      </c>
      <c r="U78" s="801">
        <f t="shared" si="62"/>
        <v>0</v>
      </c>
      <c r="V78" s="801">
        <f t="shared" si="62"/>
        <v>0</v>
      </c>
      <c r="W78" s="801">
        <f t="shared" si="62"/>
        <v>0</v>
      </c>
      <c r="X78" s="801">
        <f t="shared" si="62"/>
        <v>0</v>
      </c>
      <c r="Y78" s="801">
        <f t="shared" si="62"/>
        <v>0</v>
      </c>
      <c r="Z78" s="801">
        <f t="shared" si="62"/>
        <v>0</v>
      </c>
      <c r="AA78" s="801">
        <f t="shared" si="62"/>
        <v>0</v>
      </c>
      <c r="AB78" s="801">
        <f t="shared" si="62"/>
        <v>0</v>
      </c>
      <c r="AC78" s="801">
        <f t="shared" si="62"/>
        <v>0</v>
      </c>
      <c r="AD78" s="801">
        <f t="shared" si="62"/>
        <v>0</v>
      </c>
      <c r="AE78" s="801">
        <f t="shared" si="62"/>
        <v>0</v>
      </c>
      <c r="AF78" s="801">
        <f t="shared" si="62"/>
        <v>0</v>
      </c>
      <c r="AG78" s="801">
        <f t="shared" si="62"/>
        <v>0</v>
      </c>
      <c r="AH78" s="801">
        <f t="shared" si="62"/>
        <v>0</v>
      </c>
      <c r="AI78" s="801">
        <f t="shared" si="62"/>
        <v>0</v>
      </c>
      <c r="AJ78" s="801">
        <f t="shared" si="62"/>
        <v>0</v>
      </c>
      <c r="AK78" s="801">
        <f t="shared" si="62"/>
        <v>0</v>
      </c>
      <c r="AL78" s="801">
        <f t="shared" si="62"/>
        <v>0</v>
      </c>
      <c r="AM78" s="801">
        <f t="shared" si="62"/>
        <v>0</v>
      </c>
      <c r="AN78" s="801">
        <f t="shared" si="62"/>
        <v>0</v>
      </c>
      <c r="AO78" s="801">
        <f t="shared" ref="AO78:BP78" si="63">IF(BO4&gt;공사기간,0,AN17*90%)</f>
        <v>0</v>
      </c>
      <c r="AP78" s="801">
        <f t="shared" si="63"/>
        <v>0</v>
      </c>
      <c r="AQ78" s="801">
        <f t="shared" si="63"/>
        <v>0</v>
      </c>
      <c r="AR78" s="801">
        <f t="shared" si="63"/>
        <v>0</v>
      </c>
      <c r="AS78" s="801">
        <f t="shared" si="63"/>
        <v>0</v>
      </c>
      <c r="AT78" s="801">
        <f t="shared" si="63"/>
        <v>0</v>
      </c>
      <c r="AU78" s="801">
        <f t="shared" si="63"/>
        <v>0</v>
      </c>
      <c r="AV78" s="801">
        <f t="shared" si="63"/>
        <v>0</v>
      </c>
      <c r="AW78" s="801">
        <f t="shared" si="63"/>
        <v>0</v>
      </c>
      <c r="AX78" s="801">
        <f t="shared" si="63"/>
        <v>0</v>
      </c>
      <c r="AY78" s="801">
        <f t="shared" si="63"/>
        <v>0</v>
      </c>
      <c r="AZ78" s="801">
        <f t="shared" si="63"/>
        <v>0</v>
      </c>
      <c r="BA78" s="801">
        <f t="shared" si="63"/>
        <v>0</v>
      </c>
      <c r="BB78" s="801">
        <f t="shared" si="63"/>
        <v>0</v>
      </c>
      <c r="BC78" s="801">
        <f t="shared" si="63"/>
        <v>0</v>
      </c>
      <c r="BD78" s="801">
        <f t="shared" si="63"/>
        <v>0</v>
      </c>
      <c r="BE78" s="801">
        <f t="shared" si="63"/>
        <v>0</v>
      </c>
      <c r="BF78" s="801">
        <f t="shared" si="63"/>
        <v>0</v>
      </c>
      <c r="BG78" s="801">
        <f t="shared" si="63"/>
        <v>0</v>
      </c>
      <c r="BH78" s="801">
        <f t="shared" si="63"/>
        <v>0</v>
      </c>
      <c r="BI78" s="801">
        <f t="shared" si="63"/>
        <v>0</v>
      </c>
      <c r="BJ78" s="801">
        <f t="shared" si="63"/>
        <v>0</v>
      </c>
      <c r="BK78" s="801">
        <f t="shared" si="63"/>
        <v>0</v>
      </c>
      <c r="BL78" s="801">
        <f t="shared" si="63"/>
        <v>0</v>
      </c>
      <c r="BM78" s="801">
        <f t="shared" si="63"/>
        <v>0</v>
      </c>
      <c r="BN78" s="801">
        <f t="shared" si="63"/>
        <v>0</v>
      </c>
      <c r="BO78" s="801">
        <f t="shared" si="63"/>
        <v>0</v>
      </c>
      <c r="BP78" s="801">
        <f t="shared" si="63"/>
        <v>0</v>
      </c>
      <c r="BQ78" s="828">
        <f t="shared" si="61"/>
        <v>1</v>
      </c>
      <c r="BR78" s="801"/>
      <c r="BS78" s="801"/>
    </row>
    <row r="79" spans="1:120" s="793" customFormat="1" ht="12.9" customHeight="1">
      <c r="A79" s="790"/>
      <c r="B79" s="791" t="str">
        <f>'사업수지표 '!C66</f>
        <v>분양수수료(오피스텔)</v>
      </c>
      <c r="C79" s="791"/>
      <c r="D79" s="814">
        <f t="shared" si="58"/>
        <v>0</v>
      </c>
      <c r="E79" s="796"/>
      <c r="F79" s="796"/>
      <c r="G79" s="796"/>
      <c r="H79" s="791"/>
      <c r="I79" s="815">
        <f t="shared" ref="I79:AN79" si="64">IF(I4&gt;공사기간,0,H11*90%)</f>
        <v>0</v>
      </c>
      <c r="J79" s="815">
        <f t="shared" si="64"/>
        <v>0</v>
      </c>
      <c r="K79" s="815">
        <f t="shared" si="64"/>
        <v>0</v>
      </c>
      <c r="L79" s="815">
        <f t="shared" si="64"/>
        <v>0</v>
      </c>
      <c r="M79" s="815">
        <f t="shared" si="64"/>
        <v>0</v>
      </c>
      <c r="N79" s="815">
        <f t="shared" si="64"/>
        <v>0</v>
      </c>
      <c r="O79" s="815">
        <f t="shared" si="64"/>
        <v>0</v>
      </c>
      <c r="P79" s="815">
        <f t="shared" si="64"/>
        <v>0</v>
      </c>
      <c r="Q79" s="815">
        <f t="shared" si="64"/>
        <v>0</v>
      </c>
      <c r="R79" s="815">
        <f t="shared" si="64"/>
        <v>0</v>
      </c>
      <c r="S79" s="815">
        <f t="shared" si="64"/>
        <v>0</v>
      </c>
      <c r="T79" s="815">
        <f t="shared" si="64"/>
        <v>0</v>
      </c>
      <c r="U79" s="815">
        <f t="shared" si="64"/>
        <v>0</v>
      </c>
      <c r="V79" s="815">
        <f t="shared" si="64"/>
        <v>0</v>
      </c>
      <c r="W79" s="815">
        <f t="shared" si="64"/>
        <v>0</v>
      </c>
      <c r="X79" s="815">
        <f t="shared" si="64"/>
        <v>0</v>
      </c>
      <c r="Y79" s="815">
        <f t="shared" si="64"/>
        <v>0</v>
      </c>
      <c r="Z79" s="815">
        <f t="shared" si="64"/>
        <v>0</v>
      </c>
      <c r="AA79" s="815">
        <f t="shared" si="64"/>
        <v>0</v>
      </c>
      <c r="AB79" s="815">
        <f t="shared" si="64"/>
        <v>0</v>
      </c>
      <c r="AC79" s="815">
        <f t="shared" si="64"/>
        <v>0</v>
      </c>
      <c r="AD79" s="815">
        <f t="shared" si="64"/>
        <v>0</v>
      </c>
      <c r="AE79" s="815">
        <f t="shared" si="64"/>
        <v>0</v>
      </c>
      <c r="AF79" s="815">
        <f t="shared" si="64"/>
        <v>0</v>
      </c>
      <c r="AG79" s="815">
        <f t="shared" si="64"/>
        <v>0</v>
      </c>
      <c r="AH79" s="815">
        <f t="shared" si="64"/>
        <v>0</v>
      </c>
      <c r="AI79" s="815">
        <f t="shared" si="64"/>
        <v>0</v>
      </c>
      <c r="AJ79" s="815">
        <f t="shared" si="64"/>
        <v>0</v>
      </c>
      <c r="AK79" s="815">
        <f t="shared" si="64"/>
        <v>0</v>
      </c>
      <c r="AL79" s="815">
        <f t="shared" si="64"/>
        <v>0</v>
      </c>
      <c r="AM79" s="815">
        <f t="shared" si="64"/>
        <v>0</v>
      </c>
      <c r="AN79" s="815">
        <f t="shared" si="64"/>
        <v>0</v>
      </c>
      <c r="AO79" s="815">
        <f t="shared" ref="AO79:BP79" si="65">IF(AO4&gt;공사기간,0,AN11*90%)</f>
        <v>0</v>
      </c>
      <c r="AP79" s="815">
        <f t="shared" si="65"/>
        <v>0</v>
      </c>
      <c r="AQ79" s="815">
        <f t="shared" si="65"/>
        <v>0</v>
      </c>
      <c r="AR79" s="815">
        <f t="shared" si="65"/>
        <v>0</v>
      </c>
      <c r="AS79" s="815">
        <f t="shared" si="65"/>
        <v>0</v>
      </c>
      <c r="AT79" s="815">
        <f t="shared" si="65"/>
        <v>0</v>
      </c>
      <c r="AU79" s="815">
        <f t="shared" si="65"/>
        <v>0</v>
      </c>
      <c r="AV79" s="815">
        <f t="shared" si="65"/>
        <v>0</v>
      </c>
      <c r="AW79" s="815">
        <f t="shared" si="65"/>
        <v>0</v>
      </c>
      <c r="AX79" s="815">
        <f t="shared" si="65"/>
        <v>0</v>
      </c>
      <c r="AY79" s="815">
        <f t="shared" si="65"/>
        <v>0</v>
      </c>
      <c r="AZ79" s="815">
        <f t="shared" si="65"/>
        <v>0</v>
      </c>
      <c r="BA79" s="815">
        <f t="shared" si="65"/>
        <v>0</v>
      </c>
      <c r="BB79" s="815">
        <f t="shared" si="65"/>
        <v>0</v>
      </c>
      <c r="BC79" s="815">
        <f t="shared" si="65"/>
        <v>0</v>
      </c>
      <c r="BD79" s="815">
        <f t="shared" si="65"/>
        <v>0</v>
      </c>
      <c r="BE79" s="815">
        <f t="shared" si="65"/>
        <v>0</v>
      </c>
      <c r="BF79" s="815">
        <f t="shared" si="65"/>
        <v>0</v>
      </c>
      <c r="BG79" s="815">
        <f t="shared" si="65"/>
        <v>0</v>
      </c>
      <c r="BH79" s="815">
        <f t="shared" si="65"/>
        <v>0</v>
      </c>
      <c r="BI79" s="815">
        <f t="shared" si="65"/>
        <v>0</v>
      </c>
      <c r="BJ79" s="815">
        <f t="shared" si="65"/>
        <v>0</v>
      </c>
      <c r="BK79" s="815">
        <f t="shared" si="65"/>
        <v>0</v>
      </c>
      <c r="BL79" s="815">
        <f t="shared" si="65"/>
        <v>0</v>
      </c>
      <c r="BM79" s="815">
        <f t="shared" si="65"/>
        <v>0</v>
      </c>
      <c r="BN79" s="815">
        <f t="shared" si="65"/>
        <v>0</v>
      </c>
      <c r="BO79" s="815">
        <f t="shared" si="65"/>
        <v>0</v>
      </c>
      <c r="BP79" s="815">
        <f t="shared" si="65"/>
        <v>0</v>
      </c>
      <c r="BQ79" s="828">
        <f t="shared" si="61"/>
        <v>1</v>
      </c>
      <c r="BR79" s="815"/>
      <c r="BS79" s="815"/>
      <c r="BT79" s="781"/>
      <c r="BU79" s="781"/>
      <c r="BV79" s="781"/>
      <c r="BW79" s="781"/>
      <c r="BX79" s="781"/>
      <c r="BY79" s="781"/>
      <c r="BZ79" s="781"/>
      <c r="CA79" s="781"/>
      <c r="CB79" s="781"/>
      <c r="CC79" s="781"/>
      <c r="CD79" s="781"/>
      <c r="CE79" s="781"/>
      <c r="CF79" s="781"/>
      <c r="CG79" s="781"/>
      <c r="CH79" s="781"/>
      <c r="CI79" s="781"/>
      <c r="CJ79" s="781"/>
      <c r="CK79" s="781"/>
      <c r="CL79" s="781"/>
      <c r="CM79" s="781"/>
      <c r="CN79" s="781"/>
      <c r="CO79" s="781"/>
      <c r="CP79" s="781"/>
      <c r="CQ79" s="781"/>
      <c r="CR79" s="781"/>
      <c r="CS79" s="781"/>
      <c r="CT79" s="781"/>
      <c r="CU79" s="781"/>
      <c r="CV79" s="781"/>
      <c r="CW79" s="781"/>
      <c r="CX79" s="781"/>
      <c r="CY79" s="781"/>
      <c r="CZ79" s="781"/>
      <c r="DA79" s="781"/>
      <c r="DB79" s="781"/>
      <c r="DC79" s="781"/>
      <c r="DD79" s="781"/>
      <c r="DE79" s="781"/>
      <c r="DF79" s="781"/>
      <c r="DG79" s="781"/>
      <c r="DH79" s="781"/>
      <c r="DI79" s="781"/>
      <c r="DJ79" s="781"/>
      <c r="DK79" s="781"/>
      <c r="DL79" s="781"/>
      <c r="DM79" s="781"/>
      <c r="DN79" s="781"/>
      <c r="DO79" s="781"/>
      <c r="DP79" s="781"/>
    </row>
    <row r="80" spans="1:120" s="793" customFormat="1" ht="12.9" customHeight="1">
      <c r="A80" s="790"/>
      <c r="B80" s="791" t="str">
        <f>'사업수지표 '!C67</f>
        <v>분양수수료(기타분양)</v>
      </c>
      <c r="C80" s="791"/>
      <c r="D80" s="814">
        <f t="shared" si="58"/>
        <v>0</v>
      </c>
      <c r="E80" s="796"/>
      <c r="F80" s="796"/>
      <c r="G80" s="796"/>
      <c r="H80" s="791"/>
      <c r="I80" s="815">
        <f t="shared" ref="I80:AN80" si="66">IF(I4&gt;공사기간,0,(H20+H26+H29)*90%)</f>
        <v>0</v>
      </c>
      <c r="J80" s="815">
        <f t="shared" si="66"/>
        <v>0</v>
      </c>
      <c r="K80" s="815">
        <f t="shared" si="66"/>
        <v>0</v>
      </c>
      <c r="L80" s="815">
        <f t="shared" si="66"/>
        <v>0</v>
      </c>
      <c r="M80" s="815">
        <f t="shared" si="66"/>
        <v>0</v>
      </c>
      <c r="N80" s="815">
        <f t="shared" si="66"/>
        <v>0</v>
      </c>
      <c r="O80" s="815">
        <f t="shared" si="66"/>
        <v>0</v>
      </c>
      <c r="P80" s="815">
        <f t="shared" si="66"/>
        <v>0</v>
      </c>
      <c r="Q80" s="815">
        <f t="shared" si="66"/>
        <v>0</v>
      </c>
      <c r="R80" s="815">
        <f t="shared" si="66"/>
        <v>0</v>
      </c>
      <c r="S80" s="815">
        <f t="shared" si="66"/>
        <v>0</v>
      </c>
      <c r="T80" s="815">
        <f t="shared" si="66"/>
        <v>0</v>
      </c>
      <c r="U80" s="815">
        <f t="shared" si="66"/>
        <v>0</v>
      </c>
      <c r="V80" s="815">
        <f t="shared" si="66"/>
        <v>0</v>
      </c>
      <c r="W80" s="815">
        <f t="shared" si="66"/>
        <v>0</v>
      </c>
      <c r="X80" s="815">
        <f t="shared" si="66"/>
        <v>0</v>
      </c>
      <c r="Y80" s="815">
        <f t="shared" si="66"/>
        <v>0</v>
      </c>
      <c r="Z80" s="815">
        <f t="shared" si="66"/>
        <v>0</v>
      </c>
      <c r="AA80" s="815">
        <f t="shared" si="66"/>
        <v>0</v>
      </c>
      <c r="AB80" s="815">
        <f t="shared" si="66"/>
        <v>0</v>
      </c>
      <c r="AC80" s="815">
        <f t="shared" si="66"/>
        <v>0</v>
      </c>
      <c r="AD80" s="815">
        <f t="shared" si="66"/>
        <v>0</v>
      </c>
      <c r="AE80" s="815">
        <f t="shared" si="66"/>
        <v>0</v>
      </c>
      <c r="AF80" s="815">
        <f t="shared" si="66"/>
        <v>0</v>
      </c>
      <c r="AG80" s="815">
        <f t="shared" si="66"/>
        <v>0</v>
      </c>
      <c r="AH80" s="815">
        <f t="shared" si="66"/>
        <v>0</v>
      </c>
      <c r="AI80" s="815">
        <f t="shared" si="66"/>
        <v>0</v>
      </c>
      <c r="AJ80" s="815">
        <f t="shared" si="66"/>
        <v>0</v>
      </c>
      <c r="AK80" s="815">
        <f t="shared" si="66"/>
        <v>0</v>
      </c>
      <c r="AL80" s="815">
        <f t="shared" si="66"/>
        <v>0</v>
      </c>
      <c r="AM80" s="815">
        <f t="shared" si="66"/>
        <v>0</v>
      </c>
      <c r="AN80" s="815">
        <f t="shared" si="66"/>
        <v>0</v>
      </c>
      <c r="AO80" s="815">
        <f t="shared" ref="AO80:BP80" si="67">IF(AO4&gt;공사기간,0,(AN20+AN26+AN29)*90%)</f>
        <v>0</v>
      </c>
      <c r="AP80" s="815">
        <f t="shared" si="67"/>
        <v>0</v>
      </c>
      <c r="AQ80" s="815">
        <f t="shared" si="67"/>
        <v>0</v>
      </c>
      <c r="AR80" s="815">
        <f t="shared" si="67"/>
        <v>0</v>
      </c>
      <c r="AS80" s="815">
        <f t="shared" si="67"/>
        <v>0</v>
      </c>
      <c r="AT80" s="815">
        <f t="shared" si="67"/>
        <v>0</v>
      </c>
      <c r="AU80" s="815">
        <f t="shared" si="67"/>
        <v>0</v>
      </c>
      <c r="AV80" s="815">
        <f t="shared" si="67"/>
        <v>0</v>
      </c>
      <c r="AW80" s="815">
        <f t="shared" si="67"/>
        <v>0</v>
      </c>
      <c r="AX80" s="815">
        <f t="shared" si="67"/>
        <v>0</v>
      </c>
      <c r="AY80" s="815">
        <f t="shared" si="67"/>
        <v>0</v>
      </c>
      <c r="AZ80" s="815">
        <f t="shared" si="67"/>
        <v>0</v>
      </c>
      <c r="BA80" s="815">
        <f t="shared" si="67"/>
        <v>0</v>
      </c>
      <c r="BB80" s="815">
        <f t="shared" si="67"/>
        <v>0</v>
      </c>
      <c r="BC80" s="815">
        <f t="shared" si="67"/>
        <v>0</v>
      </c>
      <c r="BD80" s="815">
        <f t="shared" si="67"/>
        <v>0</v>
      </c>
      <c r="BE80" s="815">
        <f t="shared" si="67"/>
        <v>0</v>
      </c>
      <c r="BF80" s="815">
        <f t="shared" si="67"/>
        <v>0</v>
      </c>
      <c r="BG80" s="815">
        <f t="shared" si="67"/>
        <v>0</v>
      </c>
      <c r="BH80" s="815">
        <f t="shared" si="67"/>
        <v>0</v>
      </c>
      <c r="BI80" s="815">
        <f t="shared" si="67"/>
        <v>0</v>
      </c>
      <c r="BJ80" s="815">
        <f t="shared" si="67"/>
        <v>0</v>
      </c>
      <c r="BK80" s="815">
        <f t="shared" si="67"/>
        <v>0</v>
      </c>
      <c r="BL80" s="815">
        <f t="shared" si="67"/>
        <v>0</v>
      </c>
      <c r="BM80" s="815">
        <f t="shared" si="67"/>
        <v>0</v>
      </c>
      <c r="BN80" s="815">
        <f t="shared" si="67"/>
        <v>0</v>
      </c>
      <c r="BO80" s="815">
        <f t="shared" si="67"/>
        <v>0</v>
      </c>
      <c r="BP80" s="815">
        <f t="shared" si="67"/>
        <v>0</v>
      </c>
      <c r="BQ80" s="828">
        <f t="shared" si="61"/>
        <v>1</v>
      </c>
      <c r="BR80" s="815"/>
      <c r="BS80" s="815"/>
      <c r="BT80" s="781"/>
      <c r="BU80" s="781"/>
      <c r="BV80" s="781"/>
      <c r="BW80" s="781"/>
      <c r="BX80" s="781"/>
      <c r="BY80" s="781"/>
      <c r="BZ80" s="781"/>
      <c r="CA80" s="781"/>
      <c r="CB80" s="781"/>
      <c r="CC80" s="781"/>
      <c r="CD80" s="781"/>
      <c r="CE80" s="781"/>
      <c r="CF80" s="781"/>
      <c r="CG80" s="781"/>
      <c r="CH80" s="781"/>
      <c r="CI80" s="781"/>
      <c r="CJ80" s="781"/>
      <c r="CK80" s="781"/>
      <c r="CL80" s="781"/>
      <c r="CM80" s="781"/>
      <c r="CN80" s="781"/>
      <c r="CO80" s="781"/>
      <c r="CP80" s="781"/>
      <c r="CQ80" s="781"/>
      <c r="CR80" s="781"/>
      <c r="CS80" s="781"/>
      <c r="CT80" s="781"/>
      <c r="CU80" s="781"/>
      <c r="CV80" s="781"/>
      <c r="CW80" s="781"/>
      <c r="CX80" s="781"/>
      <c r="CY80" s="781"/>
      <c r="CZ80" s="781"/>
      <c r="DA80" s="781"/>
      <c r="DB80" s="781"/>
      <c r="DC80" s="781"/>
      <c r="DD80" s="781"/>
      <c r="DE80" s="781"/>
      <c r="DF80" s="781"/>
      <c r="DG80" s="781"/>
      <c r="DH80" s="781"/>
      <c r="DI80" s="781"/>
      <c r="DJ80" s="781"/>
      <c r="DK80" s="781"/>
      <c r="DL80" s="781"/>
      <c r="DM80" s="781"/>
      <c r="DN80" s="781"/>
      <c r="DO80" s="781"/>
      <c r="DP80" s="781"/>
    </row>
    <row r="81" spans="1:120" s="781" customFormat="1" ht="12.9" customHeight="1">
      <c r="A81" s="798"/>
      <c r="B81" s="799" t="str">
        <f>'사업수지표 '!C68</f>
        <v>분양수수료(상가)</v>
      </c>
      <c r="C81" s="799"/>
      <c r="D81" s="824">
        <f t="shared" si="58"/>
        <v>0.63000000000000012</v>
      </c>
      <c r="E81" s="817"/>
      <c r="F81" s="817"/>
      <c r="G81" s="817"/>
      <c r="H81" s="799"/>
      <c r="I81" s="801">
        <f t="shared" ref="I81" si="68">IF(I4&gt;공사기간,0,H14*90%)</f>
        <v>0</v>
      </c>
      <c r="J81" s="801">
        <f t="shared" ref="J81" si="69">IF(J4&gt;공사기간,0,I14*90%)</f>
        <v>0</v>
      </c>
      <c r="K81" s="801">
        <f t="shared" ref="K81" si="70">IF(K4&gt;공사기간,0,J14*90%)</f>
        <v>0</v>
      </c>
      <c r="L81" s="801">
        <f t="shared" ref="L81" si="71">IF(L4&gt;공사기간,0,K14*90%)</f>
        <v>0</v>
      </c>
      <c r="M81" s="801">
        <f t="shared" ref="M81" si="72">IF(M4&gt;공사기간,0,L14*90%)</f>
        <v>0</v>
      </c>
      <c r="N81" s="801">
        <f t="shared" ref="N81" si="73">IF(N4&gt;공사기간,0,M14*90%)</f>
        <v>0</v>
      </c>
      <c r="O81" s="801">
        <f t="shared" ref="O81" si="74">IF(O4&gt;공사기간,0,N14*90%)</f>
        <v>0</v>
      </c>
      <c r="P81" s="801">
        <f t="shared" ref="P81" si="75">IF(P4&gt;공사기간,0,O14*90%)</f>
        <v>0</v>
      </c>
      <c r="Q81" s="801">
        <f t="shared" ref="Q81" si="76">IF(Q4&gt;공사기간,0,P14*90%)</f>
        <v>0</v>
      </c>
      <c r="R81" s="801">
        <f t="shared" ref="R81" si="77">IF(R4&gt;공사기간,0,Q14*90%)</f>
        <v>0</v>
      </c>
      <c r="S81" s="801">
        <f t="shared" ref="S81" si="78">IF(S4&gt;공사기간,0,R14*90%)</f>
        <v>0</v>
      </c>
      <c r="T81" s="801">
        <f t="shared" ref="T81" si="79">IF(T4&gt;공사기간,0,S14*90%)</f>
        <v>0</v>
      </c>
      <c r="U81" s="801">
        <f t="shared" ref="U81" si="80">IF(U4&gt;공사기간,0,T14*90%)</f>
        <v>0</v>
      </c>
      <c r="V81" s="801">
        <f t="shared" ref="V81" si="81">IF(V4&gt;공사기간,0,U14*90%)</f>
        <v>0</v>
      </c>
      <c r="W81" s="801">
        <f t="shared" ref="W81" si="82">IF(W4&gt;공사기간,0,V14*90%)</f>
        <v>0</v>
      </c>
      <c r="X81" s="801">
        <f t="shared" ref="X81" si="83">IF(X4&gt;공사기간,0,W14*90%)</f>
        <v>0</v>
      </c>
      <c r="Y81" s="801">
        <f t="shared" ref="Y81" si="84">IF(Y4&gt;공사기간,0,X14*90%)</f>
        <v>0</v>
      </c>
      <c r="Z81" s="801">
        <f t="shared" ref="Z81" si="85">IF(Z4&gt;공사기간,0,Y14*90%)</f>
        <v>0</v>
      </c>
      <c r="AA81" s="801">
        <f t="shared" ref="AA81" si="86">IF(AA4&gt;공사기간,0,Z14*90%)</f>
        <v>0</v>
      </c>
      <c r="AB81" s="801">
        <f t="shared" ref="AB81" si="87">IF(AB4&gt;공사기간,0,AA14*90%)</f>
        <v>0</v>
      </c>
      <c r="AC81" s="801">
        <f t="shared" ref="AC81" si="88">IF(AC4&gt;공사기간,0,AB14*90%)</f>
        <v>0</v>
      </c>
      <c r="AD81" s="801">
        <f t="shared" ref="AD81" si="89">IF(AD4&gt;공사기간,0,AC14*90%)</f>
        <v>0</v>
      </c>
      <c r="AE81" s="801">
        <f t="shared" ref="AE81" si="90">IF(AE4&gt;공사기간,0,AD14*90%)</f>
        <v>0</v>
      </c>
      <c r="AF81" s="801">
        <f t="shared" ref="AF81" si="91">IF(AF4&gt;공사기간,0,AE14*90%)</f>
        <v>0</v>
      </c>
      <c r="AG81" s="801">
        <f t="shared" ref="AG81" si="92">IF(AG4&gt;공사기간,0,AF14*90%)</f>
        <v>0.18000000000000002</v>
      </c>
      <c r="AH81" s="801">
        <f t="shared" ref="AH81" si="93">IF(AH4&gt;공사기간,0,AG14*90%)</f>
        <v>0</v>
      </c>
      <c r="AI81" s="801">
        <f t="shared" ref="AI81" si="94">IF(AI4&gt;공사기간,0,AH14*90%)</f>
        <v>0.18000000000000002</v>
      </c>
      <c r="AJ81" s="801">
        <f t="shared" ref="AJ81" si="95">IF(AJ4&gt;공사기간,0,AI14*90%)</f>
        <v>0</v>
      </c>
      <c r="AK81" s="801">
        <f t="shared" ref="AK81" si="96">IF(AK4&gt;공사기간,0,AJ14*90%)</f>
        <v>0.27</v>
      </c>
      <c r="AL81" s="801">
        <f t="shared" ref="AL81" si="97">IF(AL4&gt;공사기간,0,AK14*90%)</f>
        <v>0</v>
      </c>
      <c r="AM81" s="801">
        <f t="shared" ref="AM81" si="98">IF(AM4&gt;공사기간,0,AL14*90%)</f>
        <v>0</v>
      </c>
      <c r="AN81" s="801">
        <f t="shared" ref="AN81" si="99">IF(AN4&gt;공사기간,0,AM14*90%)</f>
        <v>0</v>
      </c>
      <c r="AO81" s="801">
        <f t="shared" ref="AO81" si="100">IF(AO4&gt;공사기간,0,AN14*90%)</f>
        <v>0</v>
      </c>
      <c r="AP81" s="801">
        <f t="shared" ref="AP81" si="101">IF(AP4&gt;공사기간,0,AO14*90%)</f>
        <v>0</v>
      </c>
      <c r="AQ81" s="801">
        <f t="shared" ref="AQ81" si="102">IF(AQ4&gt;공사기간,0,AP14*90%)</f>
        <v>0</v>
      </c>
      <c r="AR81" s="801">
        <f t="shared" ref="AR81" si="103">IF(AR4&gt;공사기간,0,AQ14*90%)</f>
        <v>0</v>
      </c>
      <c r="AS81" s="801">
        <f t="shared" ref="AS81" si="104">IF(AS4&gt;공사기간,0,AR14*90%)</f>
        <v>0</v>
      </c>
      <c r="AT81" s="801">
        <f t="shared" ref="AT81" si="105">IF(AT4&gt;공사기간,0,AS14*90%)</f>
        <v>0</v>
      </c>
      <c r="AU81" s="801">
        <f t="shared" ref="AU81" si="106">IF(AU4&gt;공사기간,0,AT14*90%)</f>
        <v>0</v>
      </c>
      <c r="AV81" s="801">
        <f t="shared" ref="AV81" si="107">IF(AV4&gt;공사기간,0,AU14*90%)</f>
        <v>0</v>
      </c>
      <c r="AW81" s="801">
        <f t="shared" ref="AW81" si="108">IF(AW4&gt;공사기간,0,AV14*90%)</f>
        <v>0</v>
      </c>
      <c r="AX81" s="801">
        <f t="shared" ref="AX81" si="109">IF(AX4&gt;공사기간,0,AW14*90%)</f>
        <v>0</v>
      </c>
      <c r="AY81" s="801">
        <f t="shared" ref="AY81" si="110">IF(AY4&gt;공사기간,0,AX14*90%)</f>
        <v>0</v>
      </c>
      <c r="AZ81" s="801">
        <f t="shared" ref="AZ81" si="111">IF(AZ4&gt;공사기간,0,AY14*90%)</f>
        <v>0</v>
      </c>
      <c r="BA81" s="801">
        <f t="shared" ref="BA81" si="112">IF(BA4&gt;공사기간,0,AZ14*90%)</f>
        <v>0</v>
      </c>
      <c r="BB81" s="801">
        <f t="shared" ref="BB81" si="113">IF(BB4&gt;공사기간,0,BA14*90%)</f>
        <v>0</v>
      </c>
      <c r="BC81" s="801">
        <f t="shared" ref="BC81" si="114">IF(BC4&gt;공사기간,0,BB14*90%)</f>
        <v>0</v>
      </c>
      <c r="BD81" s="801">
        <f t="shared" ref="BD81" si="115">IF(BD4&gt;공사기간,0,BC14*90%)</f>
        <v>0</v>
      </c>
      <c r="BE81" s="801">
        <f t="shared" ref="BE81" si="116">IF(BE4&gt;공사기간,0,BD14*90%)</f>
        <v>0</v>
      </c>
      <c r="BF81" s="801">
        <f t="shared" ref="BF81" si="117">IF(BF4&gt;공사기간,0,BE14*90%)</f>
        <v>0</v>
      </c>
      <c r="BG81" s="801">
        <f t="shared" ref="BG81" si="118">IF(BG4&gt;공사기간,0,BF14*90%)</f>
        <v>0</v>
      </c>
      <c r="BH81" s="801">
        <f t="shared" ref="BH81" si="119">IF(BH4&gt;공사기간,0,BG14*90%)</f>
        <v>0</v>
      </c>
      <c r="BI81" s="801">
        <f t="shared" ref="BI81" si="120">IF(BI4&gt;공사기간,0,BH14*90%)</f>
        <v>0</v>
      </c>
      <c r="BJ81" s="801">
        <f t="shared" ref="BJ81" si="121">IF(BJ4&gt;공사기간,0,BI14*90%)</f>
        <v>0</v>
      </c>
      <c r="BK81" s="801">
        <f t="shared" ref="BK81" si="122">IF(BK4&gt;공사기간,0,BJ14*90%)</f>
        <v>0</v>
      </c>
      <c r="BL81" s="801">
        <f t="shared" ref="BL81" si="123">IF(BL4&gt;공사기간,0,BK14*90%)</f>
        <v>0</v>
      </c>
      <c r="BM81" s="801">
        <f t="shared" ref="BM81" si="124">IF(BM4&gt;공사기간,0,BL14*90%)</f>
        <v>0</v>
      </c>
      <c r="BN81" s="801">
        <f t="shared" ref="BN81" si="125">IF(BN4&gt;공사기간,0,BM14*90%)</f>
        <v>0</v>
      </c>
      <c r="BO81" s="801">
        <f t="shared" ref="BO81" si="126">IF(BO4&gt;공사기간,0,BN14*90%)</f>
        <v>0</v>
      </c>
      <c r="BP81" s="801">
        <f t="shared" ref="BP81" si="127">IF(BP4&gt;공사기간,0,BO14*90%)</f>
        <v>0</v>
      </c>
      <c r="BQ81" s="828">
        <f t="shared" si="61"/>
        <v>0.36999999999999988</v>
      </c>
      <c r="BR81" s="801"/>
      <c r="BS81" s="801"/>
    </row>
    <row r="82" spans="1:120" s="793" customFormat="1" ht="12.9" customHeight="1">
      <c r="A82" s="790"/>
      <c r="B82" s="791" t="str">
        <f>'사업수지표 '!C69</f>
        <v>분양보증수수료</v>
      </c>
      <c r="C82" s="791"/>
      <c r="D82" s="814">
        <f t="shared" si="58"/>
        <v>1</v>
      </c>
      <c r="E82" s="796"/>
      <c r="F82" s="796"/>
      <c r="G82" s="796"/>
      <c r="H82" s="791"/>
      <c r="I82" s="815">
        <v>1</v>
      </c>
      <c r="J82" s="815"/>
      <c r="K82" s="815"/>
      <c r="L82" s="815"/>
      <c r="M82" s="815"/>
      <c r="N82" s="815"/>
      <c r="O82" s="815"/>
      <c r="P82" s="815"/>
      <c r="Q82" s="815"/>
      <c r="R82" s="815"/>
      <c r="S82" s="815"/>
      <c r="T82" s="815"/>
      <c r="U82" s="815"/>
      <c r="V82" s="815"/>
      <c r="W82" s="815"/>
      <c r="X82" s="815"/>
      <c r="Y82" s="815"/>
      <c r="Z82" s="815"/>
      <c r="AA82" s="815"/>
      <c r="AB82" s="815"/>
      <c r="AC82" s="815"/>
      <c r="AD82" s="815"/>
      <c r="AE82" s="815"/>
      <c r="AF82" s="815"/>
      <c r="AG82" s="815"/>
      <c r="AH82" s="815"/>
      <c r="AI82" s="815"/>
      <c r="AJ82" s="815"/>
      <c r="AK82" s="815"/>
      <c r="AL82" s="815"/>
      <c r="AM82" s="815"/>
      <c r="AN82" s="815"/>
      <c r="AO82" s="815"/>
      <c r="AP82" s="815"/>
      <c r="AQ82" s="815"/>
      <c r="AR82" s="815"/>
      <c r="AS82" s="815"/>
      <c r="AT82" s="815"/>
      <c r="AU82" s="815"/>
      <c r="AV82" s="815"/>
      <c r="AW82" s="815"/>
      <c r="AX82" s="815"/>
      <c r="AY82" s="815"/>
      <c r="AZ82" s="815"/>
      <c r="BA82" s="815"/>
      <c r="BB82" s="815"/>
      <c r="BC82" s="815"/>
      <c r="BD82" s="815"/>
      <c r="BE82" s="815"/>
      <c r="BF82" s="815"/>
      <c r="BG82" s="815"/>
      <c r="BH82" s="815"/>
      <c r="BI82" s="815"/>
      <c r="BJ82" s="815"/>
      <c r="BK82" s="815"/>
      <c r="BL82" s="815"/>
      <c r="BM82" s="815"/>
      <c r="BN82" s="815"/>
      <c r="BO82" s="815"/>
      <c r="BP82" s="819"/>
      <c r="BQ82" s="828">
        <f t="shared" si="61"/>
        <v>0</v>
      </c>
      <c r="BR82" s="815"/>
      <c r="BS82" s="815"/>
      <c r="BT82" s="781"/>
      <c r="BU82" s="781"/>
      <c r="BV82" s="781"/>
      <c r="BW82" s="781"/>
      <c r="BX82" s="781"/>
      <c r="BY82" s="781"/>
      <c r="BZ82" s="781"/>
      <c r="CA82" s="781"/>
      <c r="CB82" s="781"/>
      <c r="CC82" s="781"/>
      <c r="CD82" s="781"/>
      <c r="CE82" s="781"/>
      <c r="CF82" s="781"/>
      <c r="CG82" s="781"/>
      <c r="CH82" s="781"/>
      <c r="CI82" s="781"/>
      <c r="CJ82" s="781"/>
      <c r="CK82" s="781"/>
      <c r="CL82" s="781"/>
      <c r="CM82" s="781"/>
      <c r="CN82" s="781"/>
      <c r="CO82" s="781"/>
      <c r="CP82" s="781"/>
      <c r="CQ82" s="781"/>
      <c r="CR82" s="781"/>
      <c r="CS82" s="781"/>
      <c r="CT82" s="781"/>
      <c r="CU82" s="781"/>
      <c r="CV82" s="781"/>
      <c r="CW82" s="781"/>
      <c r="CX82" s="781"/>
      <c r="CY82" s="781"/>
      <c r="CZ82" s="781"/>
      <c r="DA82" s="781"/>
      <c r="DB82" s="781"/>
      <c r="DC82" s="781"/>
      <c r="DD82" s="781"/>
      <c r="DE82" s="781"/>
      <c r="DF82" s="781"/>
      <c r="DG82" s="781"/>
      <c r="DH82" s="781"/>
      <c r="DI82" s="781"/>
      <c r="DJ82" s="781"/>
      <c r="DK82" s="781"/>
      <c r="DL82" s="781"/>
      <c r="DM82" s="781"/>
      <c r="DN82" s="781"/>
      <c r="DO82" s="781"/>
      <c r="DP82" s="781"/>
    </row>
    <row r="83" spans="1:120" s="793" customFormat="1" ht="12.9" customHeight="1">
      <c r="A83" s="790"/>
      <c r="B83" s="791" t="str">
        <f>'사업수지표 '!C70</f>
        <v>광고비용</v>
      </c>
      <c r="C83" s="791"/>
      <c r="D83" s="814">
        <f t="shared" si="58"/>
        <v>0.99999999999999967</v>
      </c>
      <c r="E83" s="796"/>
      <c r="F83" s="796"/>
      <c r="G83" s="796"/>
      <c r="H83" s="791"/>
      <c r="I83" s="815">
        <v>0.3</v>
      </c>
      <c r="J83" s="815">
        <f>IF(J4&gt;('사업수지표 '!$L$62),0,(1-($I$83))/('사업수지표 '!$L$62-1))</f>
        <v>6.363636363636363E-2</v>
      </c>
      <c r="K83" s="815">
        <f>IF(K4&gt;('사업수지표 '!$L$62),0,(1-($I$83))/('사업수지표 '!$L$62-1))</f>
        <v>6.363636363636363E-2</v>
      </c>
      <c r="L83" s="815">
        <f>IF(L4&gt;('사업수지표 '!$L$62),0,(1-($I$83))/('사업수지표 '!$L$62-1))</f>
        <v>6.363636363636363E-2</v>
      </c>
      <c r="M83" s="815">
        <f>IF(M4&gt;('사업수지표 '!$L$62),0,(1-($I$83))/('사업수지표 '!$L$62-1))</f>
        <v>6.363636363636363E-2</v>
      </c>
      <c r="N83" s="815">
        <f>IF(N4&gt;('사업수지표 '!$L$62),0,(1-($I$83))/('사업수지표 '!$L$62-1))</f>
        <v>6.363636363636363E-2</v>
      </c>
      <c r="O83" s="815">
        <f>IF(O4&gt;('사업수지표 '!$L$62),0,(1-($I$83))/('사업수지표 '!$L$62-1))</f>
        <v>6.363636363636363E-2</v>
      </c>
      <c r="P83" s="815">
        <f>IF(P4&gt;('사업수지표 '!$L$62),0,(1-($I$83))/('사업수지표 '!$L$62-1))</f>
        <v>6.363636363636363E-2</v>
      </c>
      <c r="Q83" s="815">
        <f>IF(Q4&gt;('사업수지표 '!$L$62),0,(1-($I$83))/('사업수지표 '!$L$62-1))</f>
        <v>6.363636363636363E-2</v>
      </c>
      <c r="R83" s="815">
        <f>IF(R4&gt;('사업수지표 '!$L$62),0,(1-($I$83))/('사업수지표 '!$L$62-1))</f>
        <v>6.363636363636363E-2</v>
      </c>
      <c r="S83" s="815">
        <f>IF(S4&gt;('사업수지표 '!$L$62),0,(1-($I$83))/('사업수지표 '!$L$62-1))</f>
        <v>6.363636363636363E-2</v>
      </c>
      <c r="T83" s="815">
        <f>IF(T4&gt;('사업수지표 '!$L$62),0,(1-($I$83))/('사업수지표 '!$L$62-1))</f>
        <v>6.363636363636363E-2</v>
      </c>
      <c r="U83" s="815">
        <f>IF(U4&gt;('사업수지표 '!$L$62),0,(1-($I$83))/('사업수지표 '!$L$62-1))</f>
        <v>0</v>
      </c>
      <c r="V83" s="815">
        <f>IF(V4&gt;('사업수지표 '!$L$62),0,(1-($I$83))/('사업수지표 '!$L$62-1))</f>
        <v>0</v>
      </c>
      <c r="W83" s="815">
        <f>IF(W4&gt;('사업수지표 '!$L$62),0,(1-($I$83))/('사업수지표 '!$L$62-1))</f>
        <v>0</v>
      </c>
      <c r="X83" s="815">
        <f>IF(X4&gt;('사업수지표 '!$L$62),0,(1-($I$83))/('사업수지표 '!$L$62-1))</f>
        <v>0</v>
      </c>
      <c r="Y83" s="815">
        <f>IF(Y4&gt;('사업수지표 '!$L$62),0,(1-($I$83))/('사업수지표 '!$L$62-1))</f>
        <v>0</v>
      </c>
      <c r="Z83" s="815">
        <f>IF(Z4&gt;('사업수지표 '!$L$62),0,(1-($I$83))/('사업수지표 '!$L$62-1))</f>
        <v>0</v>
      </c>
      <c r="AA83" s="815">
        <f>IF(AA4&gt;('사업수지표 '!$L$62),0,(1-($I$83))/('사업수지표 '!$L$62-1))</f>
        <v>0</v>
      </c>
      <c r="AB83" s="815">
        <f>IF(AB4&gt;('사업수지표 '!$L$62),0,(1-($I$83))/('사업수지표 '!$L$62-1))</f>
        <v>0</v>
      </c>
      <c r="AC83" s="815">
        <f>IF(AC4&gt;('사업수지표 '!$L$62),0,(1-($I$83))/('사업수지표 '!$L$62-1))</f>
        <v>0</v>
      </c>
      <c r="AD83" s="815">
        <f>IF(AD4&gt;('사업수지표 '!$L$62),0,(1-($I$83))/('사업수지표 '!$L$62-1))</f>
        <v>0</v>
      </c>
      <c r="AE83" s="815">
        <f>IF(AE4&gt;('사업수지표 '!$L$62),0,(1-($I$83))/('사업수지표 '!$L$62-1))</f>
        <v>0</v>
      </c>
      <c r="AF83" s="815">
        <f>IF(AF4&gt;('사업수지표 '!$L$62),0,(1-($I$83))/('사업수지표 '!$L$62-1))</f>
        <v>0</v>
      </c>
      <c r="AG83" s="815">
        <f>IF(AG4&gt;('사업수지표 '!$L$62),0,(1-($I$83))/('사업수지표 '!$L$62-1))</f>
        <v>0</v>
      </c>
      <c r="AH83" s="815">
        <f>IF(AH4&gt;('사업수지표 '!$L$62),0,(1-($I$83))/('사업수지표 '!$L$62-1))</f>
        <v>0</v>
      </c>
      <c r="AI83" s="815">
        <f>IF(AI4&gt;('사업수지표 '!$L$62),0,(1-($I$83))/('사업수지표 '!$L$62-1))</f>
        <v>0</v>
      </c>
      <c r="AJ83" s="815">
        <f>IF(AJ4&gt;('사업수지표 '!$L$62),0,(1-($I$83))/('사업수지표 '!$L$62-1))</f>
        <v>0</v>
      </c>
      <c r="AK83" s="815">
        <f>IF(AK4&gt;('사업수지표 '!$L$62),0,(1-($I$83))/('사업수지표 '!$L$62-1))</f>
        <v>0</v>
      </c>
      <c r="AL83" s="815">
        <f>IF(AL4&gt;('사업수지표 '!$L$62),0,(1-($I$83))/('사업수지표 '!$L$62-1))</f>
        <v>0</v>
      </c>
      <c r="AM83" s="815">
        <f>IF(AM4&gt;('사업수지표 '!$L$62),0,(1-($I$83))/('사업수지표 '!$L$62-1))</f>
        <v>0</v>
      </c>
      <c r="AN83" s="815">
        <f>IF(AN4&gt;('사업수지표 '!$L$62),0,(1-($I$83))/('사업수지표 '!$L$62-1))</f>
        <v>0</v>
      </c>
      <c r="AO83" s="815">
        <f>IF(AO4&gt;('사업수지표 '!$L$62),0,(1-($I$83))/('사업수지표 '!$L$62-1))</f>
        <v>0</v>
      </c>
      <c r="AP83" s="815">
        <f>IF(AP4&gt;('사업수지표 '!$L$62),0,(1-($I$83))/('사업수지표 '!$L$62-1))</f>
        <v>0</v>
      </c>
      <c r="AQ83" s="815">
        <f>IF(AQ4&gt;('사업수지표 '!$L$62),0,(1-($I$83))/('사업수지표 '!$L$62-1))</f>
        <v>0</v>
      </c>
      <c r="AR83" s="815">
        <f>IF(AR4&gt;('사업수지표 '!$L$62),0,(1-($I$83))/('사업수지표 '!$L$62-1))</f>
        <v>0</v>
      </c>
      <c r="AS83" s="815">
        <f>IF(AS4&gt;('사업수지표 '!$L$62),0,(1-($I$83))/('사업수지표 '!$L$62-1))</f>
        <v>0</v>
      </c>
      <c r="AT83" s="815">
        <f>IF(AT4&gt;('사업수지표 '!$L$62),0,(1-($I$83))/('사업수지표 '!$L$62-1))</f>
        <v>0</v>
      </c>
      <c r="AU83" s="815">
        <f>IF(AU4&gt;('사업수지표 '!$L$62),0,(1-($I$83))/('사업수지표 '!$L$62-1))</f>
        <v>0</v>
      </c>
      <c r="AV83" s="815">
        <f>IF(AV4&gt;('사업수지표 '!$L$62),0,(1-($I$83))/('사업수지표 '!$L$62-1))</f>
        <v>0</v>
      </c>
      <c r="AW83" s="815">
        <f>IF(AW4&gt;('사업수지표 '!$L$62),0,(1-($I$83))/('사업수지표 '!$L$62-1))</f>
        <v>0</v>
      </c>
      <c r="AX83" s="815">
        <f>IF(AX4&gt;('사업수지표 '!$L$62),0,(1-($I$83))/('사업수지표 '!$L$62-1))</f>
        <v>0</v>
      </c>
      <c r="AY83" s="815">
        <f>IF(AY4&gt;('사업수지표 '!$L$62),0,(1-($I$83))/('사업수지표 '!$L$62-1))</f>
        <v>0</v>
      </c>
      <c r="AZ83" s="815">
        <f>IF(AZ4&gt;('사업수지표 '!$L$62),0,(1-($I$83))/('사업수지표 '!$L$62-1))</f>
        <v>0</v>
      </c>
      <c r="BA83" s="815">
        <f>IF(BA4&gt;('사업수지표 '!$L$62),0,(1-($I$83))/('사업수지표 '!$L$62-1))</f>
        <v>0</v>
      </c>
      <c r="BB83" s="815">
        <f>IF(BB4&gt;('사업수지표 '!$L$62),0,(1-($I$83))/('사업수지표 '!$L$62-1))</f>
        <v>0</v>
      </c>
      <c r="BC83" s="815">
        <f>IF(BC4&gt;('사업수지표 '!$L$62),0,(1-($I$83))/('사업수지표 '!$L$62-1))</f>
        <v>0</v>
      </c>
      <c r="BD83" s="815">
        <f>IF(BD4&gt;('사업수지표 '!$L$62),0,(1-($I$83))/('사업수지표 '!$L$62-1))</f>
        <v>0</v>
      </c>
      <c r="BE83" s="815">
        <f>IF(BE4&gt;('사업수지표 '!$L$62),0,(1-($I$83))/('사업수지표 '!$L$62-1))</f>
        <v>0</v>
      </c>
      <c r="BF83" s="815">
        <f>IF(BF4&gt;('사업수지표 '!$L$62),0,(1-($I$83))/('사업수지표 '!$L$62-1))</f>
        <v>0</v>
      </c>
      <c r="BG83" s="815">
        <f>IF(BG4&gt;('사업수지표 '!$L$62),0,(1-($I$83))/('사업수지표 '!$L$62-1))</f>
        <v>0</v>
      </c>
      <c r="BH83" s="815">
        <f>IF(BH4&gt;('사업수지표 '!$L$62),0,(1-($I$83))/('사업수지표 '!$L$62-1))</f>
        <v>0</v>
      </c>
      <c r="BI83" s="815">
        <f>IF(BI4&gt;('사업수지표 '!$L$62),0,(1-($I$83))/('사업수지표 '!$L$62-1))</f>
        <v>0</v>
      </c>
      <c r="BJ83" s="815">
        <f>IF(BJ4&gt;('사업수지표 '!$L$62),0,(1-($I$83))/('사업수지표 '!$L$62-1))</f>
        <v>0</v>
      </c>
      <c r="BK83" s="815">
        <f>IF(BK4&gt;('사업수지표 '!$L$62),0,(1-($I$83))/('사업수지표 '!$L$62-1))</f>
        <v>0</v>
      </c>
      <c r="BL83" s="815">
        <f>IF(BL4&gt;('사업수지표 '!$L$62),0,(1-($I$83))/('사업수지표 '!$L$62-1))</f>
        <v>0</v>
      </c>
      <c r="BM83" s="815">
        <f>IF(BM4&gt;('사업수지표 '!$L$62),0,(1-($I$83))/('사업수지표 '!$L$62-1))</f>
        <v>0</v>
      </c>
      <c r="BN83" s="815">
        <f>IF(BN4&gt;('사업수지표 '!$L$62),0,(1-($I$83))/('사업수지표 '!$L$62-1))</f>
        <v>0</v>
      </c>
      <c r="BO83" s="815">
        <f>IF(BO4&gt;('사업수지표 '!$L$62),0,(1-($I$83))/('사업수지표 '!$L$62-1))</f>
        <v>0</v>
      </c>
      <c r="BP83" s="815">
        <f>IF(BP4&gt;('사업수지표 '!$L$62),0,(1-($I$83))/('사업수지표 '!$L$62-1))</f>
        <v>0</v>
      </c>
      <c r="BQ83" s="828">
        <f t="shared" si="61"/>
        <v>0</v>
      </c>
      <c r="BR83" s="815"/>
      <c r="BS83" s="815"/>
      <c r="BT83" s="781"/>
      <c r="BU83" s="781"/>
      <c r="BV83" s="781"/>
      <c r="BW83" s="781"/>
      <c r="BX83" s="781"/>
      <c r="BY83" s="781"/>
      <c r="BZ83" s="781"/>
      <c r="CA83" s="781"/>
      <c r="CB83" s="781"/>
      <c r="CC83" s="781"/>
      <c r="CD83" s="781"/>
      <c r="CE83" s="781"/>
      <c r="CF83" s="781"/>
      <c r="CG83" s="781"/>
      <c r="CH83" s="781"/>
      <c r="CI83" s="781"/>
      <c r="CJ83" s="781"/>
      <c r="CK83" s="781"/>
      <c r="CL83" s="781"/>
      <c r="CM83" s="781"/>
      <c r="CN83" s="781"/>
      <c r="CO83" s="781"/>
      <c r="CP83" s="781"/>
      <c r="CQ83" s="781"/>
      <c r="CR83" s="781"/>
      <c r="CS83" s="781"/>
      <c r="CT83" s="781"/>
      <c r="CU83" s="781"/>
      <c r="CV83" s="781"/>
      <c r="CW83" s="781"/>
      <c r="CX83" s="781"/>
      <c r="CY83" s="781"/>
      <c r="CZ83" s="781"/>
      <c r="DA83" s="781"/>
      <c r="DB83" s="781"/>
      <c r="DC83" s="781"/>
      <c r="DD83" s="781"/>
      <c r="DE83" s="781"/>
      <c r="DF83" s="781"/>
      <c r="DG83" s="781"/>
      <c r="DH83" s="781"/>
      <c r="DI83" s="781"/>
      <c r="DJ83" s="781"/>
      <c r="DK83" s="781"/>
      <c r="DL83" s="781"/>
      <c r="DM83" s="781"/>
      <c r="DN83" s="781"/>
      <c r="DO83" s="781"/>
      <c r="DP83" s="781"/>
    </row>
    <row r="84" spans="1:120" s="781" customFormat="1" ht="12.9" customHeight="1">
      <c r="A84" s="798"/>
      <c r="B84" s="799">
        <f>'사업수지표 '!C71</f>
        <v>0</v>
      </c>
      <c r="C84" s="799"/>
      <c r="D84" s="824">
        <f t="shared" si="58"/>
        <v>0.99999999999999989</v>
      </c>
      <c r="E84" s="817"/>
      <c r="F84" s="801">
        <v>0.3</v>
      </c>
      <c r="G84" s="817"/>
      <c r="H84" s="799"/>
      <c r="I84" s="801">
        <f>IF(I5="착공",30%,IF(I4=Equity!$G$27,30%,(IF(I5="준공",10%,))))</f>
        <v>0.3</v>
      </c>
      <c r="J84" s="801">
        <f>IF(J5="착공",30%,IF(J4=Equity!$G$27,30%,(IF(J5="준공",10%,))))</f>
        <v>0</v>
      </c>
      <c r="K84" s="801">
        <f>IF(K5="착공",30%,IF(K4=Equity!$G$27,30%,(IF(K5="준공",10%,))))</f>
        <v>0</v>
      </c>
      <c r="L84" s="801">
        <f>IF(L5="착공",30%,IF(L4=Equity!$G$27,30%,(IF(L5="준공",10%,))))</f>
        <v>0.3</v>
      </c>
      <c r="M84" s="801">
        <f>IF(M5="착공",30%,IF(M4=Equity!$G$27,30%,(IF(M5="준공",10%,))))</f>
        <v>0</v>
      </c>
      <c r="N84" s="801">
        <f>IF(N5="착공",30%,IF(N4=Equity!$G$27,30%,(IF(N5="준공",10%,))))</f>
        <v>0</v>
      </c>
      <c r="O84" s="801">
        <f>IF(O5="착공",30%,IF(O4=Equity!$G$27,30%,(IF(O5="준공",10%,))))</f>
        <v>0</v>
      </c>
      <c r="P84" s="801">
        <f>IF(P5="착공",30%,IF(P4=Equity!$G$27,30%,(IF(P5="준공",10%,))))</f>
        <v>0</v>
      </c>
      <c r="Q84" s="801">
        <f>IF(Q5="착공",30%,IF(Q4=Equity!$G$27,30%,(IF(Q5="준공",10%,))))</f>
        <v>0</v>
      </c>
      <c r="R84" s="801">
        <f>IF(R5="착공",30%,IF(R4=Equity!$G$27,30%,(IF(R5="준공",10%,))))</f>
        <v>0</v>
      </c>
      <c r="S84" s="801">
        <f>IF(S5="착공",30%,IF(S4=Equity!$G$27,30%,(IF(S5="준공",10%,))))</f>
        <v>0</v>
      </c>
      <c r="T84" s="801">
        <f>IF(T5="착공",30%,IF(T4=Equity!$G$27,30%,(IF(T5="준공",10%,))))</f>
        <v>0</v>
      </c>
      <c r="U84" s="801">
        <f>IF(U5="착공",30%,IF(U4=Equity!$G$27,30%,(IF(U5="준공",10%,))))</f>
        <v>0</v>
      </c>
      <c r="V84" s="801">
        <f>IF(V5="착공",30%,IF(V4=Equity!$G$27,30%,(IF(V5="준공",10%,))))</f>
        <v>0</v>
      </c>
      <c r="W84" s="801">
        <f>IF(W5="착공",30%,IF(W4=Equity!$G$27,30%,(IF(W5="준공",10%,))))</f>
        <v>0</v>
      </c>
      <c r="X84" s="801">
        <f>IF(X5="착공",30%,IF(X4=Equity!$G$27,30%,(IF(X5="준공",10%,))))</f>
        <v>0</v>
      </c>
      <c r="Y84" s="801">
        <f>IF(Y5="착공",30%,IF(Y4=Equity!$G$27,30%,(IF(Y5="준공",10%,))))</f>
        <v>0</v>
      </c>
      <c r="Z84" s="801">
        <f>IF(Z5="착공",30%,IF(Z4=Equity!$G$27,30%,(IF(Z5="준공",10%,))))</f>
        <v>0</v>
      </c>
      <c r="AA84" s="801">
        <f>IF(AA5="착공",30%,IF(AA4=Equity!$G$27,30%,(IF(AA5="준공",10%,))))</f>
        <v>0</v>
      </c>
      <c r="AB84" s="801">
        <f>IF(AB5="착공",30%,IF(AB4=Equity!$G$27,30%,(IF(AB5="준공",10%,))))</f>
        <v>0</v>
      </c>
      <c r="AC84" s="801">
        <f>IF(AC5="착공",30%,IF(AC4=Equity!$G$27,30%,(IF(AC5="준공",10%,))))</f>
        <v>0</v>
      </c>
      <c r="AD84" s="801">
        <f>IF(AD5="착공",30%,IF(AD4=Equity!$G$27,30%,(IF(AD5="준공",10%,))))</f>
        <v>0</v>
      </c>
      <c r="AE84" s="801">
        <f>IF(AE5="착공",30%,IF(AE4=Equity!$G$27,30%,(IF(AE5="준공",10%,))))</f>
        <v>0</v>
      </c>
      <c r="AF84" s="801">
        <f>IF(AF5="착공",30%,IF(AF4=Equity!$G$27,30%,(IF(AF5="준공",10%,))))</f>
        <v>0</v>
      </c>
      <c r="AG84" s="801">
        <f>IF(AG5="착공",30%,IF(AG4=Equity!$G$27,30%,(IF(AG5="준공",10%,))))</f>
        <v>0</v>
      </c>
      <c r="AH84" s="801">
        <f>IF(AH5="착공",30%,IF(AH4=Equity!$G$27,30%,(IF(AH5="준공",10%,))))</f>
        <v>0</v>
      </c>
      <c r="AI84" s="801">
        <f>IF(AI5="착공",30%,IF(AI4=Equity!$G$27,30%,(IF(AI5="준공",10%,))))</f>
        <v>0</v>
      </c>
      <c r="AJ84" s="801">
        <f>IF(AJ5="착공",30%,IF(AJ4=Equity!$G$27,30%,(IF(AJ5="준공",10%,))))</f>
        <v>0</v>
      </c>
      <c r="AK84" s="801">
        <f>IF(AK5="착공",30%,IF(AK4=Equity!$G$27,30%,(IF(AK5="준공",10%,))))</f>
        <v>0</v>
      </c>
      <c r="AL84" s="801">
        <f>IF(AL5="착공",30%,IF(AL4=Equity!$G$27,30%,(IF(AL5="준공",10%,))))</f>
        <v>0.1</v>
      </c>
      <c r="AM84" s="801">
        <f>IF(AM5="착공",30%,IF(AM4=Equity!$G$27,30%,(IF(AM5="준공",10%,))))</f>
        <v>0</v>
      </c>
      <c r="AN84" s="801">
        <f>IF(AN5="착공",30%,IF(AN4=Equity!$G$27,30%,(IF(AN5="준공",10%,))))</f>
        <v>0</v>
      </c>
      <c r="AO84" s="801">
        <f>IF(AO5="착공",30%,IF(AO4=Equity!$G$27,30%,(IF(AO5="준공",10%,))))</f>
        <v>0</v>
      </c>
      <c r="AP84" s="801">
        <f>IF(AP5="착공",30%,IF(AP4=Equity!$G$27,30%,(IF(AP5="준공",10%,))))</f>
        <v>0</v>
      </c>
      <c r="AQ84" s="801">
        <f>IF(AQ5="착공",30%,IF(AQ4=Equity!$G$27,30%,(IF(AQ5="준공",10%,))))</f>
        <v>0</v>
      </c>
      <c r="AR84" s="801">
        <f>IF(AR5="착공",30%,IF(AR4=Equity!$G$27,30%,(IF(AR5="준공",10%,))))</f>
        <v>0</v>
      </c>
      <c r="AS84" s="801">
        <f>IF(AS5="착공",30%,IF(AS4=Equity!$G$27,30%,(IF(AS5="준공",10%,))))</f>
        <v>0</v>
      </c>
      <c r="AT84" s="801">
        <f>IF(AT5="착공",30%,IF(AT4=Equity!$G$27,30%,(IF(AT5="준공",10%,))))</f>
        <v>0</v>
      </c>
      <c r="AU84" s="801">
        <f>IF(AU5="착공",30%,IF(AU4=Equity!$G$27,30%,(IF(AU5="준공",10%,))))</f>
        <v>0</v>
      </c>
      <c r="AV84" s="801">
        <f>IF(AV5="착공",30%,IF(AV4=Equity!$G$27,30%,(IF(AV5="준공",10%,))))</f>
        <v>0</v>
      </c>
      <c r="AW84" s="801">
        <f>IF(AW5="착공",30%,IF(AW4=Equity!$G$27,30%,(IF(AW5="준공",10%,))))</f>
        <v>0</v>
      </c>
      <c r="AX84" s="801">
        <f>IF(AX5="착공",30%,IF(AX4=Equity!$G$27,30%,(IF(AX5="준공",10%,))))</f>
        <v>0</v>
      </c>
      <c r="AY84" s="801">
        <f>IF(AY5="착공",30%,IF(AY4=Equity!$G$27,30%,(IF(AY5="준공",10%,))))</f>
        <v>0</v>
      </c>
      <c r="AZ84" s="801">
        <f>IF(AZ5="착공",30%,IF(AZ4=Equity!$G$27,30%,(IF(AZ5="준공",10%,))))</f>
        <v>0</v>
      </c>
      <c r="BA84" s="801">
        <f>IF(BA5="착공",30%,IF(BA4=Equity!$G$27,30%,(IF(BA5="준공",10%,))))</f>
        <v>0</v>
      </c>
      <c r="BB84" s="801">
        <f>IF(BB5="착공",30%,IF(BB4=Equity!$G$27,30%,(IF(BB5="준공",10%,))))</f>
        <v>0</v>
      </c>
      <c r="BC84" s="801">
        <f>IF(BC5="착공",30%,IF(BC4=Equity!$G$27,30%,(IF(BC5="준공",10%,))))</f>
        <v>0</v>
      </c>
      <c r="BD84" s="801">
        <f>IF(BD5="착공",30%,IF(BD4=Equity!$G$27,30%,(IF(BD5="준공",10%,))))</f>
        <v>0</v>
      </c>
      <c r="BE84" s="801">
        <f>IF(BE5="착공",30%,IF(BE4=Equity!$G$27,30%,(IF(BE5="준공",10%,))))</f>
        <v>0</v>
      </c>
      <c r="BF84" s="801">
        <f>IF(BF5="착공",30%,IF(BF4=Equity!$G$27,30%,(IF(BF5="준공",10%,))))</f>
        <v>0</v>
      </c>
      <c r="BG84" s="801">
        <f>IF(BG5="착공",30%,IF(BG4=Equity!$G$27,30%,(IF(BG5="준공",10%,))))</f>
        <v>0</v>
      </c>
      <c r="BH84" s="801">
        <f>IF(BH5="착공",30%,IF(BH4=Equity!$G$27,30%,(IF(BH5="준공",10%,))))</f>
        <v>0</v>
      </c>
      <c r="BI84" s="801">
        <f>IF(BI5="착공",30%,IF(BI4=Equity!$G$27,30%,(IF(BI5="준공",10%,))))</f>
        <v>0</v>
      </c>
      <c r="BJ84" s="801">
        <f>IF(BJ5="착공",30%,IF(BJ4=Equity!$G$27,30%,(IF(BJ5="준공",10%,))))</f>
        <v>0</v>
      </c>
      <c r="BK84" s="801">
        <f>IF(BK5="착공",30%,IF(BK4=Equity!$G$27,30%,(IF(BK5="준공",10%,))))</f>
        <v>0</v>
      </c>
      <c r="BL84" s="801">
        <f>IF(BL5="착공",30%,IF(BL4=Equity!$G$27,30%,(IF(BL5="준공",10%,))))</f>
        <v>0</v>
      </c>
      <c r="BM84" s="801">
        <f>IF(BM5="착공",30%,IF(BM4=Equity!$G$27,30%,(IF(BM5="준공",10%,))))</f>
        <v>0</v>
      </c>
      <c r="BN84" s="801">
        <f>IF(BN5="착공",30%,IF(BN4=Equity!$G$27,30%,(IF(BN5="준공",10%,))))</f>
        <v>0</v>
      </c>
      <c r="BO84" s="801">
        <f>IF(BO5="착공",30%,IF(BO4=Equity!$G$27,30%,(IF(BO5="준공",10%,))))</f>
        <v>0</v>
      </c>
      <c r="BP84" s="825">
        <f>IF(BP5="착공",30%,IF(BP4=Equity!$G$27,30%,(IF(BP5="준공",10%,))))</f>
        <v>0</v>
      </c>
      <c r="BQ84" s="828">
        <f t="shared" si="61"/>
        <v>0</v>
      </c>
      <c r="BR84" s="801"/>
      <c r="BS84" s="801"/>
    </row>
    <row r="85" spans="1:120" s="793" customFormat="1" ht="12.9" customHeight="1">
      <c r="A85" s="790"/>
      <c r="B85" s="791" t="str">
        <f>'사업수지표 '!C72</f>
        <v>기타비용</v>
      </c>
      <c r="C85" s="791"/>
      <c r="D85" s="814">
        <f t="shared" si="58"/>
        <v>1</v>
      </c>
      <c r="E85" s="796"/>
      <c r="F85" s="796"/>
      <c r="G85" s="796"/>
      <c r="H85" s="791"/>
      <c r="I85" s="815">
        <f t="shared" ref="I85:BP85" si="128">IF(I5="착공",50%,IF(I5="준공",50%,))</f>
        <v>0.5</v>
      </c>
      <c r="J85" s="815">
        <f t="shared" si="128"/>
        <v>0</v>
      </c>
      <c r="K85" s="815">
        <f t="shared" si="128"/>
        <v>0</v>
      </c>
      <c r="L85" s="815">
        <f t="shared" si="128"/>
        <v>0</v>
      </c>
      <c r="M85" s="815">
        <f t="shared" si="128"/>
        <v>0</v>
      </c>
      <c r="N85" s="815">
        <f t="shared" si="128"/>
        <v>0</v>
      </c>
      <c r="O85" s="815">
        <f t="shared" si="128"/>
        <v>0</v>
      </c>
      <c r="P85" s="815">
        <f t="shared" si="128"/>
        <v>0</v>
      </c>
      <c r="Q85" s="815">
        <f t="shared" si="128"/>
        <v>0</v>
      </c>
      <c r="R85" s="815">
        <f t="shared" si="128"/>
        <v>0</v>
      </c>
      <c r="S85" s="815">
        <f t="shared" si="128"/>
        <v>0</v>
      </c>
      <c r="T85" s="815">
        <f t="shared" si="128"/>
        <v>0</v>
      </c>
      <c r="U85" s="815">
        <f t="shared" si="128"/>
        <v>0</v>
      </c>
      <c r="V85" s="815">
        <f t="shared" si="128"/>
        <v>0</v>
      </c>
      <c r="W85" s="815">
        <f t="shared" si="128"/>
        <v>0</v>
      </c>
      <c r="X85" s="815">
        <f t="shared" si="128"/>
        <v>0</v>
      </c>
      <c r="Y85" s="815">
        <f t="shared" si="128"/>
        <v>0</v>
      </c>
      <c r="Z85" s="815">
        <f t="shared" si="128"/>
        <v>0</v>
      </c>
      <c r="AA85" s="815">
        <f t="shared" si="128"/>
        <v>0</v>
      </c>
      <c r="AB85" s="815">
        <f t="shared" si="128"/>
        <v>0</v>
      </c>
      <c r="AC85" s="815">
        <f t="shared" si="128"/>
        <v>0</v>
      </c>
      <c r="AD85" s="815">
        <f t="shared" si="128"/>
        <v>0</v>
      </c>
      <c r="AE85" s="815">
        <f t="shared" si="128"/>
        <v>0</v>
      </c>
      <c r="AF85" s="815">
        <f t="shared" si="128"/>
        <v>0</v>
      </c>
      <c r="AG85" s="815">
        <f t="shared" si="128"/>
        <v>0</v>
      </c>
      <c r="AH85" s="815">
        <f t="shared" si="128"/>
        <v>0</v>
      </c>
      <c r="AI85" s="815">
        <f t="shared" si="128"/>
        <v>0</v>
      </c>
      <c r="AJ85" s="815">
        <f t="shared" si="128"/>
        <v>0</v>
      </c>
      <c r="AK85" s="815">
        <f t="shared" si="128"/>
        <v>0</v>
      </c>
      <c r="AL85" s="815">
        <f t="shared" si="128"/>
        <v>0.5</v>
      </c>
      <c r="AM85" s="815">
        <f t="shared" si="128"/>
        <v>0</v>
      </c>
      <c r="AN85" s="815">
        <f t="shared" si="128"/>
        <v>0</v>
      </c>
      <c r="AO85" s="815">
        <f t="shared" si="128"/>
        <v>0</v>
      </c>
      <c r="AP85" s="815">
        <f t="shared" si="128"/>
        <v>0</v>
      </c>
      <c r="AQ85" s="815">
        <f t="shared" si="128"/>
        <v>0</v>
      </c>
      <c r="AR85" s="815">
        <f t="shared" si="128"/>
        <v>0</v>
      </c>
      <c r="AS85" s="815">
        <f t="shared" si="128"/>
        <v>0</v>
      </c>
      <c r="AT85" s="815">
        <f t="shared" si="128"/>
        <v>0</v>
      </c>
      <c r="AU85" s="815">
        <f t="shared" si="128"/>
        <v>0</v>
      </c>
      <c r="AV85" s="815">
        <f t="shared" si="128"/>
        <v>0</v>
      </c>
      <c r="AW85" s="815">
        <f t="shared" si="128"/>
        <v>0</v>
      </c>
      <c r="AX85" s="815">
        <f t="shared" si="128"/>
        <v>0</v>
      </c>
      <c r="AY85" s="815">
        <f t="shared" si="128"/>
        <v>0</v>
      </c>
      <c r="AZ85" s="815">
        <f t="shared" si="128"/>
        <v>0</v>
      </c>
      <c r="BA85" s="815">
        <f t="shared" si="128"/>
        <v>0</v>
      </c>
      <c r="BB85" s="815">
        <f t="shared" si="128"/>
        <v>0</v>
      </c>
      <c r="BC85" s="815">
        <f t="shared" si="128"/>
        <v>0</v>
      </c>
      <c r="BD85" s="815">
        <f t="shared" si="128"/>
        <v>0</v>
      </c>
      <c r="BE85" s="815">
        <f t="shared" si="128"/>
        <v>0</v>
      </c>
      <c r="BF85" s="815">
        <f t="shared" si="128"/>
        <v>0</v>
      </c>
      <c r="BG85" s="815">
        <f t="shared" si="128"/>
        <v>0</v>
      </c>
      <c r="BH85" s="815">
        <f t="shared" si="128"/>
        <v>0</v>
      </c>
      <c r="BI85" s="815">
        <f t="shared" si="128"/>
        <v>0</v>
      </c>
      <c r="BJ85" s="815">
        <f t="shared" si="128"/>
        <v>0</v>
      </c>
      <c r="BK85" s="815">
        <f t="shared" si="128"/>
        <v>0</v>
      </c>
      <c r="BL85" s="815">
        <f t="shared" si="128"/>
        <v>0</v>
      </c>
      <c r="BM85" s="815">
        <f t="shared" si="128"/>
        <v>0</v>
      </c>
      <c r="BN85" s="815">
        <f t="shared" si="128"/>
        <v>0</v>
      </c>
      <c r="BO85" s="815">
        <f t="shared" si="128"/>
        <v>0</v>
      </c>
      <c r="BP85" s="815">
        <f t="shared" si="128"/>
        <v>0</v>
      </c>
      <c r="BQ85" s="828">
        <f t="shared" si="61"/>
        <v>0</v>
      </c>
      <c r="BR85" s="815"/>
      <c r="BS85" s="815"/>
      <c r="BT85" s="781"/>
      <c r="BU85" s="781"/>
      <c r="BV85" s="781"/>
      <c r="BW85" s="781"/>
      <c r="BX85" s="781"/>
      <c r="BY85" s="781"/>
      <c r="BZ85" s="781"/>
      <c r="CA85" s="781"/>
      <c r="CB85" s="781"/>
      <c r="CC85" s="781"/>
      <c r="CD85" s="781"/>
      <c r="CE85" s="781"/>
      <c r="CF85" s="781"/>
      <c r="CG85" s="781"/>
      <c r="CH85" s="781"/>
      <c r="CI85" s="781"/>
      <c r="CJ85" s="781"/>
      <c r="CK85" s="781"/>
      <c r="CL85" s="781"/>
      <c r="CM85" s="781"/>
      <c r="CN85" s="781"/>
      <c r="CO85" s="781"/>
      <c r="CP85" s="781"/>
      <c r="CQ85" s="781"/>
      <c r="CR85" s="781"/>
      <c r="CS85" s="781"/>
      <c r="CT85" s="781"/>
      <c r="CU85" s="781"/>
      <c r="CV85" s="781"/>
      <c r="CW85" s="781"/>
      <c r="CX85" s="781"/>
      <c r="CY85" s="781"/>
      <c r="CZ85" s="781"/>
      <c r="DA85" s="781"/>
      <c r="DB85" s="781"/>
      <c r="DC85" s="781"/>
      <c r="DD85" s="781"/>
      <c r="DE85" s="781"/>
      <c r="DF85" s="781"/>
      <c r="DG85" s="781"/>
      <c r="DH85" s="781"/>
      <c r="DI85" s="781"/>
      <c r="DJ85" s="781"/>
      <c r="DK85" s="781"/>
      <c r="DL85" s="781"/>
      <c r="DM85" s="781"/>
      <c r="DN85" s="781"/>
      <c r="DO85" s="781"/>
      <c r="DP85" s="781"/>
    </row>
    <row r="86" spans="1:120" s="807" customFormat="1" ht="12.9" customHeight="1">
      <c r="A86" s="804"/>
      <c r="B86" s="805" t="str">
        <f>'사업수지표 '!C73</f>
        <v>소계</v>
      </c>
      <c r="C86" s="805"/>
      <c r="D86" s="826"/>
      <c r="E86" s="809"/>
      <c r="F86" s="809"/>
      <c r="G86" s="809"/>
      <c r="H86" s="805"/>
      <c r="I86" s="822"/>
      <c r="J86" s="822"/>
      <c r="K86" s="822"/>
      <c r="L86" s="822"/>
      <c r="M86" s="822"/>
      <c r="N86" s="822"/>
      <c r="O86" s="822"/>
      <c r="P86" s="822"/>
      <c r="Q86" s="822"/>
      <c r="R86" s="822"/>
      <c r="S86" s="822"/>
      <c r="T86" s="822"/>
      <c r="U86" s="822"/>
      <c r="V86" s="822"/>
      <c r="W86" s="822"/>
      <c r="X86" s="822"/>
      <c r="Y86" s="822"/>
      <c r="Z86" s="822"/>
      <c r="AA86" s="822"/>
      <c r="AB86" s="822"/>
      <c r="AC86" s="822"/>
      <c r="AD86" s="822"/>
      <c r="AE86" s="822"/>
      <c r="AF86" s="822"/>
      <c r="AG86" s="822"/>
      <c r="AH86" s="822"/>
      <c r="AI86" s="822"/>
      <c r="AJ86" s="822"/>
      <c r="AK86" s="822"/>
      <c r="AL86" s="822"/>
      <c r="AM86" s="822"/>
      <c r="AN86" s="822"/>
      <c r="AO86" s="822"/>
      <c r="AP86" s="822"/>
      <c r="AQ86" s="822"/>
      <c r="AR86" s="822"/>
      <c r="AS86" s="822"/>
      <c r="AT86" s="822"/>
      <c r="AU86" s="822"/>
      <c r="AV86" s="822"/>
      <c r="AW86" s="822"/>
      <c r="AX86" s="822"/>
      <c r="AY86" s="822"/>
      <c r="AZ86" s="822"/>
      <c r="BA86" s="822"/>
      <c r="BB86" s="822"/>
      <c r="BC86" s="822"/>
      <c r="BD86" s="822"/>
      <c r="BE86" s="822"/>
      <c r="BF86" s="822"/>
      <c r="BG86" s="822"/>
      <c r="BH86" s="822"/>
      <c r="BI86" s="822"/>
      <c r="BJ86" s="822"/>
      <c r="BK86" s="822"/>
      <c r="BL86" s="822"/>
      <c r="BM86" s="822"/>
      <c r="BN86" s="822"/>
      <c r="BO86" s="822"/>
      <c r="BP86" s="823"/>
      <c r="BQ86" s="828"/>
      <c r="BR86" s="822"/>
      <c r="BS86" s="822"/>
      <c r="BT86" s="781"/>
      <c r="BU86" s="781"/>
      <c r="BV86" s="781"/>
      <c r="BW86" s="781"/>
      <c r="BX86" s="781"/>
      <c r="BY86" s="781"/>
      <c r="BZ86" s="781"/>
      <c r="CA86" s="781"/>
      <c r="CB86" s="781"/>
      <c r="CC86" s="781"/>
      <c r="CD86" s="781"/>
      <c r="CE86" s="781"/>
      <c r="CF86" s="781"/>
      <c r="CG86" s="781"/>
      <c r="CH86" s="781"/>
      <c r="CI86" s="781"/>
      <c r="CJ86" s="781"/>
      <c r="CK86" s="781"/>
      <c r="CL86" s="781"/>
      <c r="CM86" s="781"/>
      <c r="CN86" s="781"/>
      <c r="CO86" s="781"/>
      <c r="CP86" s="781"/>
      <c r="CQ86" s="781"/>
      <c r="CR86" s="781"/>
      <c r="CS86" s="781"/>
      <c r="CT86" s="781"/>
      <c r="CU86" s="781"/>
      <c r="CV86" s="781"/>
      <c r="CW86" s="781"/>
      <c r="CX86" s="781"/>
      <c r="CY86" s="781"/>
      <c r="CZ86" s="781"/>
      <c r="DA86" s="781"/>
      <c r="DB86" s="781"/>
      <c r="DC86" s="781"/>
      <c r="DD86" s="781"/>
      <c r="DE86" s="781"/>
      <c r="DF86" s="781"/>
      <c r="DG86" s="781"/>
      <c r="DH86" s="781"/>
      <c r="DI86" s="781"/>
      <c r="DJ86" s="781"/>
      <c r="DK86" s="781"/>
      <c r="DL86" s="781"/>
      <c r="DM86" s="781"/>
      <c r="DN86" s="781"/>
      <c r="DO86" s="781"/>
      <c r="DP86" s="781"/>
    </row>
    <row r="87" spans="1:120" s="781" customFormat="1" ht="12.9" customHeight="1">
      <c r="A87" s="798"/>
      <c r="B87" s="799" t="str">
        <f>'사업수지표 '!C74</f>
        <v>신탁보수</v>
      </c>
      <c r="C87" s="799"/>
      <c r="D87" s="824">
        <f>SUM(E87:BP87)</f>
        <v>0.89999999999999991</v>
      </c>
      <c r="E87" s="817"/>
      <c r="F87" s="817"/>
      <c r="G87" s="817"/>
      <c r="H87" s="799"/>
      <c r="I87" s="801">
        <f t="shared" ref="I87:AZ87" si="129">I47</f>
        <v>0.1</v>
      </c>
      <c r="J87" s="801">
        <f t="shared" si="129"/>
        <v>0</v>
      </c>
      <c r="K87" s="801">
        <f t="shared" si="129"/>
        <v>0</v>
      </c>
      <c r="L87" s="801">
        <f t="shared" si="129"/>
        <v>0.1</v>
      </c>
      <c r="M87" s="801">
        <f t="shared" si="129"/>
        <v>0</v>
      </c>
      <c r="N87" s="801">
        <f t="shared" si="129"/>
        <v>0</v>
      </c>
      <c r="O87" s="801">
        <f t="shared" si="129"/>
        <v>0.1</v>
      </c>
      <c r="P87" s="801">
        <f t="shared" si="129"/>
        <v>0</v>
      </c>
      <c r="Q87" s="801">
        <f t="shared" si="129"/>
        <v>0</v>
      </c>
      <c r="R87" s="801">
        <f t="shared" si="129"/>
        <v>0.1</v>
      </c>
      <c r="S87" s="801">
        <f t="shared" si="129"/>
        <v>0</v>
      </c>
      <c r="T87" s="801">
        <f t="shared" si="129"/>
        <v>0</v>
      </c>
      <c r="U87" s="801">
        <f t="shared" si="129"/>
        <v>0.1</v>
      </c>
      <c r="V87" s="801">
        <f t="shared" si="129"/>
        <v>0</v>
      </c>
      <c r="W87" s="801">
        <f t="shared" si="129"/>
        <v>0</v>
      </c>
      <c r="X87" s="801">
        <f t="shared" si="129"/>
        <v>0.1</v>
      </c>
      <c r="Y87" s="801">
        <f t="shared" si="129"/>
        <v>0</v>
      </c>
      <c r="Z87" s="801">
        <f t="shared" si="129"/>
        <v>0</v>
      </c>
      <c r="AA87" s="801">
        <f t="shared" si="129"/>
        <v>0.1</v>
      </c>
      <c r="AB87" s="801">
        <f t="shared" si="129"/>
        <v>0</v>
      </c>
      <c r="AC87" s="801">
        <f t="shared" si="129"/>
        <v>0</v>
      </c>
      <c r="AD87" s="801">
        <f t="shared" si="129"/>
        <v>0.1</v>
      </c>
      <c r="AE87" s="801">
        <f t="shared" si="129"/>
        <v>0</v>
      </c>
      <c r="AF87" s="801">
        <f t="shared" si="129"/>
        <v>0</v>
      </c>
      <c r="AG87" s="801">
        <f t="shared" si="129"/>
        <v>0.1</v>
      </c>
      <c r="AH87" s="801">
        <f t="shared" si="129"/>
        <v>0</v>
      </c>
      <c r="AI87" s="801">
        <f t="shared" si="129"/>
        <v>0</v>
      </c>
      <c r="AJ87" s="801">
        <f t="shared" si="129"/>
        <v>0</v>
      </c>
      <c r="AK87" s="801">
        <f t="shared" si="129"/>
        <v>0</v>
      </c>
      <c r="AL87" s="801">
        <f t="shared" si="129"/>
        <v>0</v>
      </c>
      <c r="AM87" s="801">
        <f t="shared" si="129"/>
        <v>0</v>
      </c>
      <c r="AN87" s="801">
        <f t="shared" si="129"/>
        <v>0</v>
      </c>
      <c r="AO87" s="801">
        <f t="shared" si="129"/>
        <v>0</v>
      </c>
      <c r="AP87" s="801">
        <f t="shared" si="129"/>
        <v>0</v>
      </c>
      <c r="AQ87" s="801">
        <f t="shared" si="129"/>
        <v>0</v>
      </c>
      <c r="AR87" s="801">
        <f t="shared" si="129"/>
        <v>0</v>
      </c>
      <c r="AS87" s="801">
        <f t="shared" si="129"/>
        <v>0</v>
      </c>
      <c r="AT87" s="801">
        <f t="shared" si="129"/>
        <v>0</v>
      </c>
      <c r="AU87" s="801">
        <f t="shared" si="129"/>
        <v>0</v>
      </c>
      <c r="AV87" s="801">
        <f t="shared" si="129"/>
        <v>0</v>
      </c>
      <c r="AW87" s="801">
        <f t="shared" si="129"/>
        <v>0</v>
      </c>
      <c r="AX87" s="801">
        <f t="shared" si="129"/>
        <v>0</v>
      </c>
      <c r="AY87" s="801">
        <f t="shared" si="129"/>
        <v>0</v>
      </c>
      <c r="AZ87" s="801">
        <f t="shared" si="129"/>
        <v>0</v>
      </c>
      <c r="BA87" s="801">
        <f t="shared" ref="BA87:BP87" si="130">BA47</f>
        <v>0</v>
      </c>
      <c r="BB87" s="801">
        <f t="shared" si="130"/>
        <v>0</v>
      </c>
      <c r="BC87" s="801">
        <f t="shared" si="130"/>
        <v>0</v>
      </c>
      <c r="BD87" s="801">
        <f t="shared" si="130"/>
        <v>0</v>
      </c>
      <c r="BE87" s="801">
        <f t="shared" si="130"/>
        <v>0</v>
      </c>
      <c r="BF87" s="801">
        <f t="shared" si="130"/>
        <v>0</v>
      </c>
      <c r="BG87" s="801">
        <f t="shared" si="130"/>
        <v>0</v>
      </c>
      <c r="BH87" s="801">
        <f t="shared" si="130"/>
        <v>0</v>
      </c>
      <c r="BI87" s="801">
        <f t="shared" si="130"/>
        <v>0</v>
      </c>
      <c r="BJ87" s="801">
        <f t="shared" si="130"/>
        <v>0</v>
      </c>
      <c r="BK87" s="801">
        <f t="shared" si="130"/>
        <v>0</v>
      </c>
      <c r="BL87" s="801">
        <f t="shared" si="130"/>
        <v>0</v>
      </c>
      <c r="BM87" s="801">
        <f t="shared" si="130"/>
        <v>0</v>
      </c>
      <c r="BN87" s="801">
        <f t="shared" si="130"/>
        <v>0</v>
      </c>
      <c r="BO87" s="801">
        <f t="shared" si="130"/>
        <v>0</v>
      </c>
      <c r="BP87" s="825">
        <f t="shared" si="130"/>
        <v>0</v>
      </c>
      <c r="BQ87" s="828">
        <f t="shared" si="61"/>
        <v>0.10000000000000009</v>
      </c>
      <c r="BR87" s="801"/>
      <c r="BS87" s="801"/>
    </row>
    <row r="88" spans="1:120" s="793" customFormat="1" ht="12.9" customHeight="1">
      <c r="A88" s="790"/>
      <c r="B88" s="791" t="str">
        <f>'사업수지표 '!C75</f>
        <v>예비비</v>
      </c>
      <c r="C88" s="791"/>
      <c r="D88" s="814">
        <f>SUM(E88:BP88)</f>
        <v>0.99999999999999989</v>
      </c>
      <c r="E88" s="796"/>
      <c r="F88" s="796"/>
      <c r="G88" s="796"/>
      <c r="H88" s="791"/>
      <c r="I88" s="815">
        <f>IF(총괄장!$P$6&lt;I4,0,1/총괄장!$P$6)</f>
        <v>3.3333333333333333E-2</v>
      </c>
      <c r="J88" s="815">
        <f>IF(총괄장!$P$6&lt;J4,0,1/총괄장!$P$6)</f>
        <v>3.3333333333333333E-2</v>
      </c>
      <c r="K88" s="815">
        <f>IF(총괄장!$P$6&lt;K4,0,1/총괄장!$P$6)</f>
        <v>3.3333333333333333E-2</v>
      </c>
      <c r="L88" s="815">
        <f>IF(총괄장!$P$6&lt;L4,0,1/총괄장!$P$6)</f>
        <v>3.3333333333333333E-2</v>
      </c>
      <c r="M88" s="815">
        <f>IF(총괄장!$P$6&lt;M4,0,1/총괄장!$P$6)</f>
        <v>3.3333333333333333E-2</v>
      </c>
      <c r="N88" s="815">
        <f>IF(총괄장!$P$6&lt;N4,0,1/총괄장!$P$6)</f>
        <v>3.3333333333333333E-2</v>
      </c>
      <c r="O88" s="815">
        <f>IF(총괄장!$P$6&lt;O4,0,1/총괄장!$P$6)</f>
        <v>3.3333333333333333E-2</v>
      </c>
      <c r="P88" s="815">
        <f>IF(총괄장!$P$6&lt;P4,0,1/총괄장!$P$6)</f>
        <v>3.3333333333333333E-2</v>
      </c>
      <c r="Q88" s="815">
        <f>IF(총괄장!$P$6&lt;Q4,0,1/총괄장!$P$6)</f>
        <v>3.3333333333333333E-2</v>
      </c>
      <c r="R88" s="815">
        <f>IF(총괄장!$P$6&lt;R4,0,1/총괄장!$P$6)</f>
        <v>3.3333333333333333E-2</v>
      </c>
      <c r="S88" s="815">
        <f>IF(총괄장!$P$6&lt;S4,0,1/총괄장!$P$6)</f>
        <v>3.3333333333333333E-2</v>
      </c>
      <c r="T88" s="815">
        <f>IF(총괄장!$P$6&lt;T4,0,1/총괄장!$P$6)</f>
        <v>3.3333333333333333E-2</v>
      </c>
      <c r="U88" s="815">
        <f>IF(총괄장!$P$6&lt;U4,0,1/총괄장!$P$6)</f>
        <v>3.3333333333333333E-2</v>
      </c>
      <c r="V88" s="815">
        <f>IF(총괄장!$P$6&lt;V4,0,1/총괄장!$P$6)</f>
        <v>3.3333333333333333E-2</v>
      </c>
      <c r="W88" s="815">
        <f>IF(총괄장!$P$6&lt;W4,0,1/총괄장!$P$6)</f>
        <v>3.3333333333333333E-2</v>
      </c>
      <c r="X88" s="815">
        <f>IF(총괄장!$P$6&lt;X4,0,1/총괄장!$P$6)</f>
        <v>3.3333333333333333E-2</v>
      </c>
      <c r="Y88" s="815">
        <f>IF(총괄장!$P$6&lt;Y4,0,1/총괄장!$P$6)</f>
        <v>3.3333333333333333E-2</v>
      </c>
      <c r="Z88" s="815">
        <f>IF(총괄장!$P$6&lt;Z4,0,1/총괄장!$P$6)</f>
        <v>3.3333333333333333E-2</v>
      </c>
      <c r="AA88" s="815">
        <f>IF(총괄장!$P$6&lt;AA4,0,1/총괄장!$P$6)</f>
        <v>3.3333333333333333E-2</v>
      </c>
      <c r="AB88" s="815">
        <f>IF(총괄장!$P$6&lt;AB4,0,1/총괄장!$P$6)</f>
        <v>3.3333333333333333E-2</v>
      </c>
      <c r="AC88" s="815">
        <f>IF(총괄장!$P$6&lt;AC4,0,1/총괄장!$P$6)</f>
        <v>3.3333333333333333E-2</v>
      </c>
      <c r="AD88" s="815">
        <f>IF(총괄장!$P$6&lt;AD4,0,1/총괄장!$P$6)</f>
        <v>3.3333333333333333E-2</v>
      </c>
      <c r="AE88" s="815">
        <f>IF(총괄장!$P$6&lt;AE4,0,1/총괄장!$P$6)</f>
        <v>3.3333333333333333E-2</v>
      </c>
      <c r="AF88" s="815">
        <f>IF(총괄장!$P$6&lt;AF4,0,1/총괄장!$P$6)</f>
        <v>3.3333333333333333E-2</v>
      </c>
      <c r="AG88" s="815">
        <f>IF(총괄장!$P$6&lt;AG4,0,1/총괄장!$P$6)</f>
        <v>3.3333333333333333E-2</v>
      </c>
      <c r="AH88" s="815">
        <f>IF(총괄장!$P$6&lt;AH4,0,1/총괄장!$P$6)</f>
        <v>3.3333333333333333E-2</v>
      </c>
      <c r="AI88" s="815">
        <f>IF(총괄장!$P$6&lt;AI4,0,1/총괄장!$P$6)</f>
        <v>3.3333333333333333E-2</v>
      </c>
      <c r="AJ88" s="815">
        <f>IF(총괄장!$P$6&lt;AJ4,0,1/총괄장!$P$6)</f>
        <v>3.3333333333333333E-2</v>
      </c>
      <c r="AK88" s="815">
        <f>IF(총괄장!$P$6&lt;AK4,0,1/총괄장!$P$6)</f>
        <v>3.3333333333333333E-2</v>
      </c>
      <c r="AL88" s="815">
        <f>IF(총괄장!$P$6&lt;AL4,0,1/총괄장!$P$6)</f>
        <v>3.3333333333333333E-2</v>
      </c>
      <c r="AM88" s="815">
        <f>IF(총괄장!$P$6&lt;AM4,0,1/총괄장!$P$6)</f>
        <v>0</v>
      </c>
      <c r="AN88" s="815">
        <f>IF(총괄장!$P$6&lt;AN4,0,1/총괄장!$P$6)</f>
        <v>0</v>
      </c>
      <c r="AO88" s="815">
        <f>IF(총괄장!$P$6&lt;AO4,0,1/총괄장!$P$6)</f>
        <v>0</v>
      </c>
      <c r="AP88" s="815">
        <f>IF(총괄장!$P$6&lt;AP4,0,1/총괄장!$P$6)</f>
        <v>0</v>
      </c>
      <c r="AQ88" s="815">
        <f>IF(총괄장!$P$6&lt;AQ4,0,1/총괄장!$P$6)</f>
        <v>0</v>
      </c>
      <c r="AR88" s="815">
        <f>IF(총괄장!$P$6&lt;AR4,0,1/총괄장!$P$6)</f>
        <v>0</v>
      </c>
      <c r="AS88" s="815">
        <f>IF(총괄장!$P$6&lt;AS4,0,1/총괄장!$P$6)</f>
        <v>0</v>
      </c>
      <c r="AT88" s="815">
        <f>IF(총괄장!$P$6&lt;AT4,0,1/총괄장!$P$6)</f>
        <v>0</v>
      </c>
      <c r="AU88" s="815">
        <f>IF(총괄장!$P$6&lt;AU4,0,1/총괄장!$P$6)</f>
        <v>0</v>
      </c>
      <c r="AV88" s="815">
        <f>IF(총괄장!$P$6&lt;AV4,0,1/총괄장!$P$6)</f>
        <v>0</v>
      </c>
      <c r="AW88" s="815">
        <f>IF(총괄장!$P$6&lt;AW4,0,1/총괄장!$P$6)</f>
        <v>0</v>
      </c>
      <c r="AX88" s="815">
        <f>IF(총괄장!$P$6&lt;AX4,0,1/총괄장!$P$6)</f>
        <v>0</v>
      </c>
      <c r="AY88" s="815">
        <f>IF(총괄장!$P$6&lt;AY4,0,1/총괄장!$P$6)</f>
        <v>0</v>
      </c>
      <c r="AZ88" s="815">
        <f>IF(총괄장!$P$6&lt;AZ4,0,1/총괄장!$P$6)</f>
        <v>0</v>
      </c>
      <c r="BA88" s="815">
        <f>IF(총괄장!$P$6&lt;BA4,0,1/총괄장!$P$6)</f>
        <v>0</v>
      </c>
      <c r="BB88" s="815">
        <f>IF(총괄장!$P$6&lt;BB4,0,1/총괄장!$P$6)</f>
        <v>0</v>
      </c>
      <c r="BC88" s="815">
        <f>IF(총괄장!$P$6&lt;BC4,0,1/총괄장!$P$6)</f>
        <v>0</v>
      </c>
      <c r="BD88" s="815">
        <f>IF(총괄장!$P$6&lt;BD4,0,1/총괄장!$P$6)</f>
        <v>0</v>
      </c>
      <c r="BE88" s="815">
        <f>IF(총괄장!$P$6&lt;BE4,0,1/총괄장!$P$6)</f>
        <v>0</v>
      </c>
      <c r="BF88" s="815">
        <f>IF(총괄장!$P$6&lt;BF4,0,1/총괄장!$P$6)</f>
        <v>0</v>
      </c>
      <c r="BG88" s="815">
        <f>IF(총괄장!$P$6&lt;BG4,0,1/총괄장!$P$6)</f>
        <v>0</v>
      </c>
      <c r="BH88" s="815">
        <f>IF(총괄장!$P$6&lt;BH4,0,1/총괄장!$P$6)</f>
        <v>0</v>
      </c>
      <c r="BI88" s="815">
        <f>IF(총괄장!$P$6&lt;BI4,0,1/총괄장!$P$6)</f>
        <v>0</v>
      </c>
      <c r="BJ88" s="815">
        <f>IF(총괄장!$P$6&lt;BJ4,0,1/총괄장!$P$6)</f>
        <v>0</v>
      </c>
      <c r="BK88" s="815">
        <f>IF(총괄장!$P$6&lt;BK4,0,1/총괄장!$P$6)</f>
        <v>0</v>
      </c>
      <c r="BL88" s="815">
        <f>IF(총괄장!$P$6&lt;BL4,0,1/총괄장!$P$6)</f>
        <v>0</v>
      </c>
      <c r="BM88" s="815">
        <f>IF(총괄장!$P$6&lt;BM4,0,1/총괄장!$P$6)</f>
        <v>0</v>
      </c>
      <c r="BN88" s="815">
        <f>IF(총괄장!$P$6&lt;BN4,0,1/총괄장!$P$6)</f>
        <v>0</v>
      </c>
      <c r="BO88" s="815">
        <f>IF(총괄장!$P$6&lt;BO4,0,1/총괄장!$P$6)</f>
        <v>0</v>
      </c>
      <c r="BP88" s="819">
        <f>IF(총괄장!$P$6&lt;BP4,0,1/총괄장!$P$6)</f>
        <v>0</v>
      </c>
      <c r="BQ88" s="828">
        <f t="shared" si="61"/>
        <v>0</v>
      </c>
      <c r="BR88" s="815"/>
      <c r="BS88" s="815"/>
      <c r="BT88" s="781"/>
      <c r="BU88" s="781"/>
      <c r="BV88" s="781"/>
      <c r="BW88" s="781"/>
      <c r="BX88" s="781"/>
      <c r="BY88" s="781"/>
      <c r="BZ88" s="781"/>
      <c r="CA88" s="781"/>
      <c r="CB88" s="781"/>
      <c r="CC88" s="781"/>
      <c r="CD88" s="781"/>
      <c r="CE88" s="781"/>
      <c r="CF88" s="781"/>
      <c r="CG88" s="781"/>
      <c r="CH88" s="781"/>
      <c r="CI88" s="781"/>
      <c r="CJ88" s="781"/>
      <c r="CK88" s="781"/>
      <c r="CL88" s="781"/>
      <c r="CM88" s="781"/>
      <c r="CN88" s="781"/>
      <c r="CO88" s="781"/>
      <c r="CP88" s="781"/>
      <c r="CQ88" s="781"/>
      <c r="CR88" s="781"/>
      <c r="CS88" s="781"/>
      <c r="CT88" s="781"/>
      <c r="CU88" s="781"/>
      <c r="CV88" s="781"/>
      <c r="CW88" s="781"/>
      <c r="CX88" s="781"/>
      <c r="CY88" s="781"/>
      <c r="CZ88" s="781"/>
      <c r="DA88" s="781"/>
      <c r="DB88" s="781"/>
      <c r="DC88" s="781"/>
      <c r="DD88" s="781"/>
      <c r="DE88" s="781"/>
      <c r="DF88" s="781"/>
      <c r="DG88" s="781"/>
      <c r="DH88" s="781"/>
      <c r="DI88" s="781"/>
      <c r="DJ88" s="781"/>
      <c r="DK88" s="781"/>
      <c r="DL88" s="781"/>
      <c r="DM88" s="781"/>
      <c r="DN88" s="781"/>
      <c r="DO88" s="781"/>
      <c r="DP88" s="781"/>
    </row>
    <row r="89" spans="1:120" s="781" customFormat="1" ht="12.9" customHeight="1">
      <c r="A89" s="798"/>
      <c r="B89" s="799" t="str">
        <f>'사업수지표 '!C76</f>
        <v>시행사운영비</v>
      </c>
      <c r="C89" s="799"/>
      <c r="D89" s="827">
        <f>SUM(E89:BP89)</f>
        <v>32</v>
      </c>
      <c r="E89" s="817"/>
      <c r="F89" s="817"/>
      <c r="G89" s="834">
        <v>1</v>
      </c>
      <c r="H89" s="817">
        <v>1</v>
      </c>
      <c r="I89" s="835">
        <f>IF(총괄장!$P$6&lt;I4,0,1)</f>
        <v>1</v>
      </c>
      <c r="J89" s="835">
        <f>IF(총괄장!$P$6&lt;J4,0,1)</f>
        <v>1</v>
      </c>
      <c r="K89" s="835">
        <f>IF(총괄장!$P$6&lt;K4,0,1)</f>
        <v>1</v>
      </c>
      <c r="L89" s="835">
        <f>IF(총괄장!$P$6&lt;L4,0,1)</f>
        <v>1</v>
      </c>
      <c r="M89" s="835">
        <f>IF(총괄장!$P$6&lt;M4,0,1)</f>
        <v>1</v>
      </c>
      <c r="N89" s="835">
        <f>IF(총괄장!$P$6&lt;N4,0,1)</f>
        <v>1</v>
      </c>
      <c r="O89" s="835">
        <f>IF(총괄장!$P$6&lt;O4,0,1)</f>
        <v>1</v>
      </c>
      <c r="P89" s="835">
        <f>IF(총괄장!$P$6&lt;P4,0,1)</f>
        <v>1</v>
      </c>
      <c r="Q89" s="835">
        <f>IF(총괄장!$P$6&lt;Q4,0,1)</f>
        <v>1</v>
      </c>
      <c r="R89" s="835">
        <f>IF(총괄장!$P$6&lt;R4,0,1)</f>
        <v>1</v>
      </c>
      <c r="S89" s="835">
        <f>IF(총괄장!$P$6&lt;S4,0,1)</f>
        <v>1</v>
      </c>
      <c r="T89" s="835">
        <f>IF(총괄장!$P$6&lt;T4,0,1)</f>
        <v>1</v>
      </c>
      <c r="U89" s="835">
        <f>IF(총괄장!$P$6&lt;U4,0,1)</f>
        <v>1</v>
      </c>
      <c r="V89" s="835">
        <f>IF(총괄장!$P$6&lt;V4,0,1)</f>
        <v>1</v>
      </c>
      <c r="W89" s="835">
        <f>IF(총괄장!$P$6&lt;W4,0,1)</f>
        <v>1</v>
      </c>
      <c r="X89" s="835">
        <f>IF(총괄장!$P$6&lt;X4,0,1)</f>
        <v>1</v>
      </c>
      <c r="Y89" s="835">
        <f>IF(총괄장!$P$6&lt;Y4,0,1)</f>
        <v>1</v>
      </c>
      <c r="Z89" s="835">
        <f>IF(총괄장!$P$6&lt;Z4,0,1)</f>
        <v>1</v>
      </c>
      <c r="AA89" s="835">
        <f>IF(총괄장!$P$6&lt;AA4,0,1)</f>
        <v>1</v>
      </c>
      <c r="AB89" s="835">
        <f>IF(총괄장!$P$6&lt;AB4,0,1)</f>
        <v>1</v>
      </c>
      <c r="AC89" s="835">
        <f>IF(총괄장!$P$6&lt;AC4,0,1)</f>
        <v>1</v>
      </c>
      <c r="AD89" s="835">
        <f>IF(총괄장!$P$6&lt;AD4,0,1)</f>
        <v>1</v>
      </c>
      <c r="AE89" s="835">
        <f>IF(총괄장!$P$6&lt;AE4,0,1)</f>
        <v>1</v>
      </c>
      <c r="AF89" s="835">
        <f>IF(총괄장!$P$6&lt;AF4,0,1)</f>
        <v>1</v>
      </c>
      <c r="AG89" s="835">
        <f>IF(총괄장!$P$6&lt;AG4,0,1)</f>
        <v>1</v>
      </c>
      <c r="AH89" s="835">
        <f>IF(총괄장!$P$6&lt;AH4,0,1)</f>
        <v>1</v>
      </c>
      <c r="AI89" s="835">
        <f>IF(총괄장!$P$6&lt;AI4,0,1)</f>
        <v>1</v>
      </c>
      <c r="AJ89" s="835">
        <f>IF(총괄장!$P$6&lt;AJ4,0,1)</f>
        <v>1</v>
      </c>
      <c r="AK89" s="835">
        <f>IF(총괄장!$P$6&lt;AK4,0,1)</f>
        <v>1</v>
      </c>
      <c r="AL89" s="835">
        <f>IF(총괄장!$P$6&lt;AL4,0,1)</f>
        <v>1</v>
      </c>
      <c r="AM89" s="835">
        <f>IF(총괄장!$P$6&lt;AM4,0,1)</f>
        <v>0</v>
      </c>
      <c r="AN89" s="835">
        <f>IF(총괄장!$P$6&lt;AN4,0,1)</f>
        <v>0</v>
      </c>
      <c r="AO89" s="835">
        <f>IF(총괄장!$P$6&lt;AO4,0,1)</f>
        <v>0</v>
      </c>
      <c r="AP89" s="835">
        <f>IF(총괄장!$P$6&lt;AP4,0,1)</f>
        <v>0</v>
      </c>
      <c r="AQ89" s="835">
        <f>IF(총괄장!$P$6&lt;AQ4,0,1)</f>
        <v>0</v>
      </c>
      <c r="AR89" s="835">
        <f>IF(총괄장!$P$6&lt;AR4,0,1)</f>
        <v>0</v>
      </c>
      <c r="AS89" s="835">
        <f>IF(총괄장!$P$6&lt;AS4,0,1)</f>
        <v>0</v>
      </c>
      <c r="AT89" s="835">
        <f>IF(총괄장!$P$6&lt;AT4,0,1)</f>
        <v>0</v>
      </c>
      <c r="AU89" s="835">
        <f>IF(총괄장!$P$6&lt;AU4,0,1)</f>
        <v>0</v>
      </c>
      <c r="AV89" s="835">
        <f>IF(총괄장!$P$6&lt;AV4,0,1)</f>
        <v>0</v>
      </c>
      <c r="AW89" s="835">
        <f>IF(총괄장!$P$6&lt;AW4,0,1)</f>
        <v>0</v>
      </c>
      <c r="AX89" s="835">
        <f>IF(총괄장!$P$6&lt;AX4,0,1)</f>
        <v>0</v>
      </c>
      <c r="AY89" s="835">
        <f>IF(총괄장!$P$6&lt;AY4,0,1)</f>
        <v>0</v>
      </c>
      <c r="AZ89" s="835">
        <f>IF(총괄장!$P$6&lt;AZ4,0,1)</f>
        <v>0</v>
      </c>
      <c r="BA89" s="835">
        <f>IF(총괄장!$P$6&lt;BA4,0,1)</f>
        <v>0</v>
      </c>
      <c r="BB89" s="835">
        <f>IF(총괄장!$P$6&lt;BB4,0,1)</f>
        <v>0</v>
      </c>
      <c r="BC89" s="835">
        <f>IF(총괄장!$P$6&lt;BC4,0,1)</f>
        <v>0</v>
      </c>
      <c r="BD89" s="835">
        <f>IF(총괄장!$P$6&lt;BD4,0,1)</f>
        <v>0</v>
      </c>
      <c r="BE89" s="835">
        <f>IF(총괄장!$P$6&lt;BE4,0,1)</f>
        <v>0</v>
      </c>
      <c r="BF89" s="835">
        <f>IF(총괄장!$P$6&lt;BF4,0,1)</f>
        <v>0</v>
      </c>
      <c r="BG89" s="835">
        <f>IF(총괄장!$P$6&lt;BG4,0,1)</f>
        <v>0</v>
      </c>
      <c r="BH89" s="835">
        <f>IF(총괄장!$P$6&lt;BH4,0,1)</f>
        <v>0</v>
      </c>
      <c r="BI89" s="835">
        <f>IF(총괄장!$P$6&lt;BI4,0,1)</f>
        <v>0</v>
      </c>
      <c r="BJ89" s="835">
        <f>IF(총괄장!$P$6&lt;BJ4,0,1)</f>
        <v>0</v>
      </c>
      <c r="BK89" s="835">
        <f>IF(총괄장!$P$6&lt;BK4,0,1)</f>
        <v>0</v>
      </c>
      <c r="BL89" s="835">
        <f>IF(총괄장!$P$6&lt;BL4,0,1)</f>
        <v>0</v>
      </c>
      <c r="BM89" s="835">
        <f>IF(총괄장!$P$6&lt;BM4,0,1)</f>
        <v>0</v>
      </c>
      <c r="BN89" s="835">
        <f>IF(총괄장!$P$6&lt;BN4,0,1)</f>
        <v>0</v>
      </c>
      <c r="BO89" s="835">
        <f>IF(총괄장!$P$6&lt;BO4,0,1)</f>
        <v>0</v>
      </c>
      <c r="BP89" s="836">
        <f>IF(총괄장!$P$6&lt;BP4,0,1)</f>
        <v>0</v>
      </c>
      <c r="BQ89" s="835">
        <v>1</v>
      </c>
      <c r="BR89" s="835">
        <v>1</v>
      </c>
      <c r="BS89" s="835">
        <v>1</v>
      </c>
    </row>
    <row r="90" spans="1:120" s="793" customFormat="1" ht="12.9" customHeight="1">
      <c r="A90" s="790"/>
      <c r="B90" s="791" t="str">
        <f>'사업수지표 '!C77</f>
        <v>입주관리비</v>
      </c>
      <c r="C90" s="791"/>
      <c r="D90" s="814">
        <f>SUM(E90:BP90)</f>
        <v>0.5</v>
      </c>
      <c r="E90" s="796"/>
      <c r="F90" s="796"/>
      <c r="G90" s="796"/>
      <c r="H90" s="791"/>
      <c r="I90" s="815">
        <f t="shared" ref="I90:AE90" si="131">IF(I5="준공",50%,0)</f>
        <v>0</v>
      </c>
      <c r="J90" s="815">
        <f t="shared" si="131"/>
        <v>0</v>
      </c>
      <c r="K90" s="815">
        <f t="shared" si="131"/>
        <v>0</v>
      </c>
      <c r="L90" s="815">
        <f t="shared" si="131"/>
        <v>0</v>
      </c>
      <c r="M90" s="815">
        <f t="shared" si="131"/>
        <v>0</v>
      </c>
      <c r="N90" s="815">
        <f t="shared" si="131"/>
        <v>0</v>
      </c>
      <c r="O90" s="815">
        <f t="shared" si="131"/>
        <v>0</v>
      </c>
      <c r="P90" s="815">
        <f t="shared" si="131"/>
        <v>0</v>
      </c>
      <c r="Q90" s="815">
        <f t="shared" si="131"/>
        <v>0</v>
      </c>
      <c r="R90" s="815">
        <f t="shared" si="131"/>
        <v>0</v>
      </c>
      <c r="S90" s="815">
        <f t="shared" si="131"/>
        <v>0</v>
      </c>
      <c r="T90" s="815">
        <f t="shared" si="131"/>
        <v>0</v>
      </c>
      <c r="U90" s="815">
        <f t="shared" si="131"/>
        <v>0</v>
      </c>
      <c r="V90" s="815">
        <f t="shared" si="131"/>
        <v>0</v>
      </c>
      <c r="W90" s="815">
        <f t="shared" si="131"/>
        <v>0</v>
      </c>
      <c r="X90" s="815">
        <f t="shared" si="131"/>
        <v>0</v>
      </c>
      <c r="Y90" s="815">
        <f t="shared" si="131"/>
        <v>0</v>
      </c>
      <c r="Z90" s="815">
        <f t="shared" si="131"/>
        <v>0</v>
      </c>
      <c r="AA90" s="815">
        <f t="shared" si="131"/>
        <v>0</v>
      </c>
      <c r="AB90" s="815">
        <f t="shared" si="131"/>
        <v>0</v>
      </c>
      <c r="AC90" s="815">
        <f t="shared" si="131"/>
        <v>0</v>
      </c>
      <c r="AD90" s="815">
        <f t="shared" si="131"/>
        <v>0</v>
      </c>
      <c r="AE90" s="815">
        <f t="shared" si="131"/>
        <v>0</v>
      </c>
      <c r="AF90" s="815">
        <f>IF(AF5="준공",50%,0)</f>
        <v>0</v>
      </c>
      <c r="AG90" s="815">
        <f t="shared" ref="AG90:BP90" si="132">IF(AG5="준공",50%,0)</f>
        <v>0</v>
      </c>
      <c r="AH90" s="815">
        <f t="shared" si="132"/>
        <v>0</v>
      </c>
      <c r="AI90" s="815">
        <f t="shared" si="132"/>
        <v>0</v>
      </c>
      <c r="AJ90" s="815">
        <f t="shared" si="132"/>
        <v>0</v>
      </c>
      <c r="AK90" s="815">
        <f t="shared" si="132"/>
        <v>0</v>
      </c>
      <c r="AL90" s="815">
        <f t="shared" si="132"/>
        <v>0.5</v>
      </c>
      <c r="AM90" s="815">
        <f t="shared" si="132"/>
        <v>0</v>
      </c>
      <c r="AN90" s="815">
        <f t="shared" si="132"/>
        <v>0</v>
      </c>
      <c r="AO90" s="815">
        <f t="shared" si="132"/>
        <v>0</v>
      </c>
      <c r="AP90" s="815">
        <f t="shared" si="132"/>
        <v>0</v>
      </c>
      <c r="AQ90" s="815">
        <f t="shared" si="132"/>
        <v>0</v>
      </c>
      <c r="AR90" s="815">
        <f t="shared" si="132"/>
        <v>0</v>
      </c>
      <c r="AS90" s="815">
        <f t="shared" si="132"/>
        <v>0</v>
      </c>
      <c r="AT90" s="815">
        <f t="shared" si="132"/>
        <v>0</v>
      </c>
      <c r="AU90" s="815">
        <f t="shared" si="132"/>
        <v>0</v>
      </c>
      <c r="AV90" s="815">
        <f t="shared" si="132"/>
        <v>0</v>
      </c>
      <c r="AW90" s="815">
        <f t="shared" si="132"/>
        <v>0</v>
      </c>
      <c r="AX90" s="815">
        <f t="shared" si="132"/>
        <v>0</v>
      </c>
      <c r="AY90" s="815">
        <f t="shared" si="132"/>
        <v>0</v>
      </c>
      <c r="AZ90" s="815">
        <f t="shared" si="132"/>
        <v>0</v>
      </c>
      <c r="BA90" s="815">
        <f t="shared" si="132"/>
        <v>0</v>
      </c>
      <c r="BB90" s="815">
        <f t="shared" si="132"/>
        <v>0</v>
      </c>
      <c r="BC90" s="815">
        <f t="shared" si="132"/>
        <v>0</v>
      </c>
      <c r="BD90" s="815">
        <f t="shared" si="132"/>
        <v>0</v>
      </c>
      <c r="BE90" s="815">
        <f t="shared" si="132"/>
        <v>0</v>
      </c>
      <c r="BF90" s="815">
        <f t="shared" si="132"/>
        <v>0</v>
      </c>
      <c r="BG90" s="815">
        <f t="shared" si="132"/>
        <v>0</v>
      </c>
      <c r="BH90" s="815">
        <f t="shared" si="132"/>
        <v>0</v>
      </c>
      <c r="BI90" s="815">
        <f t="shared" si="132"/>
        <v>0</v>
      </c>
      <c r="BJ90" s="815">
        <f t="shared" si="132"/>
        <v>0</v>
      </c>
      <c r="BK90" s="815">
        <f t="shared" si="132"/>
        <v>0</v>
      </c>
      <c r="BL90" s="815">
        <f t="shared" si="132"/>
        <v>0</v>
      </c>
      <c r="BM90" s="815">
        <f t="shared" si="132"/>
        <v>0</v>
      </c>
      <c r="BN90" s="815">
        <f t="shared" si="132"/>
        <v>0</v>
      </c>
      <c r="BO90" s="815">
        <f t="shared" si="132"/>
        <v>0</v>
      </c>
      <c r="BP90" s="819">
        <f t="shared" si="132"/>
        <v>0</v>
      </c>
      <c r="BQ90" s="828">
        <f>1-SUM(F90:BP90)</f>
        <v>0.5</v>
      </c>
      <c r="BR90" s="815"/>
      <c r="BS90" s="815"/>
      <c r="BT90" s="781"/>
      <c r="BU90" s="781"/>
      <c r="BV90" s="781"/>
      <c r="BW90" s="781"/>
      <c r="BX90" s="781"/>
      <c r="BY90" s="781"/>
      <c r="BZ90" s="781"/>
      <c r="CA90" s="781"/>
      <c r="CB90" s="781"/>
      <c r="CC90" s="781"/>
      <c r="CD90" s="781"/>
      <c r="CE90" s="781"/>
      <c r="CF90" s="781"/>
      <c r="CG90" s="781"/>
      <c r="CH90" s="781"/>
      <c r="CI90" s="781"/>
      <c r="CJ90" s="781"/>
      <c r="CK90" s="781"/>
      <c r="CL90" s="781"/>
      <c r="CM90" s="781"/>
      <c r="CN90" s="781"/>
      <c r="CO90" s="781"/>
      <c r="CP90" s="781"/>
      <c r="CQ90" s="781"/>
      <c r="CR90" s="781"/>
      <c r="CS90" s="781"/>
      <c r="CT90" s="781"/>
      <c r="CU90" s="781"/>
      <c r="CV90" s="781"/>
      <c r="CW90" s="781"/>
      <c r="CX90" s="781"/>
      <c r="CY90" s="781"/>
      <c r="CZ90" s="781"/>
      <c r="DA90" s="781"/>
      <c r="DB90" s="781"/>
      <c r="DC90" s="781"/>
      <c r="DD90" s="781"/>
      <c r="DE90" s="781"/>
      <c r="DF90" s="781"/>
      <c r="DG90" s="781"/>
      <c r="DH90" s="781"/>
      <c r="DI90" s="781"/>
      <c r="DJ90" s="781"/>
      <c r="DK90" s="781"/>
      <c r="DL90" s="781"/>
      <c r="DM90" s="781"/>
      <c r="DN90" s="781"/>
      <c r="DO90" s="781"/>
      <c r="DP90" s="781"/>
    </row>
    <row r="91" spans="1:120" s="781" customFormat="1" ht="12.9" customHeight="1">
      <c r="A91" s="798"/>
      <c r="B91" s="799" t="str">
        <f>'사업수지표 '!C78</f>
        <v>법률자문료/사업성평가</v>
      </c>
      <c r="C91" s="799"/>
      <c r="D91" s="827"/>
      <c r="E91" s="817"/>
      <c r="F91" s="817"/>
      <c r="G91" s="817"/>
      <c r="H91" s="799"/>
      <c r="I91" s="801"/>
      <c r="J91" s="801"/>
      <c r="K91" s="801"/>
      <c r="L91" s="801"/>
      <c r="M91" s="801"/>
      <c r="N91" s="801"/>
      <c r="O91" s="801"/>
      <c r="P91" s="801"/>
      <c r="Q91" s="801"/>
      <c r="R91" s="801"/>
      <c r="S91" s="801"/>
      <c r="T91" s="801"/>
      <c r="U91" s="801"/>
      <c r="V91" s="801"/>
      <c r="W91" s="801"/>
      <c r="X91" s="801"/>
      <c r="Y91" s="801"/>
      <c r="Z91" s="801"/>
      <c r="AA91" s="801"/>
      <c r="AB91" s="801"/>
      <c r="AC91" s="801"/>
      <c r="AD91" s="801"/>
      <c r="AE91" s="801"/>
      <c r="AF91" s="801"/>
      <c r="AG91" s="801"/>
      <c r="AH91" s="801"/>
      <c r="AI91" s="801"/>
      <c r="AJ91" s="801"/>
      <c r="AK91" s="801"/>
      <c r="AL91" s="801"/>
      <c r="AM91" s="801"/>
      <c r="AN91" s="801"/>
      <c r="AO91" s="801"/>
      <c r="AP91" s="801"/>
      <c r="AQ91" s="801"/>
      <c r="AR91" s="801"/>
      <c r="AS91" s="801"/>
      <c r="AT91" s="801"/>
      <c r="AU91" s="801"/>
      <c r="AV91" s="801"/>
      <c r="AW91" s="801"/>
      <c r="AX91" s="801"/>
      <c r="AY91" s="801"/>
      <c r="AZ91" s="801"/>
      <c r="BA91" s="801"/>
      <c r="BB91" s="801"/>
      <c r="BC91" s="801"/>
      <c r="BD91" s="801"/>
      <c r="BE91" s="801"/>
      <c r="BF91" s="801"/>
      <c r="BG91" s="801"/>
      <c r="BH91" s="801"/>
      <c r="BI91" s="801"/>
      <c r="BJ91" s="801"/>
      <c r="BK91" s="801"/>
      <c r="BL91" s="801"/>
      <c r="BM91" s="801"/>
      <c r="BN91" s="801"/>
      <c r="BO91" s="801"/>
      <c r="BP91" s="825"/>
      <c r="BQ91" s="801"/>
      <c r="BR91" s="801"/>
      <c r="BS91" s="801"/>
    </row>
    <row r="92" spans="1:120" s="793" customFormat="1" ht="12.9" customHeight="1">
      <c r="A92" s="790"/>
      <c r="B92" s="791" t="str">
        <f>'사업수지표 '!C79</f>
        <v>PM용역비</v>
      </c>
      <c r="C92" s="791"/>
      <c r="D92" s="830">
        <f>SUM(E92:BP92)</f>
        <v>0</v>
      </c>
      <c r="E92" s="796"/>
      <c r="F92" s="796"/>
      <c r="G92" s="796"/>
      <c r="H92" s="791"/>
      <c r="I92" s="815"/>
      <c r="J92" s="815"/>
      <c r="K92" s="815"/>
      <c r="L92" s="815"/>
      <c r="M92" s="815"/>
      <c r="N92" s="815"/>
      <c r="O92" s="815"/>
      <c r="P92" s="815"/>
      <c r="Q92" s="815"/>
      <c r="R92" s="815"/>
      <c r="S92" s="815"/>
      <c r="T92" s="815"/>
      <c r="U92" s="815"/>
      <c r="V92" s="815"/>
      <c r="W92" s="815"/>
      <c r="X92" s="815"/>
      <c r="Y92" s="815"/>
      <c r="Z92" s="815"/>
      <c r="AA92" s="815"/>
      <c r="AB92" s="815"/>
      <c r="AC92" s="815"/>
      <c r="AD92" s="815"/>
      <c r="AE92" s="815"/>
      <c r="AF92" s="815"/>
      <c r="AG92" s="815"/>
      <c r="AH92" s="815"/>
      <c r="AI92" s="815"/>
      <c r="AJ92" s="815"/>
      <c r="AK92" s="815"/>
      <c r="AL92" s="815"/>
      <c r="AM92" s="815"/>
      <c r="AN92" s="815"/>
      <c r="AO92" s="815"/>
      <c r="AP92" s="815"/>
      <c r="AQ92" s="815"/>
      <c r="AR92" s="815"/>
      <c r="AS92" s="815"/>
      <c r="AT92" s="815"/>
      <c r="AU92" s="815"/>
      <c r="AV92" s="815"/>
      <c r="AW92" s="815"/>
      <c r="AX92" s="815"/>
      <c r="AY92" s="815"/>
      <c r="AZ92" s="815"/>
      <c r="BA92" s="815"/>
      <c r="BB92" s="815"/>
      <c r="BC92" s="815"/>
      <c r="BD92" s="815"/>
      <c r="BE92" s="815"/>
      <c r="BF92" s="815"/>
      <c r="BG92" s="815"/>
      <c r="BH92" s="815"/>
      <c r="BI92" s="815"/>
      <c r="BJ92" s="815"/>
      <c r="BK92" s="815"/>
      <c r="BL92" s="815"/>
      <c r="BM92" s="815"/>
      <c r="BN92" s="815"/>
      <c r="BO92" s="815"/>
      <c r="BP92" s="819"/>
      <c r="BQ92" s="828"/>
      <c r="BR92" s="815"/>
      <c r="BS92" s="815"/>
      <c r="BT92" s="781"/>
      <c r="BU92" s="781"/>
      <c r="BV92" s="781"/>
      <c r="BW92" s="781"/>
      <c r="BX92" s="781"/>
      <c r="BY92" s="781"/>
      <c r="BZ92" s="781"/>
      <c r="CA92" s="781"/>
      <c r="CB92" s="781"/>
      <c r="CC92" s="781"/>
      <c r="CD92" s="781"/>
      <c r="CE92" s="781"/>
      <c r="CF92" s="781"/>
      <c r="CG92" s="781"/>
      <c r="CH92" s="781"/>
      <c r="CI92" s="781"/>
      <c r="CJ92" s="781"/>
      <c r="CK92" s="781"/>
      <c r="CL92" s="781"/>
      <c r="CM92" s="781"/>
      <c r="CN92" s="781"/>
      <c r="CO92" s="781"/>
      <c r="CP92" s="781"/>
      <c r="CQ92" s="781"/>
      <c r="CR92" s="781"/>
      <c r="CS92" s="781"/>
      <c r="CT92" s="781"/>
      <c r="CU92" s="781"/>
      <c r="CV92" s="781"/>
      <c r="CW92" s="781"/>
      <c r="CX92" s="781"/>
      <c r="CY92" s="781"/>
      <c r="CZ92" s="781"/>
      <c r="DA92" s="781"/>
      <c r="DB92" s="781"/>
      <c r="DC92" s="781"/>
      <c r="DD92" s="781"/>
      <c r="DE92" s="781"/>
      <c r="DF92" s="781"/>
      <c r="DG92" s="781"/>
      <c r="DH92" s="781"/>
      <c r="DI92" s="781"/>
      <c r="DJ92" s="781"/>
      <c r="DK92" s="781"/>
      <c r="DL92" s="781"/>
      <c r="DM92" s="781"/>
      <c r="DN92" s="781"/>
      <c r="DO92" s="781"/>
      <c r="DP92" s="781"/>
    </row>
    <row r="93" spans="1:120" s="781" customFormat="1" ht="12.9" customHeight="1">
      <c r="A93" s="798"/>
      <c r="B93" s="799" t="str">
        <f>'사업수지표 '!C80</f>
        <v>기타비용</v>
      </c>
      <c r="C93" s="799"/>
      <c r="D93" s="827">
        <f>SUM(E93:BP93)</f>
        <v>1</v>
      </c>
      <c r="E93" s="817"/>
      <c r="F93" s="817"/>
      <c r="G93" s="817"/>
      <c r="H93" s="799"/>
      <c r="I93" s="801">
        <f t="shared" ref="I93:AZ93" si="133">IF(I5="착공",50%,IF(I5="준공",50%,))</f>
        <v>0.5</v>
      </c>
      <c r="J93" s="801">
        <f t="shared" si="133"/>
        <v>0</v>
      </c>
      <c r="K93" s="801">
        <f t="shared" si="133"/>
        <v>0</v>
      </c>
      <c r="L93" s="801">
        <f t="shared" si="133"/>
        <v>0</v>
      </c>
      <c r="M93" s="801">
        <f t="shared" si="133"/>
        <v>0</v>
      </c>
      <c r="N93" s="801">
        <f t="shared" si="133"/>
        <v>0</v>
      </c>
      <c r="O93" s="801">
        <f t="shared" si="133"/>
        <v>0</v>
      </c>
      <c r="P93" s="801">
        <f t="shared" si="133"/>
        <v>0</v>
      </c>
      <c r="Q93" s="801">
        <f t="shared" si="133"/>
        <v>0</v>
      </c>
      <c r="R93" s="801">
        <f t="shared" si="133"/>
        <v>0</v>
      </c>
      <c r="S93" s="801">
        <f t="shared" si="133"/>
        <v>0</v>
      </c>
      <c r="T93" s="801">
        <f t="shared" si="133"/>
        <v>0</v>
      </c>
      <c r="U93" s="801">
        <f t="shared" si="133"/>
        <v>0</v>
      </c>
      <c r="V93" s="801">
        <f t="shared" si="133"/>
        <v>0</v>
      </c>
      <c r="W93" s="801">
        <f t="shared" si="133"/>
        <v>0</v>
      </c>
      <c r="X93" s="801">
        <f t="shared" si="133"/>
        <v>0</v>
      </c>
      <c r="Y93" s="801">
        <f t="shared" si="133"/>
        <v>0</v>
      </c>
      <c r="Z93" s="801">
        <f t="shared" si="133"/>
        <v>0</v>
      </c>
      <c r="AA93" s="801">
        <f t="shared" si="133"/>
        <v>0</v>
      </c>
      <c r="AB93" s="801">
        <f t="shared" si="133"/>
        <v>0</v>
      </c>
      <c r="AC93" s="801">
        <f t="shared" si="133"/>
        <v>0</v>
      </c>
      <c r="AD93" s="801">
        <f t="shared" si="133"/>
        <v>0</v>
      </c>
      <c r="AE93" s="801">
        <v>0</v>
      </c>
      <c r="AF93" s="801">
        <f t="shared" si="133"/>
        <v>0</v>
      </c>
      <c r="AG93" s="801">
        <f t="shared" si="133"/>
        <v>0</v>
      </c>
      <c r="AH93" s="801">
        <f t="shared" si="133"/>
        <v>0</v>
      </c>
      <c r="AI93" s="801">
        <f t="shared" si="133"/>
        <v>0</v>
      </c>
      <c r="AJ93" s="801">
        <f t="shared" si="133"/>
        <v>0</v>
      </c>
      <c r="AK93" s="801">
        <f t="shared" si="133"/>
        <v>0</v>
      </c>
      <c r="AL93" s="801">
        <f t="shared" si="133"/>
        <v>0.5</v>
      </c>
      <c r="AM93" s="801">
        <f t="shared" si="133"/>
        <v>0</v>
      </c>
      <c r="AN93" s="801">
        <f t="shared" si="133"/>
        <v>0</v>
      </c>
      <c r="AO93" s="801">
        <f t="shared" si="133"/>
        <v>0</v>
      </c>
      <c r="AP93" s="801">
        <f t="shared" si="133"/>
        <v>0</v>
      </c>
      <c r="AQ93" s="801">
        <f t="shared" si="133"/>
        <v>0</v>
      </c>
      <c r="AR93" s="801">
        <f t="shared" si="133"/>
        <v>0</v>
      </c>
      <c r="AS93" s="801">
        <f t="shared" si="133"/>
        <v>0</v>
      </c>
      <c r="AT93" s="801">
        <f t="shared" si="133"/>
        <v>0</v>
      </c>
      <c r="AU93" s="801">
        <f t="shared" si="133"/>
        <v>0</v>
      </c>
      <c r="AV93" s="801">
        <f t="shared" si="133"/>
        <v>0</v>
      </c>
      <c r="AW93" s="801">
        <f t="shared" si="133"/>
        <v>0</v>
      </c>
      <c r="AX93" s="801">
        <f t="shared" si="133"/>
        <v>0</v>
      </c>
      <c r="AY93" s="801">
        <f t="shared" si="133"/>
        <v>0</v>
      </c>
      <c r="AZ93" s="801">
        <f t="shared" si="133"/>
        <v>0</v>
      </c>
      <c r="BA93" s="801">
        <f t="shared" ref="BA93:BP93" si="134">IF(BA5="착공",50%,IF(BA5="준공",50%,))</f>
        <v>0</v>
      </c>
      <c r="BB93" s="801">
        <f t="shared" si="134"/>
        <v>0</v>
      </c>
      <c r="BC93" s="801">
        <f t="shared" si="134"/>
        <v>0</v>
      </c>
      <c r="BD93" s="801">
        <f t="shared" si="134"/>
        <v>0</v>
      </c>
      <c r="BE93" s="801">
        <f t="shared" si="134"/>
        <v>0</v>
      </c>
      <c r="BF93" s="801">
        <f t="shared" si="134"/>
        <v>0</v>
      </c>
      <c r="BG93" s="801">
        <f t="shared" si="134"/>
        <v>0</v>
      </c>
      <c r="BH93" s="801">
        <f t="shared" si="134"/>
        <v>0</v>
      </c>
      <c r="BI93" s="801">
        <f t="shared" si="134"/>
        <v>0</v>
      </c>
      <c r="BJ93" s="801">
        <f t="shared" si="134"/>
        <v>0</v>
      </c>
      <c r="BK93" s="801">
        <f t="shared" si="134"/>
        <v>0</v>
      </c>
      <c r="BL93" s="801">
        <f t="shared" si="134"/>
        <v>0</v>
      </c>
      <c r="BM93" s="801">
        <f t="shared" si="134"/>
        <v>0</v>
      </c>
      <c r="BN93" s="801">
        <f t="shared" si="134"/>
        <v>0</v>
      </c>
      <c r="BO93" s="801">
        <f t="shared" si="134"/>
        <v>0</v>
      </c>
      <c r="BP93" s="801">
        <f t="shared" si="134"/>
        <v>0</v>
      </c>
      <c r="BQ93" s="828">
        <f>1-SUM(F93:BP93)</f>
        <v>0</v>
      </c>
      <c r="BR93" s="801"/>
      <c r="BS93" s="801"/>
    </row>
    <row r="94" spans="1:120" s="807" customFormat="1" ht="12.9" customHeight="1">
      <c r="A94" s="804"/>
      <c r="B94" s="805" t="str">
        <f>'사업수지표 '!C81</f>
        <v>소계</v>
      </c>
      <c r="C94" s="805"/>
      <c r="D94" s="826"/>
      <c r="E94" s="809"/>
      <c r="F94" s="809"/>
      <c r="G94" s="809"/>
      <c r="H94" s="805"/>
      <c r="I94" s="822"/>
      <c r="J94" s="822"/>
      <c r="K94" s="822"/>
      <c r="L94" s="822"/>
      <c r="M94" s="822"/>
      <c r="N94" s="822"/>
      <c r="O94" s="822"/>
      <c r="P94" s="822"/>
      <c r="Q94" s="822"/>
      <c r="R94" s="822"/>
      <c r="S94" s="822"/>
      <c r="T94" s="822"/>
      <c r="U94" s="822"/>
      <c r="V94" s="822"/>
      <c r="W94" s="822"/>
      <c r="X94" s="822"/>
      <c r="Y94" s="822"/>
      <c r="Z94" s="822"/>
      <c r="AA94" s="822"/>
      <c r="AB94" s="822"/>
      <c r="AC94" s="822"/>
      <c r="AD94" s="822"/>
      <c r="AE94" s="822"/>
      <c r="AF94" s="822"/>
      <c r="AG94" s="822"/>
      <c r="AH94" s="822"/>
      <c r="AI94" s="822"/>
      <c r="AJ94" s="822"/>
      <c r="AK94" s="822"/>
      <c r="AL94" s="822"/>
      <c r="AM94" s="822"/>
      <c r="AN94" s="822"/>
      <c r="AO94" s="822"/>
      <c r="AP94" s="822"/>
      <c r="AQ94" s="822"/>
      <c r="AR94" s="822"/>
      <c r="AS94" s="822"/>
      <c r="AT94" s="822"/>
      <c r="AU94" s="822"/>
      <c r="AV94" s="822"/>
      <c r="AW94" s="822"/>
      <c r="AX94" s="822"/>
      <c r="AY94" s="822"/>
      <c r="AZ94" s="822"/>
      <c r="BA94" s="822"/>
      <c r="BB94" s="822"/>
      <c r="BC94" s="822"/>
      <c r="BD94" s="822"/>
      <c r="BE94" s="822"/>
      <c r="BF94" s="822"/>
      <c r="BG94" s="822"/>
      <c r="BH94" s="822"/>
      <c r="BI94" s="822"/>
      <c r="BJ94" s="822"/>
      <c r="BK94" s="822"/>
      <c r="BL94" s="822"/>
      <c r="BM94" s="822"/>
      <c r="BN94" s="822"/>
      <c r="BO94" s="822"/>
      <c r="BP94" s="823"/>
      <c r="BQ94" s="822"/>
      <c r="BR94" s="822"/>
      <c r="BS94" s="822"/>
      <c r="BT94" s="781"/>
      <c r="BU94" s="781"/>
      <c r="BV94" s="781"/>
      <c r="BW94" s="781"/>
      <c r="BX94" s="781"/>
      <c r="BY94" s="781"/>
      <c r="BZ94" s="781"/>
      <c r="CA94" s="781"/>
      <c r="CB94" s="781"/>
      <c r="CC94" s="781"/>
      <c r="CD94" s="781"/>
      <c r="CE94" s="781"/>
      <c r="CF94" s="781"/>
      <c r="CG94" s="781"/>
      <c r="CH94" s="781"/>
      <c r="CI94" s="781"/>
      <c r="CJ94" s="781"/>
      <c r="CK94" s="781"/>
      <c r="CL94" s="781"/>
      <c r="CM94" s="781"/>
      <c r="CN94" s="781"/>
      <c r="CO94" s="781"/>
      <c r="CP94" s="781"/>
      <c r="CQ94" s="781"/>
      <c r="CR94" s="781"/>
      <c r="CS94" s="781"/>
      <c r="CT94" s="781"/>
      <c r="CU94" s="781"/>
      <c r="CV94" s="781"/>
      <c r="CW94" s="781"/>
      <c r="CX94" s="781"/>
      <c r="CY94" s="781"/>
      <c r="CZ94" s="781"/>
      <c r="DA94" s="781"/>
      <c r="DB94" s="781"/>
      <c r="DC94" s="781"/>
      <c r="DD94" s="781"/>
      <c r="DE94" s="781"/>
      <c r="DF94" s="781"/>
      <c r="DG94" s="781"/>
      <c r="DH94" s="781"/>
      <c r="DI94" s="781"/>
      <c r="DJ94" s="781"/>
      <c r="DK94" s="781"/>
      <c r="DL94" s="781"/>
      <c r="DM94" s="781"/>
      <c r="DN94" s="781"/>
      <c r="DO94" s="781"/>
      <c r="DP94" s="781"/>
    </row>
    <row r="95" spans="1:120" s="781" customFormat="1" ht="12.9" customHeight="1">
      <c r="A95" s="798"/>
      <c r="B95" s="799" t="str">
        <f>'사업수지표 '!C82</f>
        <v>주간수수료</v>
      </c>
      <c r="C95" s="799"/>
      <c r="D95" s="824">
        <f>SUM(E95:BP95)</f>
        <v>1</v>
      </c>
      <c r="E95" s="817"/>
      <c r="F95" s="801">
        <v>1</v>
      </c>
      <c r="G95" s="817"/>
      <c r="H95" s="799"/>
      <c r="I95" s="801"/>
      <c r="J95" s="801"/>
      <c r="K95" s="801"/>
      <c r="L95" s="801"/>
      <c r="M95" s="801"/>
      <c r="N95" s="801"/>
      <c r="O95" s="801"/>
      <c r="P95" s="801"/>
      <c r="Q95" s="801"/>
      <c r="R95" s="801"/>
      <c r="S95" s="801"/>
      <c r="T95" s="801"/>
      <c r="U95" s="801"/>
      <c r="V95" s="801"/>
      <c r="W95" s="801"/>
      <c r="X95" s="801"/>
      <c r="Y95" s="801"/>
      <c r="Z95" s="801"/>
      <c r="AA95" s="801"/>
      <c r="AB95" s="801"/>
      <c r="AC95" s="801"/>
      <c r="AD95" s="801"/>
      <c r="AE95" s="801"/>
      <c r="AF95" s="801"/>
      <c r="AG95" s="801"/>
      <c r="AH95" s="801"/>
      <c r="AI95" s="801"/>
      <c r="AJ95" s="801"/>
      <c r="AK95" s="801"/>
      <c r="AL95" s="801"/>
      <c r="AM95" s="801"/>
      <c r="AN95" s="801"/>
      <c r="AO95" s="801"/>
      <c r="AP95" s="801"/>
      <c r="AQ95" s="801"/>
      <c r="AR95" s="801"/>
      <c r="AS95" s="801"/>
      <c r="AT95" s="801"/>
      <c r="AU95" s="801"/>
      <c r="AV95" s="801"/>
      <c r="AW95" s="801"/>
      <c r="AX95" s="801"/>
      <c r="AY95" s="801"/>
      <c r="AZ95" s="801"/>
      <c r="BA95" s="801"/>
      <c r="BB95" s="801"/>
      <c r="BC95" s="801"/>
      <c r="BD95" s="801"/>
      <c r="BE95" s="801"/>
      <c r="BF95" s="801"/>
      <c r="BG95" s="801"/>
      <c r="BH95" s="801"/>
      <c r="BI95" s="801"/>
      <c r="BJ95" s="801"/>
      <c r="BK95" s="801"/>
      <c r="BL95" s="801"/>
      <c r="BM95" s="801"/>
      <c r="BN95" s="801"/>
      <c r="BO95" s="801"/>
      <c r="BP95" s="825"/>
      <c r="BQ95" s="801"/>
      <c r="BR95" s="801"/>
      <c r="BS95" s="801"/>
    </row>
    <row r="96" spans="1:120" s="781" customFormat="1" ht="12.9" customHeight="1">
      <c r="A96" s="798"/>
      <c r="B96" s="799" t="str">
        <f>'사업수지표 '!C83</f>
        <v>PI 금액</v>
      </c>
      <c r="C96" s="799"/>
      <c r="D96" s="824">
        <f>SUM(E96:BP96)</f>
        <v>1</v>
      </c>
      <c r="E96" s="817"/>
      <c r="F96" s="801">
        <v>1</v>
      </c>
      <c r="G96" s="817"/>
      <c r="H96" s="799"/>
      <c r="I96" s="801"/>
      <c r="J96" s="801"/>
      <c r="K96" s="801"/>
      <c r="L96" s="801"/>
      <c r="M96" s="801"/>
      <c r="N96" s="801"/>
      <c r="O96" s="801"/>
      <c r="P96" s="801"/>
      <c r="Q96" s="801"/>
      <c r="R96" s="801"/>
      <c r="S96" s="801"/>
      <c r="T96" s="801"/>
      <c r="U96" s="801"/>
      <c r="V96" s="801"/>
      <c r="W96" s="801"/>
      <c r="X96" s="801"/>
      <c r="Y96" s="801"/>
      <c r="Z96" s="801"/>
      <c r="AA96" s="801"/>
      <c r="AB96" s="801"/>
      <c r="AC96" s="801"/>
      <c r="AD96" s="801"/>
      <c r="AE96" s="801"/>
      <c r="AF96" s="801"/>
      <c r="AG96" s="801"/>
      <c r="AH96" s="801"/>
      <c r="AI96" s="801"/>
      <c r="AJ96" s="801"/>
      <c r="AK96" s="801"/>
      <c r="AL96" s="801"/>
      <c r="AM96" s="801"/>
      <c r="AN96" s="801"/>
      <c r="AO96" s="801"/>
      <c r="AP96" s="801"/>
      <c r="AQ96" s="801"/>
      <c r="AR96" s="801"/>
      <c r="AS96" s="801"/>
      <c r="AT96" s="801"/>
      <c r="AU96" s="801"/>
      <c r="AV96" s="801"/>
      <c r="AW96" s="801"/>
      <c r="AX96" s="801"/>
      <c r="AY96" s="801"/>
      <c r="AZ96" s="801"/>
      <c r="BA96" s="801"/>
      <c r="BB96" s="801"/>
      <c r="BC96" s="801"/>
      <c r="BD96" s="801"/>
      <c r="BE96" s="801"/>
      <c r="BF96" s="801"/>
      <c r="BG96" s="801"/>
      <c r="BH96" s="801"/>
      <c r="BI96" s="801"/>
      <c r="BJ96" s="801"/>
      <c r="BK96" s="801"/>
      <c r="BL96" s="801"/>
      <c r="BM96" s="801"/>
      <c r="BN96" s="801"/>
      <c r="BO96" s="801"/>
      <c r="BP96" s="825"/>
      <c r="BQ96" s="801"/>
      <c r="BR96" s="801"/>
      <c r="BS96" s="801"/>
    </row>
    <row r="97" spans="1:120" s="781" customFormat="1" ht="12.9" customHeight="1">
      <c r="A97" s="798"/>
      <c r="B97" s="799" t="str">
        <f>'사업수지표 '!C84</f>
        <v>본PF Tr-A(자문)</v>
      </c>
      <c r="C97" s="799"/>
      <c r="D97" s="824">
        <f>SUM(E97:BP97)</f>
        <v>1</v>
      </c>
      <c r="E97" s="817"/>
      <c r="F97" s="801">
        <v>1</v>
      </c>
      <c r="G97" s="817"/>
      <c r="H97" s="799"/>
      <c r="I97" s="801"/>
      <c r="J97" s="801"/>
      <c r="K97" s="801"/>
      <c r="L97" s="801"/>
      <c r="M97" s="801"/>
      <c r="N97" s="801"/>
      <c r="O97" s="801"/>
      <c r="P97" s="801"/>
      <c r="Q97" s="801"/>
      <c r="R97" s="801"/>
      <c r="S97" s="801"/>
      <c r="T97" s="801"/>
      <c r="U97" s="801"/>
      <c r="V97" s="801"/>
      <c r="W97" s="801"/>
      <c r="X97" s="801"/>
      <c r="Y97" s="801"/>
      <c r="Z97" s="801"/>
      <c r="AA97" s="801"/>
      <c r="AB97" s="801"/>
      <c r="AC97" s="801"/>
      <c r="AD97" s="801"/>
      <c r="AE97" s="801"/>
      <c r="AF97" s="801"/>
      <c r="AG97" s="801"/>
      <c r="AH97" s="801"/>
      <c r="AI97" s="801"/>
      <c r="AJ97" s="801"/>
      <c r="AK97" s="801"/>
      <c r="AL97" s="801"/>
      <c r="AM97" s="801"/>
      <c r="AN97" s="801"/>
      <c r="AO97" s="801"/>
      <c r="AP97" s="801"/>
      <c r="AQ97" s="801"/>
      <c r="AR97" s="801"/>
      <c r="AS97" s="801"/>
      <c r="AT97" s="801"/>
      <c r="AU97" s="801"/>
      <c r="AV97" s="801"/>
      <c r="AW97" s="801"/>
      <c r="AX97" s="801"/>
      <c r="AY97" s="801"/>
      <c r="AZ97" s="801"/>
      <c r="BA97" s="801"/>
      <c r="BB97" s="801"/>
      <c r="BC97" s="801"/>
      <c r="BD97" s="801"/>
      <c r="BE97" s="801"/>
      <c r="BF97" s="801"/>
      <c r="BG97" s="801"/>
      <c r="BH97" s="801"/>
      <c r="BI97" s="801"/>
      <c r="BJ97" s="801"/>
      <c r="BK97" s="801"/>
      <c r="BL97" s="801"/>
      <c r="BM97" s="801"/>
      <c r="BN97" s="801"/>
      <c r="BO97" s="801"/>
      <c r="BP97" s="825"/>
      <c r="BQ97" s="801"/>
      <c r="BR97" s="801"/>
      <c r="BS97" s="801"/>
    </row>
    <row r="98" spans="1:120" s="781" customFormat="1" ht="12.9" customHeight="1">
      <c r="A98" s="798"/>
      <c r="B98" s="799" t="str">
        <f>'사업수지표 '!C85</f>
        <v>본PF Tr-A(이자)</v>
      </c>
      <c r="C98" s="799"/>
      <c r="D98" s="824"/>
      <c r="E98" s="817"/>
      <c r="F98" s="817"/>
      <c r="G98" s="817"/>
      <c r="H98" s="799"/>
      <c r="I98" s="801"/>
      <c r="J98" s="801"/>
      <c r="K98" s="801"/>
      <c r="L98" s="801"/>
      <c r="M98" s="801"/>
      <c r="N98" s="801"/>
      <c r="O98" s="801"/>
      <c r="P98" s="801"/>
      <c r="Q98" s="801"/>
      <c r="R98" s="801"/>
      <c r="S98" s="801"/>
      <c r="T98" s="801"/>
      <c r="U98" s="801"/>
      <c r="V98" s="801"/>
      <c r="W98" s="801"/>
      <c r="X98" s="801"/>
      <c r="Y98" s="801"/>
      <c r="Z98" s="801"/>
      <c r="AA98" s="801"/>
      <c r="AB98" s="801"/>
      <c r="AC98" s="801"/>
      <c r="AD98" s="801"/>
      <c r="AE98" s="801"/>
      <c r="AF98" s="801"/>
      <c r="AG98" s="801"/>
      <c r="AH98" s="801"/>
      <c r="AI98" s="801"/>
      <c r="AJ98" s="801"/>
      <c r="AK98" s="801"/>
      <c r="AL98" s="801"/>
      <c r="AM98" s="801"/>
      <c r="AN98" s="801"/>
      <c r="AO98" s="801"/>
      <c r="AP98" s="801"/>
      <c r="AQ98" s="801"/>
      <c r="AR98" s="801"/>
      <c r="AS98" s="801"/>
      <c r="AT98" s="801"/>
      <c r="AU98" s="801"/>
      <c r="AV98" s="801"/>
      <c r="AW98" s="801"/>
      <c r="AX98" s="801"/>
      <c r="AY98" s="801"/>
      <c r="AZ98" s="801"/>
      <c r="BA98" s="801"/>
      <c r="BB98" s="801"/>
      <c r="BC98" s="801"/>
      <c r="BD98" s="801"/>
      <c r="BE98" s="801"/>
      <c r="BF98" s="801"/>
      <c r="BG98" s="801"/>
      <c r="BH98" s="801"/>
      <c r="BI98" s="801"/>
      <c r="BJ98" s="801"/>
      <c r="BK98" s="801"/>
      <c r="BL98" s="801"/>
      <c r="BM98" s="801"/>
      <c r="BN98" s="801"/>
      <c r="BO98" s="801"/>
      <c r="BP98" s="825"/>
      <c r="BQ98" s="801"/>
      <c r="BR98" s="801"/>
      <c r="BS98" s="801"/>
    </row>
    <row r="99" spans="1:120" s="781" customFormat="1" ht="12.9" customHeight="1">
      <c r="A99" s="798"/>
      <c r="B99" s="799" t="str">
        <f>'사업수지표 '!C86</f>
        <v>본PF Tr-B(자문)</v>
      </c>
      <c r="C99" s="799"/>
      <c r="D99" s="824">
        <f>SUM(E99:BP99)</f>
        <v>1</v>
      </c>
      <c r="E99" s="817"/>
      <c r="F99" s="801">
        <v>1</v>
      </c>
      <c r="G99" s="817"/>
      <c r="H99" s="799"/>
      <c r="I99" s="801"/>
      <c r="J99" s="801"/>
      <c r="K99" s="801"/>
      <c r="L99" s="801"/>
      <c r="M99" s="801"/>
      <c r="N99" s="801"/>
      <c r="O99" s="801"/>
      <c r="P99" s="801"/>
      <c r="Q99" s="801"/>
      <c r="R99" s="801"/>
      <c r="S99" s="801"/>
      <c r="T99" s="801"/>
      <c r="U99" s="801"/>
      <c r="V99" s="801"/>
      <c r="W99" s="801"/>
      <c r="X99" s="801"/>
      <c r="Y99" s="801"/>
      <c r="Z99" s="801"/>
      <c r="AA99" s="801"/>
      <c r="AB99" s="801"/>
      <c r="AC99" s="801"/>
      <c r="AD99" s="801"/>
      <c r="AE99" s="801"/>
      <c r="AF99" s="801"/>
      <c r="AG99" s="801"/>
      <c r="AH99" s="801"/>
      <c r="AI99" s="801"/>
      <c r="AJ99" s="801"/>
      <c r="AK99" s="801"/>
      <c r="AL99" s="801"/>
      <c r="AM99" s="801"/>
      <c r="AN99" s="801"/>
      <c r="AO99" s="801"/>
      <c r="AP99" s="801"/>
      <c r="AQ99" s="801"/>
      <c r="AR99" s="801"/>
      <c r="AS99" s="801"/>
      <c r="AT99" s="801"/>
      <c r="AU99" s="801"/>
      <c r="AV99" s="801"/>
      <c r="AW99" s="801"/>
      <c r="AX99" s="801"/>
      <c r="AY99" s="801"/>
      <c r="AZ99" s="801"/>
      <c r="BA99" s="801"/>
      <c r="BB99" s="801"/>
      <c r="BC99" s="801"/>
      <c r="BD99" s="801"/>
      <c r="BE99" s="801"/>
      <c r="BF99" s="801"/>
      <c r="BG99" s="801"/>
      <c r="BH99" s="801"/>
      <c r="BI99" s="801"/>
      <c r="BJ99" s="801"/>
      <c r="BK99" s="801"/>
      <c r="BL99" s="801"/>
      <c r="BM99" s="801"/>
      <c r="BN99" s="801"/>
      <c r="BO99" s="801"/>
      <c r="BP99" s="825"/>
      <c r="BQ99" s="801"/>
      <c r="BR99" s="801"/>
      <c r="BS99" s="801"/>
    </row>
    <row r="100" spans="1:120" s="781" customFormat="1" ht="12.9" customHeight="1">
      <c r="A100" s="798"/>
      <c r="B100" s="799" t="str">
        <f>'사업수지표 '!C87</f>
        <v>본PF Tr-B(이자)</v>
      </c>
      <c r="C100" s="799"/>
      <c r="D100" s="824"/>
      <c r="E100" s="817"/>
      <c r="F100" s="817"/>
      <c r="G100" s="817"/>
      <c r="H100" s="799"/>
      <c r="I100" s="801"/>
      <c r="J100" s="801"/>
      <c r="K100" s="801"/>
      <c r="L100" s="801"/>
      <c r="M100" s="801"/>
      <c r="N100" s="801"/>
      <c r="O100" s="801"/>
      <c r="P100" s="801"/>
      <c r="Q100" s="801"/>
      <c r="R100" s="801"/>
      <c r="S100" s="801"/>
      <c r="T100" s="801"/>
      <c r="U100" s="801"/>
      <c r="V100" s="801"/>
      <c r="W100" s="801"/>
      <c r="X100" s="801"/>
      <c r="Y100" s="801"/>
      <c r="Z100" s="801"/>
      <c r="AA100" s="801"/>
      <c r="AB100" s="801"/>
      <c r="AC100" s="801"/>
      <c r="AD100" s="801"/>
      <c r="AE100" s="801"/>
      <c r="AF100" s="801"/>
      <c r="AG100" s="801"/>
      <c r="AH100" s="801"/>
      <c r="AI100" s="801"/>
      <c r="AJ100" s="801"/>
      <c r="AK100" s="801"/>
      <c r="AL100" s="801"/>
      <c r="AM100" s="801"/>
      <c r="AN100" s="801"/>
      <c r="AO100" s="801"/>
      <c r="AP100" s="801"/>
      <c r="AQ100" s="801"/>
      <c r="AR100" s="801"/>
      <c r="AS100" s="801"/>
      <c r="AT100" s="801"/>
      <c r="AU100" s="801"/>
      <c r="AV100" s="801"/>
      <c r="AW100" s="801"/>
      <c r="AX100" s="801"/>
      <c r="AY100" s="801"/>
      <c r="AZ100" s="801"/>
      <c r="BA100" s="801"/>
      <c r="BB100" s="801"/>
      <c r="BC100" s="801"/>
      <c r="BD100" s="801"/>
      <c r="BE100" s="801"/>
      <c r="BF100" s="801"/>
      <c r="BG100" s="801"/>
      <c r="BH100" s="801"/>
      <c r="BI100" s="801"/>
      <c r="BJ100" s="801"/>
      <c r="BK100" s="801"/>
      <c r="BL100" s="801"/>
      <c r="BM100" s="801"/>
      <c r="BN100" s="801"/>
      <c r="BO100" s="801"/>
      <c r="BP100" s="825"/>
      <c r="BQ100" s="801"/>
      <c r="BR100" s="801"/>
      <c r="BS100" s="801"/>
    </row>
    <row r="101" spans="1:120" s="781" customFormat="1" ht="12.9" customHeight="1">
      <c r="A101" s="798"/>
      <c r="B101" s="799" t="str">
        <f>'사업수지표 '!C88</f>
        <v>본PF Tr-C(자문)</v>
      </c>
      <c r="C101" s="799"/>
      <c r="D101" s="824">
        <f>SUM(E101:BP101)</f>
        <v>1</v>
      </c>
      <c r="E101" s="817"/>
      <c r="F101" s="801">
        <v>1</v>
      </c>
      <c r="G101" s="817"/>
      <c r="H101" s="799"/>
      <c r="I101" s="801"/>
      <c r="J101" s="801"/>
      <c r="K101" s="801"/>
      <c r="L101" s="801"/>
      <c r="M101" s="801"/>
      <c r="N101" s="801"/>
      <c r="O101" s="801"/>
      <c r="P101" s="801"/>
      <c r="Q101" s="801"/>
      <c r="R101" s="801"/>
      <c r="S101" s="801"/>
      <c r="T101" s="801"/>
      <c r="U101" s="801"/>
      <c r="V101" s="801"/>
      <c r="W101" s="801"/>
      <c r="X101" s="801"/>
      <c r="Y101" s="801"/>
      <c r="Z101" s="801"/>
      <c r="AA101" s="801"/>
      <c r="AB101" s="801"/>
      <c r="AC101" s="801"/>
      <c r="AD101" s="801"/>
      <c r="AE101" s="801"/>
      <c r="AF101" s="801"/>
      <c r="AG101" s="801"/>
      <c r="AH101" s="801"/>
      <c r="AI101" s="801"/>
      <c r="AJ101" s="801"/>
      <c r="AK101" s="801"/>
      <c r="AL101" s="801"/>
      <c r="AM101" s="801"/>
      <c r="AN101" s="801"/>
      <c r="AO101" s="801"/>
      <c r="AP101" s="801"/>
      <c r="AQ101" s="801"/>
      <c r="AR101" s="801"/>
      <c r="AS101" s="801"/>
      <c r="AT101" s="801"/>
      <c r="AU101" s="801"/>
      <c r="AV101" s="801"/>
      <c r="AW101" s="801"/>
      <c r="AX101" s="801"/>
      <c r="AY101" s="801"/>
      <c r="AZ101" s="801"/>
      <c r="BA101" s="801"/>
      <c r="BB101" s="801"/>
      <c r="BC101" s="801"/>
      <c r="BD101" s="801"/>
      <c r="BE101" s="801"/>
      <c r="BF101" s="801"/>
      <c r="BG101" s="801"/>
      <c r="BH101" s="801"/>
      <c r="BI101" s="801"/>
      <c r="BJ101" s="801"/>
      <c r="BK101" s="801"/>
      <c r="BL101" s="801"/>
      <c r="BM101" s="801"/>
      <c r="BN101" s="801"/>
      <c r="BO101" s="801"/>
      <c r="BP101" s="825"/>
      <c r="BQ101" s="801"/>
      <c r="BR101" s="801"/>
      <c r="BS101" s="801"/>
    </row>
    <row r="102" spans="1:120" s="781" customFormat="1" ht="12.9" customHeight="1">
      <c r="A102" s="798"/>
      <c r="B102" s="799" t="str">
        <f>'사업수지표 '!C89</f>
        <v>본PF Tr-C(이자)</v>
      </c>
      <c r="C102" s="799"/>
      <c r="D102" s="824"/>
      <c r="E102" s="817"/>
      <c r="F102" s="817"/>
      <c r="G102" s="817"/>
      <c r="H102" s="799"/>
      <c r="I102" s="801"/>
      <c r="J102" s="801"/>
      <c r="K102" s="801"/>
      <c r="L102" s="801"/>
      <c r="M102" s="801"/>
      <c r="N102" s="801"/>
      <c r="O102" s="801"/>
      <c r="P102" s="801"/>
      <c r="Q102" s="801"/>
      <c r="R102" s="801"/>
      <c r="S102" s="801"/>
      <c r="T102" s="801"/>
      <c r="U102" s="801"/>
      <c r="V102" s="801"/>
      <c r="W102" s="801"/>
      <c r="X102" s="801"/>
      <c r="Y102" s="801"/>
      <c r="Z102" s="801"/>
      <c r="AA102" s="801"/>
      <c r="AB102" s="801"/>
      <c r="AC102" s="801"/>
      <c r="AD102" s="801"/>
      <c r="AE102" s="801"/>
      <c r="AF102" s="801"/>
      <c r="AG102" s="801"/>
      <c r="AH102" s="801"/>
      <c r="AI102" s="801"/>
      <c r="AJ102" s="801"/>
      <c r="AK102" s="801"/>
      <c r="AL102" s="801"/>
      <c r="AM102" s="801"/>
      <c r="AN102" s="801"/>
      <c r="AO102" s="801"/>
      <c r="AP102" s="801"/>
      <c r="AQ102" s="801"/>
      <c r="AR102" s="801"/>
      <c r="AS102" s="801"/>
      <c r="AT102" s="801"/>
      <c r="AU102" s="801"/>
      <c r="AV102" s="801"/>
      <c r="AW102" s="801"/>
      <c r="AX102" s="801"/>
      <c r="AY102" s="801"/>
      <c r="AZ102" s="801"/>
      <c r="BA102" s="801"/>
      <c r="BB102" s="801"/>
      <c r="BC102" s="801"/>
      <c r="BD102" s="801"/>
      <c r="BE102" s="801"/>
      <c r="BF102" s="801"/>
      <c r="BG102" s="801"/>
      <c r="BH102" s="801"/>
      <c r="BI102" s="801"/>
      <c r="BJ102" s="801"/>
      <c r="BK102" s="801"/>
      <c r="BL102" s="801"/>
      <c r="BM102" s="801"/>
      <c r="BN102" s="801"/>
      <c r="BO102" s="801"/>
      <c r="BP102" s="825"/>
      <c r="BQ102" s="801"/>
      <c r="BR102" s="801"/>
      <c r="BS102" s="801"/>
    </row>
    <row r="103" spans="1:120" s="781" customFormat="1" ht="12.9" customHeight="1">
      <c r="A103" s="798"/>
      <c r="B103" s="799" t="str">
        <f>'사업수지표 '!C94</f>
        <v>브릿지비용</v>
      </c>
      <c r="C103" s="799"/>
      <c r="D103" s="824">
        <f>SUM(E103:BP103)</f>
        <v>1</v>
      </c>
      <c r="E103" s="817"/>
      <c r="F103" s="801">
        <v>1</v>
      </c>
      <c r="G103" s="817"/>
      <c r="H103" s="799"/>
      <c r="I103" s="801"/>
      <c r="J103" s="801"/>
      <c r="K103" s="801"/>
      <c r="L103" s="801"/>
      <c r="M103" s="801"/>
      <c r="N103" s="801"/>
      <c r="O103" s="801"/>
      <c r="P103" s="801"/>
      <c r="Q103" s="801"/>
      <c r="R103" s="801"/>
      <c r="S103" s="801"/>
      <c r="T103" s="801"/>
      <c r="U103" s="801"/>
      <c r="V103" s="801"/>
      <c r="W103" s="801"/>
      <c r="X103" s="801"/>
      <c r="Y103" s="801"/>
      <c r="Z103" s="801"/>
      <c r="AA103" s="801"/>
      <c r="AB103" s="801"/>
      <c r="AC103" s="801"/>
      <c r="AD103" s="801"/>
      <c r="AE103" s="801"/>
      <c r="AF103" s="801"/>
      <c r="AG103" s="801"/>
      <c r="AH103" s="801"/>
      <c r="AI103" s="801"/>
      <c r="AJ103" s="801"/>
      <c r="AK103" s="801"/>
      <c r="AL103" s="801"/>
      <c r="AM103" s="801"/>
      <c r="AN103" s="801"/>
      <c r="AO103" s="801"/>
      <c r="AP103" s="801"/>
      <c r="AQ103" s="801"/>
      <c r="AR103" s="801"/>
      <c r="AS103" s="801"/>
      <c r="AT103" s="801"/>
      <c r="AU103" s="801"/>
      <c r="AV103" s="801"/>
      <c r="AW103" s="801"/>
      <c r="AX103" s="801"/>
      <c r="AY103" s="801"/>
      <c r="AZ103" s="801"/>
      <c r="BA103" s="801"/>
      <c r="BB103" s="801"/>
      <c r="BC103" s="801"/>
      <c r="BD103" s="801"/>
      <c r="BE103" s="801"/>
      <c r="BF103" s="801"/>
      <c r="BG103" s="801"/>
      <c r="BH103" s="801"/>
      <c r="BI103" s="801"/>
      <c r="BJ103" s="801"/>
      <c r="BK103" s="801"/>
      <c r="BL103" s="801"/>
      <c r="BM103" s="801"/>
      <c r="BN103" s="801"/>
      <c r="BO103" s="801"/>
      <c r="BP103" s="825"/>
      <c r="BQ103" s="801"/>
      <c r="BR103" s="801"/>
      <c r="BS103" s="801"/>
    </row>
    <row r="104" spans="1:120" s="807" customFormat="1" ht="12.9" customHeight="1">
      <c r="A104" s="837"/>
      <c r="B104" s="838" t="str">
        <f>'사업수지표 '!C95</f>
        <v>소계</v>
      </c>
      <c r="C104" s="838"/>
      <c r="D104" s="839"/>
      <c r="E104" s="840"/>
      <c r="F104" s="840"/>
      <c r="G104" s="840"/>
      <c r="H104" s="838"/>
      <c r="I104" s="841"/>
      <c r="J104" s="841"/>
      <c r="K104" s="841"/>
      <c r="L104" s="841"/>
      <c r="M104" s="841"/>
      <c r="N104" s="841"/>
      <c r="O104" s="841"/>
      <c r="P104" s="841"/>
      <c r="Q104" s="841"/>
      <c r="R104" s="841"/>
      <c r="S104" s="841"/>
      <c r="T104" s="841"/>
      <c r="U104" s="841"/>
      <c r="V104" s="841"/>
      <c r="W104" s="841"/>
      <c r="X104" s="841"/>
      <c r="Y104" s="841"/>
      <c r="Z104" s="841"/>
      <c r="AA104" s="841"/>
      <c r="AB104" s="841"/>
      <c r="AC104" s="841"/>
      <c r="AD104" s="841"/>
      <c r="AE104" s="841"/>
      <c r="AF104" s="841"/>
      <c r="AG104" s="841"/>
      <c r="AH104" s="841"/>
      <c r="AI104" s="841"/>
      <c r="AJ104" s="841"/>
      <c r="AK104" s="841"/>
      <c r="AL104" s="841"/>
      <c r="AM104" s="841"/>
      <c r="AN104" s="841"/>
      <c r="AO104" s="841"/>
      <c r="AP104" s="841"/>
      <c r="AQ104" s="841"/>
      <c r="AR104" s="841"/>
      <c r="AS104" s="841"/>
      <c r="AT104" s="841"/>
      <c r="AU104" s="841"/>
      <c r="AV104" s="841"/>
      <c r="AW104" s="841"/>
      <c r="AX104" s="841"/>
      <c r="AY104" s="841"/>
      <c r="AZ104" s="841"/>
      <c r="BA104" s="841"/>
      <c r="BB104" s="841"/>
      <c r="BC104" s="841"/>
      <c r="BD104" s="841"/>
      <c r="BE104" s="841"/>
      <c r="BF104" s="841"/>
      <c r="BG104" s="841"/>
      <c r="BH104" s="841"/>
      <c r="BI104" s="841"/>
      <c r="BJ104" s="841"/>
      <c r="BK104" s="841"/>
      <c r="BL104" s="841"/>
      <c r="BM104" s="841"/>
      <c r="BN104" s="841"/>
      <c r="BO104" s="841"/>
      <c r="BP104" s="842"/>
      <c r="BQ104" s="822"/>
      <c r="BR104" s="822"/>
      <c r="BS104" s="822"/>
      <c r="BT104" s="781"/>
      <c r="BU104" s="781"/>
      <c r="BV104" s="781"/>
      <c r="BW104" s="781"/>
      <c r="BX104" s="781"/>
      <c r="BY104" s="781"/>
      <c r="BZ104" s="781"/>
      <c r="CA104" s="781"/>
      <c r="CB104" s="781"/>
      <c r="CC104" s="781"/>
      <c r="CD104" s="781"/>
      <c r="CE104" s="781"/>
      <c r="CF104" s="781"/>
      <c r="CG104" s="781"/>
      <c r="CH104" s="781"/>
      <c r="CI104" s="781"/>
      <c r="CJ104" s="781"/>
      <c r="CK104" s="781"/>
      <c r="CL104" s="781"/>
      <c r="CM104" s="781"/>
      <c r="CN104" s="781"/>
      <c r="CO104" s="781"/>
      <c r="CP104" s="781"/>
      <c r="CQ104" s="781"/>
      <c r="CR104" s="781"/>
      <c r="CS104" s="781"/>
      <c r="CT104" s="781"/>
      <c r="CU104" s="781"/>
      <c r="CV104" s="781"/>
      <c r="CW104" s="781"/>
      <c r="CX104" s="781"/>
      <c r="CY104" s="781"/>
      <c r="CZ104" s="781"/>
      <c r="DA104" s="781"/>
      <c r="DB104" s="781"/>
      <c r="DC104" s="781"/>
      <c r="DD104" s="781"/>
      <c r="DE104" s="781"/>
      <c r="DF104" s="781"/>
      <c r="DG104" s="781"/>
      <c r="DH104" s="781"/>
      <c r="DI104" s="781"/>
      <c r="DJ104" s="781"/>
      <c r="DK104" s="781"/>
      <c r="DL104" s="781"/>
      <c r="DM104" s="781"/>
      <c r="DN104" s="781"/>
      <c r="DO104" s="781"/>
      <c r="DP104" s="781"/>
    </row>
    <row r="105" spans="1:120" s="781" customFormat="1" ht="21" customHeight="1">
      <c r="B105" s="799"/>
      <c r="C105" s="799"/>
      <c r="D105" s="817"/>
      <c r="E105" s="817"/>
      <c r="F105" s="817"/>
      <c r="G105" s="817"/>
      <c r="H105" s="799"/>
      <c r="I105" s="843"/>
      <c r="J105" s="843"/>
      <c r="K105" s="843"/>
      <c r="L105" s="843"/>
      <c r="M105" s="843"/>
      <c r="N105" s="843"/>
      <c r="O105" s="843"/>
      <c r="P105" s="843"/>
      <c r="Q105" s="843"/>
      <c r="R105" s="843"/>
      <c r="S105" s="843"/>
      <c r="T105" s="843"/>
      <c r="U105" s="843"/>
      <c r="V105" s="843"/>
      <c r="W105" s="843"/>
      <c r="X105" s="843"/>
      <c r="Y105" s="843"/>
      <c r="Z105" s="843"/>
      <c r="AA105" s="843"/>
      <c r="AB105" s="843"/>
      <c r="AC105" s="843"/>
      <c r="AD105" s="843"/>
      <c r="AE105" s="843"/>
      <c r="AF105" s="843"/>
      <c r="AG105" s="843"/>
      <c r="AH105" s="843"/>
      <c r="AI105" s="843"/>
      <c r="AJ105" s="843"/>
      <c r="AK105" s="843"/>
      <c r="AL105" s="843"/>
      <c r="AM105" s="843"/>
      <c r="AN105" s="843"/>
      <c r="AO105" s="843"/>
      <c r="AP105" s="843"/>
      <c r="AQ105" s="843"/>
      <c r="AR105" s="843"/>
      <c r="AS105" s="843"/>
      <c r="AT105" s="843"/>
      <c r="AU105" s="843"/>
      <c r="AV105" s="843"/>
      <c r="AW105" s="843"/>
      <c r="AX105" s="843"/>
      <c r="AY105" s="843"/>
      <c r="AZ105" s="843"/>
      <c r="BA105" s="843"/>
      <c r="BB105" s="843"/>
      <c r="BC105" s="843"/>
      <c r="BD105" s="843"/>
      <c r="BE105" s="843"/>
      <c r="BF105" s="843"/>
      <c r="BG105" s="843"/>
      <c r="BH105" s="843"/>
      <c r="BI105" s="843"/>
      <c r="BJ105" s="843"/>
      <c r="BK105" s="843"/>
      <c r="BL105" s="843"/>
      <c r="BM105" s="843"/>
      <c r="BN105" s="843"/>
      <c r="BO105" s="843"/>
      <c r="BP105" s="843"/>
      <c r="BQ105" s="843"/>
      <c r="BR105" s="843"/>
      <c r="BS105" s="843"/>
    </row>
    <row r="106" spans="1:120" s="781" customFormat="1" ht="21" customHeight="1">
      <c r="B106" s="799"/>
      <c r="C106" s="799"/>
      <c r="D106" s="817"/>
      <c r="E106" s="817"/>
      <c r="F106" s="817"/>
      <c r="G106" s="817"/>
      <c r="H106" s="799"/>
      <c r="I106" s="843"/>
      <c r="J106" s="843"/>
      <c r="K106" s="843"/>
      <c r="L106" s="843"/>
      <c r="M106" s="843"/>
      <c r="N106" s="843"/>
      <c r="O106" s="843"/>
      <c r="P106" s="843"/>
      <c r="Q106" s="843"/>
      <c r="R106" s="843"/>
      <c r="S106" s="843"/>
      <c r="T106" s="843"/>
      <c r="U106" s="843"/>
      <c r="V106" s="843"/>
      <c r="W106" s="843"/>
      <c r="X106" s="843"/>
      <c r="Y106" s="843"/>
      <c r="Z106" s="843"/>
      <c r="AA106" s="843"/>
      <c r="AB106" s="843"/>
      <c r="AC106" s="843"/>
      <c r="AD106" s="843"/>
      <c r="AE106" s="843"/>
      <c r="AF106" s="843"/>
      <c r="AG106" s="843"/>
      <c r="AH106" s="843"/>
      <c r="AI106" s="843"/>
      <c r="AJ106" s="843"/>
      <c r="AK106" s="843"/>
      <c r="AL106" s="843"/>
      <c r="AM106" s="843"/>
      <c r="AN106" s="843"/>
      <c r="AO106" s="843"/>
      <c r="AP106" s="843"/>
      <c r="AQ106" s="843"/>
      <c r="AR106" s="843"/>
      <c r="AS106" s="843"/>
      <c r="AT106" s="843"/>
      <c r="AU106" s="843"/>
      <c r="AV106" s="843"/>
      <c r="AW106" s="843"/>
      <c r="AX106" s="843"/>
      <c r="AY106" s="843"/>
      <c r="AZ106" s="843"/>
      <c r="BA106" s="843"/>
      <c r="BB106" s="843"/>
      <c r="BC106" s="843"/>
      <c r="BD106" s="843"/>
      <c r="BE106" s="843"/>
      <c r="BF106" s="843"/>
      <c r="BG106" s="843"/>
      <c r="BH106" s="843"/>
      <c r="BI106" s="843"/>
      <c r="BJ106" s="843"/>
      <c r="BK106" s="843"/>
      <c r="BL106" s="843"/>
      <c r="BM106" s="843"/>
      <c r="BN106" s="843"/>
      <c r="BO106" s="843"/>
      <c r="BP106" s="843"/>
      <c r="BQ106" s="843"/>
      <c r="BR106" s="843"/>
      <c r="BS106" s="843"/>
    </row>
    <row r="107" spans="1:120" s="781" customFormat="1" ht="21" customHeight="1">
      <c r="B107" s="799"/>
      <c r="C107" s="799"/>
      <c r="D107" s="817"/>
      <c r="E107" s="817"/>
      <c r="F107" s="817"/>
      <c r="G107" s="817"/>
      <c r="H107" s="799"/>
      <c r="I107" s="843"/>
      <c r="J107" s="843"/>
      <c r="K107" s="843"/>
      <c r="L107" s="843"/>
      <c r="M107" s="843"/>
      <c r="N107" s="843"/>
      <c r="O107" s="843"/>
      <c r="P107" s="843"/>
      <c r="Q107" s="843"/>
      <c r="R107" s="843"/>
      <c r="S107" s="843"/>
      <c r="T107" s="843"/>
      <c r="U107" s="843"/>
      <c r="V107" s="843"/>
      <c r="W107" s="843"/>
      <c r="X107" s="843"/>
      <c r="Y107" s="843"/>
      <c r="Z107" s="843"/>
      <c r="AA107" s="843"/>
      <c r="AB107" s="843"/>
      <c r="AC107" s="843"/>
      <c r="AD107" s="843"/>
      <c r="AE107" s="843"/>
      <c r="AF107" s="843"/>
      <c r="AG107" s="843"/>
      <c r="AH107" s="843"/>
      <c r="AI107" s="843"/>
      <c r="AJ107" s="843"/>
      <c r="AK107" s="843"/>
      <c r="AL107" s="843"/>
      <c r="AM107" s="843"/>
      <c r="AN107" s="843"/>
      <c r="AO107" s="843"/>
      <c r="AP107" s="843"/>
      <c r="AQ107" s="843"/>
      <c r="AR107" s="843"/>
      <c r="AS107" s="843"/>
      <c r="AT107" s="843"/>
      <c r="AU107" s="843"/>
      <c r="AV107" s="843"/>
      <c r="AW107" s="843"/>
      <c r="AX107" s="843"/>
      <c r="AY107" s="843"/>
      <c r="AZ107" s="843"/>
      <c r="BA107" s="843"/>
      <c r="BB107" s="843"/>
      <c r="BC107" s="843"/>
      <c r="BD107" s="843"/>
      <c r="BE107" s="843"/>
      <c r="BF107" s="843"/>
      <c r="BG107" s="843"/>
      <c r="BH107" s="843"/>
      <c r="BI107" s="843"/>
      <c r="BJ107" s="843"/>
      <c r="BK107" s="843"/>
      <c r="BL107" s="843"/>
      <c r="BM107" s="843"/>
      <c r="BN107" s="843"/>
      <c r="BO107" s="843"/>
      <c r="BP107" s="843"/>
      <c r="BQ107" s="843"/>
      <c r="BR107" s="843"/>
      <c r="BS107" s="843"/>
    </row>
    <row r="108" spans="1:120" s="781" customFormat="1" ht="21" customHeight="1">
      <c r="B108" s="799"/>
      <c r="C108" s="799"/>
      <c r="D108" s="817"/>
      <c r="E108" s="817"/>
      <c r="F108" s="817"/>
      <c r="G108" s="817"/>
      <c r="H108" s="799"/>
      <c r="I108" s="843"/>
      <c r="J108" s="843"/>
      <c r="K108" s="843"/>
      <c r="L108" s="843"/>
      <c r="M108" s="843"/>
      <c r="N108" s="843"/>
      <c r="O108" s="843"/>
      <c r="P108" s="843"/>
      <c r="Q108" s="843"/>
      <c r="R108" s="843"/>
      <c r="S108" s="843"/>
      <c r="T108" s="843"/>
      <c r="U108" s="843"/>
      <c r="V108" s="843"/>
      <c r="W108" s="843"/>
      <c r="X108" s="843"/>
      <c r="Y108" s="843"/>
      <c r="Z108" s="843"/>
      <c r="AA108" s="843"/>
      <c r="AB108" s="843"/>
      <c r="AC108" s="843"/>
      <c r="AD108" s="843"/>
      <c r="AE108" s="843"/>
      <c r="AF108" s="843"/>
      <c r="AG108" s="843"/>
      <c r="AH108" s="843"/>
      <c r="AI108" s="843"/>
      <c r="AJ108" s="843"/>
      <c r="AK108" s="843"/>
      <c r="AL108" s="843"/>
      <c r="AM108" s="843"/>
      <c r="AN108" s="843"/>
      <c r="AO108" s="843"/>
      <c r="AP108" s="843"/>
      <c r="AQ108" s="843"/>
      <c r="AR108" s="843"/>
      <c r="AS108" s="843"/>
      <c r="AT108" s="843"/>
      <c r="AU108" s="843"/>
      <c r="AV108" s="843"/>
      <c r="AW108" s="843"/>
      <c r="AX108" s="843"/>
      <c r="AY108" s="843"/>
      <c r="AZ108" s="843"/>
      <c r="BA108" s="843"/>
      <c r="BB108" s="843"/>
      <c r="BC108" s="843"/>
      <c r="BD108" s="843"/>
      <c r="BE108" s="843"/>
      <c r="BF108" s="843"/>
      <c r="BG108" s="843"/>
      <c r="BH108" s="843"/>
      <c r="BI108" s="843"/>
      <c r="BJ108" s="843"/>
      <c r="BK108" s="843"/>
      <c r="BL108" s="843"/>
      <c r="BM108" s="843"/>
      <c r="BN108" s="843"/>
      <c r="BO108" s="843"/>
      <c r="BP108" s="843"/>
      <c r="BQ108" s="843"/>
      <c r="BR108" s="843"/>
      <c r="BS108" s="843"/>
    </row>
    <row r="109" spans="1:120" s="817" customFormat="1" ht="21" customHeight="1">
      <c r="BT109" s="781"/>
      <c r="BU109" s="781"/>
      <c r="BV109" s="781"/>
      <c r="BW109" s="781"/>
      <c r="BX109" s="781"/>
      <c r="BY109" s="781"/>
      <c r="BZ109" s="781"/>
      <c r="CA109" s="781"/>
      <c r="CB109" s="781"/>
      <c r="CC109" s="781"/>
      <c r="CD109" s="781"/>
      <c r="CE109" s="781"/>
      <c r="CF109" s="781"/>
      <c r="CG109" s="781"/>
      <c r="CH109" s="781"/>
      <c r="CI109" s="781"/>
      <c r="CJ109" s="781"/>
      <c r="CK109" s="781"/>
      <c r="CL109" s="781"/>
      <c r="CM109" s="781"/>
      <c r="CN109" s="781"/>
      <c r="CO109" s="781"/>
      <c r="CP109" s="781"/>
      <c r="CQ109" s="781"/>
      <c r="CR109" s="781"/>
      <c r="CS109" s="781"/>
      <c r="CT109" s="781"/>
      <c r="CU109" s="781"/>
      <c r="CV109" s="781"/>
      <c r="CW109" s="781"/>
      <c r="CX109" s="781"/>
      <c r="CY109" s="781"/>
      <c r="CZ109" s="781"/>
      <c r="DA109" s="781"/>
      <c r="DB109" s="781"/>
      <c r="DC109" s="781"/>
      <c r="DD109" s="781"/>
      <c r="DE109" s="781"/>
      <c r="DF109" s="781"/>
      <c r="DG109" s="781"/>
      <c r="DH109" s="781"/>
      <c r="DI109" s="781"/>
      <c r="DJ109" s="781"/>
      <c r="DK109" s="781"/>
      <c r="DL109" s="781"/>
      <c r="DM109" s="781"/>
      <c r="DN109" s="781"/>
      <c r="DO109" s="781"/>
      <c r="DP109" s="781"/>
    </row>
    <row r="110" spans="1:120" s="817" customFormat="1" ht="10.8">
      <c r="BT110" s="781"/>
      <c r="BU110" s="781"/>
      <c r="BV110" s="781"/>
      <c r="BW110" s="781"/>
      <c r="BX110" s="781"/>
      <c r="BY110" s="781"/>
      <c r="BZ110" s="781"/>
      <c r="CA110" s="781"/>
      <c r="CB110" s="781"/>
      <c r="CC110" s="781"/>
      <c r="CD110" s="781"/>
      <c r="CE110" s="781"/>
      <c r="CF110" s="781"/>
      <c r="CG110" s="781"/>
      <c r="CH110" s="781"/>
      <c r="CI110" s="781"/>
      <c r="CJ110" s="781"/>
      <c r="CK110" s="781"/>
      <c r="CL110" s="781"/>
      <c r="CM110" s="781"/>
      <c r="CN110" s="781"/>
      <c r="CO110" s="781"/>
      <c r="CP110" s="781"/>
      <c r="CQ110" s="781"/>
      <c r="CR110" s="781"/>
      <c r="CS110" s="781"/>
      <c r="CT110" s="781"/>
      <c r="CU110" s="781"/>
      <c r="CV110" s="781"/>
      <c r="CW110" s="781"/>
      <c r="CX110" s="781"/>
      <c r="CY110" s="781"/>
      <c r="CZ110" s="781"/>
      <c r="DA110" s="781"/>
      <c r="DB110" s="781"/>
      <c r="DC110" s="781"/>
      <c r="DD110" s="781"/>
      <c r="DE110" s="781"/>
      <c r="DF110" s="781"/>
      <c r="DG110" s="781"/>
      <c r="DH110" s="781"/>
      <c r="DI110" s="781"/>
      <c r="DJ110" s="781"/>
      <c r="DK110" s="781"/>
      <c r="DL110" s="781"/>
      <c r="DM110" s="781"/>
      <c r="DN110" s="781"/>
      <c r="DO110" s="781"/>
      <c r="DP110" s="781"/>
    </row>
    <row r="111" spans="1:120" s="817" customFormat="1" ht="10.8">
      <c r="BT111" s="781"/>
      <c r="BU111" s="781"/>
      <c r="BV111" s="781"/>
      <c r="BW111" s="781"/>
      <c r="BX111" s="781"/>
      <c r="BY111" s="781"/>
      <c r="BZ111" s="781"/>
      <c r="CA111" s="781"/>
      <c r="CB111" s="781"/>
      <c r="CC111" s="781"/>
      <c r="CD111" s="781"/>
      <c r="CE111" s="781"/>
      <c r="CF111" s="781"/>
      <c r="CG111" s="781"/>
      <c r="CH111" s="781"/>
      <c r="CI111" s="781"/>
      <c r="CJ111" s="781"/>
      <c r="CK111" s="781"/>
      <c r="CL111" s="781"/>
      <c r="CM111" s="781"/>
      <c r="CN111" s="781"/>
      <c r="CO111" s="781"/>
      <c r="CP111" s="781"/>
      <c r="CQ111" s="781"/>
      <c r="CR111" s="781"/>
      <c r="CS111" s="781"/>
      <c r="CT111" s="781"/>
      <c r="CU111" s="781"/>
      <c r="CV111" s="781"/>
      <c r="CW111" s="781"/>
      <c r="CX111" s="781"/>
      <c r="CY111" s="781"/>
      <c r="CZ111" s="781"/>
      <c r="DA111" s="781"/>
      <c r="DB111" s="781"/>
      <c r="DC111" s="781"/>
      <c r="DD111" s="781"/>
      <c r="DE111" s="781"/>
      <c r="DF111" s="781"/>
      <c r="DG111" s="781"/>
      <c r="DH111" s="781"/>
      <c r="DI111" s="781"/>
      <c r="DJ111" s="781"/>
      <c r="DK111" s="781"/>
      <c r="DL111" s="781"/>
      <c r="DM111" s="781"/>
      <c r="DN111" s="781"/>
      <c r="DO111" s="781"/>
      <c r="DP111" s="781"/>
    </row>
    <row r="112" spans="1:120" s="817" customFormat="1" ht="10.8">
      <c r="BT112" s="781"/>
      <c r="BU112" s="781"/>
      <c r="BV112" s="781"/>
      <c r="BW112" s="781"/>
      <c r="BX112" s="781"/>
      <c r="BY112" s="781"/>
      <c r="BZ112" s="781"/>
      <c r="CA112" s="781"/>
      <c r="CB112" s="781"/>
      <c r="CC112" s="781"/>
      <c r="CD112" s="781"/>
      <c r="CE112" s="781"/>
      <c r="CF112" s="781"/>
      <c r="CG112" s="781"/>
      <c r="CH112" s="781"/>
      <c r="CI112" s="781"/>
      <c r="CJ112" s="781"/>
      <c r="CK112" s="781"/>
      <c r="CL112" s="781"/>
      <c r="CM112" s="781"/>
      <c r="CN112" s="781"/>
      <c r="CO112" s="781"/>
      <c r="CP112" s="781"/>
      <c r="CQ112" s="781"/>
      <c r="CR112" s="781"/>
      <c r="CS112" s="781"/>
      <c r="CT112" s="781"/>
      <c r="CU112" s="781"/>
      <c r="CV112" s="781"/>
      <c r="CW112" s="781"/>
      <c r="CX112" s="781"/>
      <c r="CY112" s="781"/>
      <c r="CZ112" s="781"/>
      <c r="DA112" s="781"/>
      <c r="DB112" s="781"/>
      <c r="DC112" s="781"/>
      <c r="DD112" s="781"/>
      <c r="DE112" s="781"/>
      <c r="DF112" s="781"/>
      <c r="DG112" s="781"/>
      <c r="DH112" s="781"/>
      <c r="DI112" s="781"/>
      <c r="DJ112" s="781"/>
      <c r="DK112" s="781"/>
      <c r="DL112" s="781"/>
      <c r="DM112" s="781"/>
      <c r="DN112" s="781"/>
      <c r="DO112" s="781"/>
      <c r="DP112" s="781"/>
    </row>
    <row r="113" spans="2:120" s="817" customFormat="1" ht="10.8">
      <c r="BT113" s="781"/>
      <c r="BU113" s="781"/>
      <c r="BV113" s="781"/>
      <c r="BW113" s="781"/>
      <c r="BX113" s="781"/>
      <c r="BY113" s="781"/>
      <c r="BZ113" s="781"/>
      <c r="CA113" s="781"/>
      <c r="CB113" s="781"/>
      <c r="CC113" s="781"/>
      <c r="CD113" s="781"/>
      <c r="CE113" s="781"/>
      <c r="CF113" s="781"/>
      <c r="CG113" s="781"/>
      <c r="CH113" s="781"/>
      <c r="CI113" s="781"/>
      <c r="CJ113" s="781"/>
      <c r="CK113" s="781"/>
      <c r="CL113" s="781"/>
      <c r="CM113" s="781"/>
      <c r="CN113" s="781"/>
      <c r="CO113" s="781"/>
      <c r="CP113" s="781"/>
      <c r="CQ113" s="781"/>
      <c r="CR113" s="781"/>
      <c r="CS113" s="781"/>
      <c r="CT113" s="781"/>
      <c r="CU113" s="781"/>
      <c r="CV113" s="781"/>
      <c r="CW113" s="781"/>
      <c r="CX113" s="781"/>
      <c r="CY113" s="781"/>
      <c r="CZ113" s="781"/>
      <c r="DA113" s="781"/>
      <c r="DB113" s="781"/>
      <c r="DC113" s="781"/>
      <c r="DD113" s="781"/>
      <c r="DE113" s="781"/>
      <c r="DF113" s="781"/>
      <c r="DG113" s="781"/>
      <c r="DH113" s="781"/>
      <c r="DI113" s="781"/>
      <c r="DJ113" s="781"/>
      <c r="DK113" s="781"/>
      <c r="DL113" s="781"/>
      <c r="DM113" s="781"/>
      <c r="DN113" s="781"/>
      <c r="DO113" s="781"/>
      <c r="DP113" s="781"/>
    </row>
    <row r="114" spans="2:120" s="817" customFormat="1" ht="10.8">
      <c r="B114" s="817" t="s">
        <v>1221</v>
      </c>
      <c r="I114" s="817">
        <f>IF(I4&gt;총괄장!$P$6,0,1)</f>
        <v>1</v>
      </c>
      <c r="J114" s="817">
        <f>IF(J4&gt;총괄장!$P$6,0,1)</f>
        <v>1</v>
      </c>
      <c r="K114" s="817">
        <f>IF(K4&gt;총괄장!$P$6,0,1)</f>
        <v>1</v>
      </c>
      <c r="L114" s="817">
        <f>IF(L4&gt;총괄장!$P$6,0,1)</f>
        <v>1</v>
      </c>
      <c r="M114" s="817">
        <f>IF(M4&gt;총괄장!$P$6,0,1)</f>
        <v>1</v>
      </c>
      <c r="N114" s="817">
        <f>IF(N4&gt;총괄장!$P$6,0,1)</f>
        <v>1</v>
      </c>
      <c r="O114" s="817">
        <f>IF(O4&gt;총괄장!$P$6,0,1)</f>
        <v>1</v>
      </c>
      <c r="P114" s="817">
        <f>IF(P4&gt;총괄장!$P$6,0,1)</f>
        <v>1</v>
      </c>
      <c r="Q114" s="817">
        <f>IF(Q4&gt;총괄장!$P$6,0,1)</f>
        <v>1</v>
      </c>
      <c r="R114" s="817">
        <f>IF(R4&gt;총괄장!$P$6,0,1)</f>
        <v>1</v>
      </c>
      <c r="S114" s="817">
        <f>IF(S4&gt;총괄장!$P$6,0,1)</f>
        <v>1</v>
      </c>
      <c r="T114" s="817">
        <f>IF(T4&gt;총괄장!$P$6,0,1)</f>
        <v>1</v>
      </c>
      <c r="U114" s="817">
        <f>IF(U4&gt;총괄장!$P$6,0,1)</f>
        <v>1</v>
      </c>
      <c r="V114" s="817">
        <f>IF(V4&gt;총괄장!$P$6,0,1)</f>
        <v>1</v>
      </c>
      <c r="W114" s="817">
        <f>IF(W4&gt;총괄장!$P$6,0,1)</f>
        <v>1</v>
      </c>
      <c r="X114" s="817">
        <f>IF(X4&gt;총괄장!$P$6,0,1)</f>
        <v>1</v>
      </c>
      <c r="Y114" s="817">
        <f>IF(Y4&gt;총괄장!$P$6,0,1)</f>
        <v>1</v>
      </c>
      <c r="Z114" s="817">
        <f>IF(Z4&gt;총괄장!$P$6,0,1)</f>
        <v>1</v>
      </c>
      <c r="AA114" s="817">
        <f>IF(AA4&gt;총괄장!$P$6,0,1)</f>
        <v>1</v>
      </c>
      <c r="AB114" s="817">
        <f>IF(AB4&gt;총괄장!$P$6,0,1)</f>
        <v>1</v>
      </c>
      <c r="AC114" s="817">
        <f>IF(AC4&gt;총괄장!$P$6,0,1)</f>
        <v>1</v>
      </c>
      <c r="AD114" s="817">
        <f>IF(AD4&gt;총괄장!$P$6,0,1)</f>
        <v>1</v>
      </c>
      <c r="AE114" s="817">
        <f>IF(AE4&gt;총괄장!$P$6,0,1)</f>
        <v>1</v>
      </c>
      <c r="AF114" s="817">
        <f>IF(AF4&gt;총괄장!$P$6,0,1)</f>
        <v>1</v>
      </c>
      <c r="AG114" s="817">
        <f>IF(AG4&gt;총괄장!$P$6,0,1)</f>
        <v>1</v>
      </c>
      <c r="AH114" s="817">
        <f>IF(AH4&gt;총괄장!$P$6,0,1)</f>
        <v>1</v>
      </c>
      <c r="AI114" s="817">
        <f>IF(AI4&gt;총괄장!$P$6,0,1)</f>
        <v>1</v>
      </c>
      <c r="AJ114" s="817">
        <f>IF(AJ4&gt;총괄장!$P$6,0,1)</f>
        <v>1</v>
      </c>
      <c r="AK114" s="817">
        <f>IF(AK4&gt;총괄장!$P$6,0,1)</f>
        <v>1</v>
      </c>
      <c r="AL114" s="817">
        <f>IF(AL4&gt;총괄장!$P$6,0,1)</f>
        <v>1</v>
      </c>
      <c r="AM114" s="817">
        <f>IF(AM4&gt;총괄장!$P$6,0,1)</f>
        <v>0</v>
      </c>
      <c r="AN114" s="817">
        <f>IF(AN4&gt;총괄장!$P$6,0,1)</f>
        <v>0</v>
      </c>
      <c r="AO114" s="817">
        <f>IF(AO4&gt;총괄장!$P$6,0,1)</f>
        <v>0</v>
      </c>
      <c r="AP114" s="817">
        <f>IF(AP4&gt;총괄장!$P$6,0,1)</f>
        <v>0</v>
      </c>
      <c r="AQ114" s="817">
        <f>IF(AQ4&gt;총괄장!$P$6,0,1)</f>
        <v>0</v>
      </c>
      <c r="AR114" s="817">
        <f>IF(AR4&gt;총괄장!$P$6,0,1)</f>
        <v>0</v>
      </c>
      <c r="AS114" s="817">
        <f>IF(AS4&gt;총괄장!$P$6,0,1)</f>
        <v>0</v>
      </c>
      <c r="AT114" s="817">
        <f>IF(AT4&gt;총괄장!$P$6,0,1)</f>
        <v>0</v>
      </c>
      <c r="AU114" s="817">
        <f>IF(AU4&gt;총괄장!$P$6,0,1)</f>
        <v>0</v>
      </c>
      <c r="AV114" s="817">
        <f>IF(AV4&gt;총괄장!$P$6,0,1)</f>
        <v>0</v>
      </c>
      <c r="AW114" s="817">
        <f>IF(AW4&gt;총괄장!$P$6,0,1)</f>
        <v>0</v>
      </c>
      <c r="AX114" s="817">
        <f>IF(AX4&gt;총괄장!$P$6,0,1)</f>
        <v>0</v>
      </c>
      <c r="AY114" s="817">
        <f>IF(AY4&gt;총괄장!$P$6,0,1)</f>
        <v>0</v>
      </c>
      <c r="AZ114" s="817">
        <f>IF(AZ4&gt;총괄장!$P$6,0,1)</f>
        <v>0</v>
      </c>
      <c r="BA114" s="817">
        <f>IF(BA4&gt;총괄장!$P$6,0,1)</f>
        <v>0</v>
      </c>
      <c r="BB114" s="817">
        <f>IF(BB4&gt;총괄장!$P$6,0,1)</f>
        <v>0</v>
      </c>
      <c r="BC114" s="817">
        <f>IF(BC4&gt;총괄장!$P$6,0,1)</f>
        <v>0</v>
      </c>
      <c r="BD114" s="817">
        <f>IF(BD4&gt;총괄장!$P$6,0,1)</f>
        <v>0</v>
      </c>
      <c r="BE114" s="817">
        <f>IF(BE4&gt;총괄장!$P$6,0,1)</f>
        <v>0</v>
      </c>
      <c r="BF114" s="817">
        <f>IF(BF4&gt;총괄장!$P$6,0,1)</f>
        <v>0</v>
      </c>
      <c r="BG114" s="817">
        <f>IF(BG4&gt;총괄장!$P$6,0,1)</f>
        <v>0</v>
      </c>
      <c r="BH114" s="817">
        <f>IF(BH4&gt;총괄장!$P$6,0,1)</f>
        <v>0</v>
      </c>
      <c r="BI114" s="817">
        <f>IF(BI4&gt;총괄장!$P$6,0,1)</f>
        <v>0</v>
      </c>
      <c r="BJ114" s="817">
        <f>IF(BJ4&gt;총괄장!$P$6,0,1)</f>
        <v>0</v>
      </c>
      <c r="BK114" s="817">
        <f>IF(BK4&gt;총괄장!$P$6,0,1)</f>
        <v>0</v>
      </c>
      <c r="BL114" s="817">
        <f>IF(BL4&gt;총괄장!$P$6,0,1)</f>
        <v>0</v>
      </c>
      <c r="BM114" s="817">
        <f>IF(BM4&gt;총괄장!$P$6,0,1)</f>
        <v>0</v>
      </c>
      <c r="BN114" s="817">
        <f>IF(BN4&gt;총괄장!$P$6,0,1)</f>
        <v>0</v>
      </c>
      <c r="BO114" s="817">
        <f>IF(BO4&gt;총괄장!$P$6,0,1)</f>
        <v>0</v>
      </c>
      <c r="BP114" s="817">
        <f>IF(BP4&gt;총괄장!$P$6,0,1)</f>
        <v>0</v>
      </c>
      <c r="BQ114" s="817">
        <f>IF(BQ4&gt;총괄장!$P$6,0,1)</f>
        <v>0</v>
      </c>
      <c r="BR114" s="817">
        <f>IF(BR4&gt;총괄장!$P$6,0,1)</f>
        <v>0</v>
      </c>
      <c r="BS114" s="817">
        <f>IF(BS4&gt;총괄장!$P$6,0,1)</f>
        <v>0</v>
      </c>
      <c r="BT114" s="781"/>
      <c r="BU114" s="781"/>
      <c r="BV114" s="781"/>
      <c r="BW114" s="781"/>
      <c r="BX114" s="781"/>
      <c r="BY114" s="781"/>
      <c r="BZ114" s="781"/>
      <c r="CA114" s="781"/>
      <c r="CB114" s="781"/>
      <c r="CC114" s="781"/>
      <c r="CD114" s="781"/>
      <c r="CE114" s="781"/>
      <c r="CF114" s="781"/>
      <c r="CG114" s="781"/>
      <c r="CH114" s="781"/>
      <c r="CI114" s="781"/>
      <c r="CJ114" s="781"/>
      <c r="CK114" s="781"/>
      <c r="CL114" s="781"/>
      <c r="CM114" s="781"/>
      <c r="CN114" s="781"/>
      <c r="CO114" s="781"/>
      <c r="CP114" s="781"/>
      <c r="CQ114" s="781"/>
      <c r="CR114" s="781"/>
      <c r="CS114" s="781"/>
      <c r="CT114" s="781"/>
      <c r="CU114" s="781"/>
      <c r="CV114" s="781"/>
      <c r="CW114" s="781"/>
      <c r="CX114" s="781"/>
      <c r="CY114" s="781"/>
      <c r="CZ114" s="781"/>
      <c r="DA114" s="781"/>
      <c r="DB114" s="781"/>
      <c r="DC114" s="781"/>
      <c r="DD114" s="781"/>
      <c r="DE114" s="781"/>
      <c r="DF114" s="781"/>
      <c r="DG114" s="781"/>
      <c r="DH114" s="781"/>
      <c r="DI114" s="781"/>
      <c r="DJ114" s="781"/>
      <c r="DK114" s="781"/>
      <c r="DL114" s="781"/>
      <c r="DM114" s="781"/>
      <c r="DN114" s="781"/>
      <c r="DO114" s="781"/>
      <c r="DP114" s="781"/>
    </row>
    <row r="115" spans="2:120" s="781" customFormat="1" ht="21" customHeight="1">
      <c r="B115" s="799" t="s">
        <v>1176</v>
      </c>
      <c r="C115" s="799"/>
      <c r="D115" s="817"/>
      <c r="E115" s="817"/>
      <c r="F115" s="817"/>
      <c r="G115" s="817"/>
      <c r="H115" s="817"/>
      <c r="I115" s="817">
        <f>IFERROR(MOD(I4,Equity!$E$38),0)</f>
        <v>1</v>
      </c>
      <c r="J115" s="817">
        <f>IFERROR(MOD(J4,Equity!$E$38),0)</f>
        <v>2</v>
      </c>
      <c r="K115" s="817">
        <f>IFERROR(MOD(K4,Equity!$E$38),0)</f>
        <v>0</v>
      </c>
      <c r="L115" s="817">
        <f>IFERROR(MOD(L4,Equity!$E$38),0)</f>
        <v>1</v>
      </c>
      <c r="M115" s="817">
        <f>IFERROR(MOD(M4,Equity!$E$38),0)</f>
        <v>2</v>
      </c>
      <c r="N115" s="817">
        <f>IFERROR(MOD(N4,Equity!$E$38),0)</f>
        <v>0</v>
      </c>
      <c r="O115" s="817">
        <f>IFERROR(MOD(O4,Equity!$E$38),0)</f>
        <v>1</v>
      </c>
      <c r="P115" s="817">
        <f>IFERROR(MOD(P4,Equity!$E$38),0)</f>
        <v>2</v>
      </c>
      <c r="Q115" s="817">
        <f>IFERROR(MOD(Q4,Equity!$E$38),0)</f>
        <v>0</v>
      </c>
      <c r="R115" s="817">
        <f>IFERROR(MOD(R4,Equity!$E$38),0)</f>
        <v>1</v>
      </c>
      <c r="S115" s="817">
        <f>IFERROR(MOD(S4,Equity!$E$38),0)</f>
        <v>2</v>
      </c>
      <c r="T115" s="817">
        <f>IFERROR(MOD(T4,Equity!$E$38),0)</f>
        <v>0</v>
      </c>
      <c r="U115" s="817">
        <f>IFERROR(MOD(U4,Equity!$E$38),0)</f>
        <v>1</v>
      </c>
      <c r="V115" s="817">
        <f>IFERROR(MOD(V4,Equity!$E$38),0)</f>
        <v>2</v>
      </c>
      <c r="W115" s="817">
        <f>IFERROR(MOD(W4,Equity!$E$38),0)</f>
        <v>0</v>
      </c>
      <c r="X115" s="817">
        <f>IFERROR(MOD(X4,Equity!$E$38),0)</f>
        <v>1</v>
      </c>
      <c r="Y115" s="817">
        <f>IFERROR(MOD(Y4,Equity!$E$38),0)</f>
        <v>2</v>
      </c>
      <c r="Z115" s="817">
        <f>IFERROR(MOD(Z4,Equity!$E$38),0)</f>
        <v>0</v>
      </c>
      <c r="AA115" s="817">
        <f>IFERROR(MOD(AA4,Equity!$E$38),0)</f>
        <v>1</v>
      </c>
      <c r="AB115" s="817">
        <f>IFERROR(MOD(AB4,Equity!$E$38),0)</f>
        <v>2</v>
      </c>
      <c r="AC115" s="817">
        <f>IFERROR(MOD(AC4,Equity!$E$38),0)</f>
        <v>0</v>
      </c>
      <c r="AD115" s="817">
        <f>IFERROR(MOD(AD4,Equity!$E$38),0)</f>
        <v>1</v>
      </c>
      <c r="AE115" s="817">
        <f>IFERROR(MOD(AE4,Equity!$E$38),0)</f>
        <v>2</v>
      </c>
      <c r="AF115" s="817">
        <f>IFERROR(MOD(AF4,Equity!$E$38),0)</f>
        <v>0</v>
      </c>
      <c r="AG115" s="817">
        <f>IFERROR(MOD(AG4,Equity!$E$38),0)</f>
        <v>1</v>
      </c>
      <c r="AH115" s="817">
        <f>IFERROR(MOD(AH4,Equity!$E$38),0)</f>
        <v>2</v>
      </c>
      <c r="AI115" s="817">
        <f>IFERROR(MOD(AI4,Equity!$E$38),0)</f>
        <v>0</v>
      </c>
      <c r="AJ115" s="817">
        <f>IFERROR(MOD(AJ4,Equity!$E$38),0)</f>
        <v>1</v>
      </c>
      <c r="AK115" s="817">
        <f>IFERROR(MOD(AK4,Equity!$E$38),0)</f>
        <v>2</v>
      </c>
      <c r="AL115" s="817">
        <f>IFERROR(MOD(AL4,Equity!$E$38),0)</f>
        <v>0</v>
      </c>
      <c r="AM115" s="817">
        <f>IFERROR(MOD(AM4,Equity!$E$38),0)</f>
        <v>1</v>
      </c>
      <c r="AN115" s="817">
        <f>IFERROR(MOD(AN4,Equity!$E$38),0)</f>
        <v>2</v>
      </c>
      <c r="AO115" s="817">
        <f>IFERROR(MOD(AO4,Equity!$E$38),0)</f>
        <v>0</v>
      </c>
      <c r="AP115" s="817">
        <f>IFERROR(MOD(AP4,Equity!$E$38),0)</f>
        <v>1</v>
      </c>
      <c r="AQ115" s="817">
        <f>IFERROR(MOD(AQ4,Equity!$E$38),0)</f>
        <v>2</v>
      </c>
      <c r="AR115" s="817">
        <f>IFERROR(MOD(AR4,Equity!$E$38),0)</f>
        <v>0</v>
      </c>
      <c r="AS115" s="817">
        <f>IFERROR(MOD(AS4,Equity!$E$38),0)</f>
        <v>1</v>
      </c>
      <c r="AT115" s="817">
        <f>IFERROR(MOD(AT4,Equity!$E$38),0)</f>
        <v>2</v>
      </c>
      <c r="AU115" s="817">
        <f>IFERROR(MOD(AU4,Equity!$E$38),0)</f>
        <v>0</v>
      </c>
      <c r="AV115" s="817">
        <f>IFERROR(MOD(AV4,Equity!$E$38),0)</f>
        <v>1</v>
      </c>
      <c r="AW115" s="817">
        <f>IFERROR(MOD(AW4,Equity!$E$38),0)</f>
        <v>2</v>
      </c>
      <c r="AX115" s="817">
        <f>IFERROR(MOD(AX4,Equity!$E$38),0)</f>
        <v>0</v>
      </c>
      <c r="AY115" s="817">
        <f>IFERROR(MOD(AY4,Equity!$E$38),0)</f>
        <v>1</v>
      </c>
      <c r="AZ115" s="817">
        <f>IFERROR(MOD(AZ4,Equity!$E$38),0)</f>
        <v>2</v>
      </c>
      <c r="BA115" s="817">
        <f>IFERROR(MOD(BA4,Equity!$E$38),0)</f>
        <v>0</v>
      </c>
      <c r="BB115" s="817">
        <f>IFERROR(MOD(BB4,Equity!$E$38),0)</f>
        <v>1</v>
      </c>
      <c r="BC115" s="817">
        <f>IFERROR(MOD(BC4,Equity!$E$38),0)</f>
        <v>2</v>
      </c>
      <c r="BD115" s="817">
        <f>IFERROR(MOD(BD4,Equity!$E$38),0)</f>
        <v>0</v>
      </c>
      <c r="BE115" s="817">
        <f>IFERROR(MOD(BE4,Equity!$E$38),0)</f>
        <v>1</v>
      </c>
      <c r="BF115" s="817">
        <f>IFERROR(MOD(BF4,Equity!$E$38),0)</f>
        <v>2</v>
      </c>
      <c r="BG115" s="817">
        <f>IFERROR(MOD(BG4,Equity!$E$38),0)</f>
        <v>0</v>
      </c>
      <c r="BH115" s="817">
        <f>IFERROR(MOD(BH4,Equity!$E$38),0)</f>
        <v>1</v>
      </c>
      <c r="BI115" s="817">
        <f>IFERROR(MOD(BI4,Equity!$E$38),0)</f>
        <v>2</v>
      </c>
      <c r="BJ115" s="817">
        <f>IFERROR(MOD(BJ4,Equity!$E$38),0)</f>
        <v>0</v>
      </c>
      <c r="BK115" s="817">
        <f>IFERROR(MOD(BK4,Equity!$E$38),0)</f>
        <v>1</v>
      </c>
      <c r="BL115" s="817">
        <f>IFERROR(MOD(BL4,Equity!$E$38),0)</f>
        <v>2</v>
      </c>
      <c r="BM115" s="817">
        <f>IFERROR(MOD(BM4,Equity!$E$38),0)</f>
        <v>0</v>
      </c>
      <c r="BN115" s="817">
        <f>IFERROR(MOD(BN4,Equity!$E$38),0)</f>
        <v>1</v>
      </c>
      <c r="BO115" s="817">
        <f>IFERROR(MOD(BO4,Equity!$E$38),0)</f>
        <v>2</v>
      </c>
      <c r="BP115" s="817">
        <f>IFERROR(MOD(BP4,Equity!$E$38),0)</f>
        <v>0</v>
      </c>
      <c r="BQ115" s="817">
        <f>IFERROR(MOD(BQ4,Equity!$E$38),0)</f>
        <v>1</v>
      </c>
      <c r="BR115" s="817">
        <f>IFERROR(MOD(BR4,Equity!$E$38),0)</f>
        <v>2</v>
      </c>
      <c r="BS115" s="817">
        <f>IFERROR(MOD(BS4,Equity!$E$38),0)</f>
        <v>0</v>
      </c>
    </row>
    <row r="116" spans="2:120" s="781" customFormat="1" ht="21" customHeight="1">
      <c r="B116" s="799"/>
      <c r="C116" s="799"/>
      <c r="D116" s="817"/>
      <c r="E116" s="817"/>
      <c r="F116" s="817"/>
      <c r="G116" s="817"/>
      <c r="H116" s="817"/>
      <c r="I116" s="844">
        <f>IF(SUM($H$117:H117)&gt;=(100/Equity!$D$38)*(Equity!$D$38-1),0,1)</f>
        <v>1</v>
      </c>
      <c r="J116" s="844">
        <f>IF(SUM($H$117:I117)&gt;=(100/Equity!$D$38)*(Equity!$D$38-1),0,)</f>
        <v>0</v>
      </c>
      <c r="K116" s="844">
        <f>IF(SUM($H$117:J117)&gt;=(100/Equity!$D$38)*(Equity!$D$38-1),0,)</f>
        <v>0</v>
      </c>
      <c r="L116" s="844">
        <f>IF(SUM($H$117:K117)&gt;=(100/Equity!$D$38)*(Equity!$D$38-1),0,)</f>
        <v>0</v>
      </c>
      <c r="M116" s="844">
        <f>IF(SUM($H$117:L117)&gt;=(100/Equity!$D$38)*(Equity!$D$38-1),0,)</f>
        <v>0</v>
      </c>
      <c r="N116" s="844">
        <f>IF(SUM($H$117:M117)&gt;=(100/Equity!$D$38)*(Equity!$D$38-1),0,)</f>
        <v>0</v>
      </c>
      <c r="O116" s="844">
        <f>IF(SUM($H$117:N117)&gt;=(100/Equity!$D$38)*(Equity!$D$38-1),0,)</f>
        <v>0</v>
      </c>
      <c r="P116" s="844">
        <f>IF(SUM($H$117:O117)&gt;=(100/Equity!$D$38)*(Equity!$D$38-1),0,)</f>
        <v>0</v>
      </c>
      <c r="Q116" s="844">
        <f>IF(SUM($H$117:P117)&gt;=(100/Equity!$D$38)*(Equity!$D$38-1),0,)</f>
        <v>0</v>
      </c>
      <c r="R116" s="844">
        <f>IF(SUM($H$117:Q117)&gt;=(100/Equity!$D$38)*(Equity!$D$38-1),0,)</f>
        <v>0</v>
      </c>
      <c r="S116" s="844">
        <f>IF(SUM($H$117:R117)&gt;=(100/Equity!$D$38)*(Equity!$D$38-1),0,)</f>
        <v>0</v>
      </c>
      <c r="T116" s="844">
        <f>IF(SUM($H$117:S117)&gt;=(100/Equity!$D$38)*(Equity!$D$38-1),0,)</f>
        <v>0</v>
      </c>
      <c r="U116" s="844">
        <f>IF(SUM($H$117:T117)&gt;=(100/Equity!$D$38)*(Equity!$D$38-1),0,)</f>
        <v>0</v>
      </c>
      <c r="V116" s="844">
        <f>IF(SUM($H$117:U117)&gt;=(100/Equity!$D$38)*(Equity!$D$38-1),0,)</f>
        <v>0</v>
      </c>
      <c r="W116" s="844">
        <f>IF(SUM($H$117:V117)&gt;=(100/Equity!$D$38)*(Equity!$D$38-1),0,)</f>
        <v>0</v>
      </c>
      <c r="X116" s="844">
        <f>IF(SUM($H$117:W117)&gt;=(100/Equity!$D$38)*(Equity!$D$38-1),0,)</f>
        <v>0</v>
      </c>
      <c r="Y116" s="844">
        <f>IF(SUM($H$117:X117)&gt;=(100/Equity!$D$38)*(Equity!$D$38-1),0,)</f>
        <v>0</v>
      </c>
      <c r="Z116" s="844">
        <f>IF(SUM($H$117:Y117)&gt;=(100/Equity!$D$38)*(Equity!$D$38-1),0,)</f>
        <v>0</v>
      </c>
      <c r="AA116" s="844">
        <f>IF(SUM($H$117:Z117)&gt;=(100/Equity!$D$38)*(Equity!$D$38-1),0,)</f>
        <v>0</v>
      </c>
      <c r="AB116" s="844">
        <f>IF(SUM($H$117:AA117)&gt;=(100/Equity!$D$38)*(Equity!$D$38-1),0,)</f>
        <v>0</v>
      </c>
      <c r="AC116" s="844">
        <f>IF(SUM($H$117:AB117)&gt;=(100/Equity!$D$38)*(Equity!$D$38-1),0,)</f>
        <v>0</v>
      </c>
      <c r="AD116" s="844">
        <f>IF(SUM($H$117:AC117)&gt;=(100/Equity!$D$38)*(Equity!$D$38-1),0,)</f>
        <v>0</v>
      </c>
      <c r="AE116" s="844">
        <f>IF(SUM($H$117:AD117)&gt;=(100/Equity!$D$38)*(Equity!$D$38-1),0,)</f>
        <v>0</v>
      </c>
      <c r="AF116" s="844">
        <f>IF(SUM($H$117:AE117)&gt;=(100/Equity!$D$38)*(Equity!$D$38-1),0,)</f>
        <v>0</v>
      </c>
      <c r="AG116" s="844">
        <f>IF(SUM($H$117:AF117)&gt;=(100/Equity!$D$38)*(Equity!$D$38-1),0,)</f>
        <v>0</v>
      </c>
      <c r="AH116" s="844">
        <f>IF(SUM($H$117:AG117)&gt;=(100/Equity!$D$38)*(Equity!$D$38-1),0,)</f>
        <v>0</v>
      </c>
      <c r="AI116" s="844">
        <f>IF(SUM($H$117:AH117)&gt;=(100/Equity!$D$38)*(Equity!$D$38-1),0,)</f>
        <v>0</v>
      </c>
      <c r="AJ116" s="844">
        <f>IF(SUM($H$117:AI117)&gt;=(100/Equity!$D$38)*(Equity!$D$38-1),0,)</f>
        <v>0</v>
      </c>
      <c r="AK116" s="844">
        <f>IF(SUM($H$117:AJ117)&gt;=(100/Equity!$D$38)*(Equity!$D$38-1),0,)</f>
        <v>0</v>
      </c>
      <c r="AL116" s="817"/>
      <c r="AM116" s="817"/>
      <c r="AN116" s="817"/>
      <c r="AO116" s="817"/>
      <c r="AP116" s="817"/>
      <c r="AQ116" s="817"/>
      <c r="AR116" s="817"/>
      <c r="AS116" s="817"/>
      <c r="AT116" s="817"/>
      <c r="AU116" s="817"/>
      <c r="AV116" s="817"/>
      <c r="AW116" s="817"/>
      <c r="AX116" s="817"/>
      <c r="AY116" s="817"/>
      <c r="AZ116" s="817"/>
      <c r="BA116" s="817"/>
      <c r="BB116" s="817"/>
      <c r="BC116" s="817"/>
      <c r="BD116" s="817"/>
      <c r="BE116" s="817"/>
      <c r="BF116" s="817"/>
      <c r="BG116" s="817"/>
      <c r="BH116" s="817"/>
      <c r="BI116" s="817"/>
      <c r="BJ116" s="817"/>
      <c r="BK116" s="817"/>
      <c r="BL116" s="817"/>
      <c r="BM116" s="817"/>
      <c r="BN116" s="817"/>
      <c r="BO116" s="817"/>
      <c r="BP116" s="817"/>
      <c r="BQ116" s="817"/>
      <c r="BR116" s="817"/>
      <c r="BS116" s="817"/>
    </row>
    <row r="117" spans="2:120" s="781" customFormat="1" ht="21" customHeight="1">
      <c r="B117" s="799"/>
      <c r="C117" s="799"/>
      <c r="D117" s="817">
        <f>SUM(I117:BP117)</f>
        <v>90</v>
      </c>
      <c r="E117" s="817"/>
      <c r="F117" s="817"/>
      <c r="G117" s="817"/>
      <c r="H117" s="799"/>
      <c r="I117" s="845">
        <f>IF(I5="착공",100/Equity!$D$38,IF(I5="준공",(90-SUM($H$117:H117)),IF(SUM($H$117:H117)&gt;=(100/Equity!$D$38)*(Equity!$D$38-1),0,IF(I115=1,100/Equity!$D$38,0))))*IF(I4&gt;총괄장!$P$6,0,1)</f>
        <v>10</v>
      </c>
      <c r="J117" s="845">
        <f>IF(J5="착공",100/Equity!$D$38,IF(J5="준공",(90-SUM($H$117:I117)),IF(SUM($H$117:I117)&gt;=(100/Equity!$D$38)*(Equity!$D$38-1),0,IF(J115=1,100/Equity!$D$38,0))))*IF(J4&gt;총괄장!$P$6,0,1)</f>
        <v>0</v>
      </c>
      <c r="K117" s="845">
        <f>IF(K5="착공",100/Equity!$D$38,IF(K5="준공",(90-SUM($H$117:J117)),IF(SUM($H$117:J117)&gt;=(100/Equity!$D$38)*(Equity!$D$38-1),0,IF(K115=1,100/Equity!$D$38,0))))*IF(K4&gt;총괄장!$P$6,0,1)</f>
        <v>0</v>
      </c>
      <c r="L117" s="845">
        <f>IF(L5="착공",100/Equity!$D$38,IF(L5="준공",(90-SUM($H$117:K117)),IF(SUM($H$117:K117)&gt;=(100/Equity!$D$38)*(Equity!$D$38-1),0,IF(L115=1,100/Equity!$D$38,0))))*IF(L4&gt;총괄장!$P$6,0,1)</f>
        <v>10</v>
      </c>
      <c r="M117" s="845">
        <f>IF(M5="착공",100/Equity!$D$38,IF(M5="준공",(90-SUM($H$117:L117)),IF(SUM($H$117:L117)&gt;=(100/Equity!$D$38)*(Equity!$D$38-1),0,IF(M115=1,100/Equity!$D$38,0))))*IF(M4&gt;총괄장!$P$6,0,1)</f>
        <v>0</v>
      </c>
      <c r="N117" s="845">
        <f>IF(N5="착공",100/Equity!$D$38,IF(N5="준공",(90-SUM($H$117:M117)),IF(SUM($H$117:M117)&gt;=(100/Equity!$D$38)*(Equity!$D$38-1),0,IF(N115=1,100/Equity!$D$38,0))))*IF(N4&gt;총괄장!$P$6,0,1)</f>
        <v>0</v>
      </c>
      <c r="O117" s="845">
        <f>IF(O5="착공",100/Equity!$D$38,IF(O5="준공",(90-SUM($H$117:N117)),IF(SUM($H$117:N117)&gt;=(100/Equity!$D$38)*(Equity!$D$38-1),0,IF(O115=1,100/Equity!$D$38,0))))*IF(O4&gt;총괄장!$P$6,0,1)</f>
        <v>10</v>
      </c>
      <c r="P117" s="845">
        <f>IF(P5="착공",100/Equity!$D$38,IF(P5="준공",(90-SUM($H$117:O117)),IF(SUM($H$117:O117)&gt;=(100/Equity!$D$38)*(Equity!$D$38-1),0,IF(P115=1,100/Equity!$D$38,0))))*IF(P4&gt;총괄장!$P$6,0,1)</f>
        <v>0</v>
      </c>
      <c r="Q117" s="845">
        <f>IF(Q5="착공",100/Equity!$D$38,IF(Q5="준공",(90-SUM($H$117:P117)),IF(SUM($H$117:P117)&gt;=(100/Equity!$D$38)*(Equity!$D$38-1),0,IF(Q115=1,100/Equity!$D$38,0))))*IF(Q4&gt;총괄장!$P$6,0,1)</f>
        <v>0</v>
      </c>
      <c r="R117" s="845">
        <f>IF(R5="착공",100/Equity!$D$38,IF(R5="준공",(90-SUM($H$117:Q117)),IF(SUM($H$117:Q117)&gt;=(100/Equity!$D$38)*(Equity!$D$38-1),0,IF(R115=1,100/Equity!$D$38,0))))*IF(R4&gt;총괄장!$P$6,0,1)</f>
        <v>10</v>
      </c>
      <c r="S117" s="845">
        <f>IF(S5="착공",100/Equity!$D$38,IF(S5="준공",(90-SUM($H$117:R117)),IF(SUM($H$117:R117)&gt;=(100/Equity!$D$38)*(Equity!$D$38-1),0,IF(S115=1,100/Equity!$D$38,0))))*IF(S4&gt;총괄장!$P$6,0,1)</f>
        <v>0</v>
      </c>
      <c r="T117" s="845">
        <f>IF(T5="착공",100/Equity!$D$38,IF(T5="준공",(90-SUM($H$117:S117)),IF(SUM($H$117:S117)&gt;=(100/Equity!$D$38)*(Equity!$D$38-1),0,IF(T115=1,100/Equity!$D$38,0))))*IF(T4&gt;총괄장!$P$6,0,1)</f>
        <v>0</v>
      </c>
      <c r="U117" s="845">
        <f>IF(U5="착공",100/Equity!$D$38,IF(U5="준공",(90-SUM($H$117:T117)),IF(SUM($H$117:T117)&gt;=(100/Equity!$D$38)*(Equity!$D$38-1),0,IF(U115=1,100/Equity!$D$38,0))))*IF(U4&gt;총괄장!$P$6,0,1)</f>
        <v>10</v>
      </c>
      <c r="V117" s="845">
        <f>IF(V5="착공",100/Equity!$D$38,IF(V5="준공",(90-SUM($H$117:U117)),IF(SUM($H$117:U117)&gt;=(100/Equity!$D$38)*(Equity!$D$38-1),0,IF(V115=1,100/Equity!$D$38,0))))*IF(V4&gt;총괄장!$P$6,0,1)</f>
        <v>0</v>
      </c>
      <c r="W117" s="845">
        <f>IF(W5="착공",100/Equity!$D$38,IF(W5="준공",(90-SUM($H$117:V117)),IF(SUM($H$117:V117)&gt;=(100/Equity!$D$38)*(Equity!$D$38-1),0,IF(W115=1,100/Equity!$D$38,0))))*IF(W4&gt;총괄장!$P$6,0,1)</f>
        <v>0</v>
      </c>
      <c r="X117" s="845">
        <f>IF(X5="착공",100/Equity!$D$38,IF(X5="준공",(90-SUM($H$117:W117)),IF(SUM($H$117:W117)&gt;=(100/Equity!$D$38)*(Equity!$D$38-1),0,IF(X115=1,100/Equity!$D$38,0))))*IF(X4&gt;총괄장!$P$6,0,1)</f>
        <v>10</v>
      </c>
      <c r="Y117" s="845">
        <f>IF(Y5="착공",100/Equity!$D$38,IF(Y5="준공",(90-SUM($H$117:X117)),IF(SUM($H$117:X117)&gt;=(100/Equity!$D$38)*(Equity!$D$38-1),0,IF(Y115=1,100/Equity!$D$38,0))))*IF(Y4&gt;총괄장!$P$6,0,1)</f>
        <v>0</v>
      </c>
      <c r="Z117" s="845">
        <f>IF(Z5="착공",100/Equity!$D$38,IF(Z5="준공",(90-SUM($H$117:Y117)),IF(SUM($H$117:Y117)&gt;=(100/Equity!$D$38)*(Equity!$D$38-1),0,IF(Z115=1,100/Equity!$D$38,0))))*IF(Z4&gt;총괄장!$P$6,0,1)</f>
        <v>0</v>
      </c>
      <c r="AA117" s="845">
        <f>IF(AA5="착공",100/Equity!$D$38,IF(AA5="준공",(90-SUM($H$117:Z117)),IF(SUM($H$117:Z117)&gt;=(100/Equity!$D$38)*(Equity!$D$38-1),0,IF(AA115=1,100/Equity!$D$38,0))))*IF(AA4&gt;총괄장!$P$6,0,1)</f>
        <v>10</v>
      </c>
      <c r="AB117" s="845">
        <f>IF(AB5="착공",100/Equity!$D$38,IF(AB5="준공",(90-SUM($H$117:AA117)),IF(SUM($H$117:AA117)&gt;=(100/Equity!$D$38)*(Equity!$D$38-1),0,IF(AB115=1,100/Equity!$D$38,0))))*IF(AB4&gt;총괄장!$P$6,0,1)</f>
        <v>0</v>
      </c>
      <c r="AC117" s="845">
        <f>IF(AC5="착공",100/Equity!$D$38,IF(AC5="준공",(90-SUM($H$117:AB117)),IF(SUM($H$117:AB117)&gt;=(100/Equity!$D$38)*(Equity!$D$38-1),0,IF(AC115=1,100/Equity!$D$38,0))))*IF(AC4&gt;총괄장!$P$6,0,1)</f>
        <v>0</v>
      </c>
      <c r="AD117" s="845">
        <f>IF(AD5="착공",100/Equity!$D$38,IF(AD5="준공",(90-SUM($H$117:AC117)),IF(SUM($H$117:AC117)&gt;=(100/Equity!$D$38)*(Equity!$D$38-1),0,IF(AD115=1,100/Equity!$D$38,0))))*IF(AD4&gt;총괄장!$P$6,0,1)</f>
        <v>10</v>
      </c>
      <c r="AE117" s="845">
        <f>IF(AE5="착공",100/Equity!$D$38,IF(AE5="준공",(90-SUM($H$117:AD117)),IF(SUM($H$117:AD117)&gt;=(100/Equity!$D$38)*(Equity!$D$38-1),0,IF(AE115=1,100/Equity!$D$38,0))))*IF(AE4&gt;총괄장!$P$6,0,1)</f>
        <v>0</v>
      </c>
      <c r="AF117" s="845">
        <f>IF(AF5="착공",100/Equity!$D$38,IF(AF5="준공",(90-SUM($H$117:AE117)),IF(SUM($H$117:AE117)&gt;=(100/Equity!$D$38)*(Equity!$D$38-1),0,IF(AF115=1,100/Equity!$D$38,0))))*IF(AF4&gt;총괄장!$P$6,0,1)</f>
        <v>0</v>
      </c>
      <c r="AG117" s="845">
        <f>IF(AG5="착공",100/Equity!$D$38,IF(AG5="준공",(90-SUM($H$117:AF117)),IF(SUM($H$117:AF117)&gt;=(100/Equity!$D$38)*(Equity!$D$38-1),0,IF(AG115=1,100/Equity!$D$38,0))))*IF(AG4&gt;총괄장!$P$6,0,1)</f>
        <v>10</v>
      </c>
      <c r="AH117" s="845">
        <f>IF(AH5="착공",100/Equity!$D$38,IF(AH5="준공",(90-SUM($H$117:AG117)),IF(SUM($H$117:AG117)&gt;=(100/Equity!$D$38)*(Equity!$D$38-1),0,IF(AH115=1,100/Equity!$D$38,0))))*IF(AH4&gt;총괄장!$P$6,0,1)</f>
        <v>0</v>
      </c>
      <c r="AI117" s="845">
        <f>IF(AI5="착공",100/Equity!$D$38,IF(AI5="준공",(90-SUM($H$117:AH117)),IF(SUM($H$117:AH117)&gt;=(100/Equity!$D$38)*(Equity!$D$38-1),0,IF(AI115=1,100/Equity!$D$38,0))))*IF(AI4&gt;총괄장!$P$6,0,1)</f>
        <v>0</v>
      </c>
      <c r="AJ117" s="845">
        <f>IF(AJ5="착공",100/Equity!$D$38,IF(AJ5="준공",(90-SUM($H$117:AI117)),IF(SUM($H$117:AI117)&gt;=(100/Equity!$D$38)*(Equity!$D$38-1),0,IF(AJ115=1,100/Equity!$D$38,0))))*IF(AJ4&gt;총괄장!$P$6,0,1)</f>
        <v>0</v>
      </c>
      <c r="AK117" s="845">
        <f>IF(AK5="착공",100/Equity!$D$38,IF(AK5="준공",(90-SUM($H$117:AJ117)),IF(SUM($H$117:AJ117)&gt;=(100/Equity!$D$38)*(Equity!$D$38-1),0,IF(AK115=1,100/Equity!$D$38,0))))*IF(AK4&gt;총괄장!$P$6,0,1)</f>
        <v>0</v>
      </c>
      <c r="AL117" s="845">
        <f>IF(AL5="착공",100/Equity!$D$38,IF(AL5="준공",(90-SUM($H$117:AK117)),IF(SUM($H$117:AK117)&gt;=(100/Equity!$D$38)*(Equity!$D$38-1),0,IF(AL115=1,100/Equity!$D$38,0))))*IF(AL4&gt;총괄장!$P$6,0,1)</f>
        <v>0</v>
      </c>
      <c r="AM117" s="845">
        <f>IF(AM5="착공",100/Equity!$D$38,IF(AM5="준공",(90-SUM($H$117:AL117)),IF(SUM($H$117:AL117)&gt;=(100/Equity!$D$38)*(Equity!$D$38-1),0,IF(AM115=1,100/Equity!$D$38,0))))*IF(AM4&gt;총괄장!$P$6,0,1)</f>
        <v>0</v>
      </c>
      <c r="AN117" s="845">
        <f>IF(AN5="착공",100/Equity!$D$38,IF(AN5="준공",(90-SUM($H$117:AM117)),IF(SUM($H$117:AM117)&gt;=(100/Equity!$D$38)*(Equity!$D$38-1),0,IF(AN115=1,100/Equity!$D$38,0))))*IF(AN4&gt;총괄장!$P$6,0,1)</f>
        <v>0</v>
      </c>
      <c r="AO117" s="845">
        <f>IF(AO5="착공",100/Equity!$D$38,IF(AO5="준공",(90-SUM($H$117:AN117)),IF(SUM($H$117:AN117)&gt;=(100/Equity!$D$38)*(Equity!$D$38-1),0,IF(AO115=1,100/Equity!$D$38,0))))*IF(AO4&gt;총괄장!$P$6,0,1)</f>
        <v>0</v>
      </c>
      <c r="AP117" s="845">
        <f>IF(AP5="착공",100/Equity!$D$38,IF(AP5="준공",(90-SUM($H$117:AO117)),IF(SUM($H$117:AO117)&gt;=(100/Equity!$D$38)*(Equity!$D$38-1),0,IF(AP115=1,100/Equity!$D$38,0))))*IF(AP4&gt;총괄장!$P$6,0,1)</f>
        <v>0</v>
      </c>
      <c r="AQ117" s="845">
        <f>IF(AQ5="착공",100/Equity!$D$38,IF(AQ5="준공",(90-SUM($H$117:AP117)),IF(SUM($H$117:AP117)&gt;=(100/Equity!$D$38)*(Equity!$D$38-1),0,IF(AQ115=1,100/Equity!$D$38,0))))*IF(AQ4&gt;총괄장!$P$6,0,1)</f>
        <v>0</v>
      </c>
      <c r="AR117" s="845">
        <f>IF(AR5="착공",100/Equity!$D$38,IF(AR5="준공",(90-SUM($H$117:AQ117)),IF(SUM($H$117:AQ117)&gt;=(100/Equity!$D$38)*(Equity!$D$38-1),0,IF(AR115=1,100/Equity!$D$38,0))))*IF(AR4&gt;총괄장!$P$6,0,1)</f>
        <v>0</v>
      </c>
      <c r="AS117" s="845">
        <f>IF(AS5="착공",100/Equity!$D$38,IF(AS5="준공",(90-SUM($H$117:AR117)),IF(SUM($H$117:AR117)&gt;=(100/Equity!$D$38)*(Equity!$D$38-1),0,IF(AS115=1,100/Equity!$D$38,0))))*IF(AS4&gt;총괄장!$P$6,0,1)</f>
        <v>0</v>
      </c>
      <c r="AT117" s="845">
        <f>IF(AT5="착공",100/Equity!$D$38,IF(AT5="준공",(90-SUM($H$117:AS117)),IF(SUM($H$117:AS117)&gt;=(100/Equity!$D$38)*(Equity!$D$38-1),0,IF(AT115=1,100/Equity!$D$38,0))))*IF(AT4&gt;총괄장!$P$6,0,1)</f>
        <v>0</v>
      </c>
      <c r="AU117" s="845">
        <f>IF(AU5="착공",100/Equity!$D$38,IF(AU5="준공",(90-SUM($H$117:AT117)),IF(SUM($H$117:AT117)&gt;=(100/Equity!$D$38)*(Equity!$D$38-1),0,IF(AU115=1,100/Equity!$D$38,0))))*IF(AU4&gt;총괄장!$P$6,0,1)</f>
        <v>0</v>
      </c>
      <c r="AV117" s="845">
        <f>IF(AV5="착공",100/Equity!$D$38,IF(AV5="준공",(90-SUM($H$117:AU117)),IF(SUM($H$117:AU117)&gt;=(100/Equity!$D$38)*(Equity!$D$38-1),0,IF(AV115=1,100/Equity!$D$38,0))))*IF(AV4&gt;총괄장!$P$6,0,1)</f>
        <v>0</v>
      </c>
      <c r="AW117" s="845">
        <f>IF(AW5="착공",100/Equity!$D$38,IF(AW5="준공",(90-SUM($H$117:AV117)),IF(SUM($H$117:AV117)&gt;=(100/Equity!$D$38)*(Equity!$D$38-1),0,IF(AW115=1,100/Equity!$D$38,0))))*IF(AW4&gt;총괄장!$P$6,0,1)</f>
        <v>0</v>
      </c>
      <c r="AX117" s="845">
        <f>IF(AX5="착공",100/Equity!$D$38,IF(AX5="준공",(90-SUM($H$117:AW117)),IF(SUM($H$117:AW117)&gt;=(100/Equity!$D$38)*(Equity!$D$38-1),0,IF(AX115=1,100/Equity!$D$38,0))))*IF(AX4&gt;총괄장!$P$6,0,1)</f>
        <v>0</v>
      </c>
      <c r="AY117" s="845">
        <f>IF(AY5="착공",100/Equity!$D$38,IF(AY5="준공",(90-SUM($H$117:AX117)),IF(SUM($H$117:AX117)&gt;=(100/Equity!$D$38)*(Equity!$D$38-1),0,IF(AY115=1,100/Equity!$D$38,0))))*IF(AY4&gt;총괄장!$P$6,0,1)</f>
        <v>0</v>
      </c>
      <c r="AZ117" s="845">
        <f>IF(AZ5="착공",100/Equity!$D$38,IF(AZ5="준공",(90-SUM($H$117:AY117)),IF(SUM($H$117:AY117)&gt;=(100/Equity!$D$38)*(Equity!$D$38-1),0,IF(AZ115=1,100/Equity!$D$38,0))))*IF(AZ4&gt;총괄장!$P$6,0,1)</f>
        <v>0</v>
      </c>
      <c r="BA117" s="845">
        <f>IF(BA5="착공",100/Equity!$D$38,IF(BA5="준공",(90-SUM($H$117:AZ117)),IF(SUM($H$117:AZ117)&gt;=(100/Equity!$D$38)*(Equity!$D$38-1),0,IF(BA115=1,100/Equity!$D$38,0))))*IF(BA4&gt;총괄장!$P$6,0,1)</f>
        <v>0</v>
      </c>
      <c r="BB117" s="845">
        <f>IF(BB5="착공",100/Equity!$D$38,IF(BB5="준공",(90-SUM($H$117:BA117)),IF(SUM($H$117:BA117)&gt;=(100/Equity!$D$38)*(Equity!$D$38-1),0,IF(BB115=1,100/Equity!$D$38,0))))*IF(BB4&gt;총괄장!$P$6,0,1)</f>
        <v>0</v>
      </c>
      <c r="BC117" s="845">
        <f>IF(BC5="착공",100/Equity!$D$38,IF(BC5="준공",(90-SUM($H$117:BB117)),IF(SUM($H$117:BB117)&gt;=(100/Equity!$D$38)*(Equity!$D$38-1),0,IF(BC115=1,100/Equity!$D$38,0))))*IF(BC4&gt;총괄장!$P$6,0,1)</f>
        <v>0</v>
      </c>
      <c r="BD117" s="845">
        <f>IF(BD5="착공",100/Equity!$D$38,IF(BD5="준공",(90-SUM($H$117:BC117)),IF(SUM($H$117:BC117)&gt;=(100/Equity!$D$38)*(Equity!$D$38-1),0,IF(BD115=1,100/Equity!$D$38,0))))*IF(BD4&gt;총괄장!$P$6,0,1)</f>
        <v>0</v>
      </c>
      <c r="BE117" s="845">
        <f>IF(BE5="착공",100/Equity!$D$38,IF(BE5="준공",(90-SUM($H$117:BD117)),IF(SUM($H$117:BD117)&gt;=(100/Equity!$D$38)*(Equity!$D$38-1),0,IF(BE115=1,100/Equity!$D$38,0))))*IF(BE4&gt;총괄장!$P$6,0,1)</f>
        <v>0</v>
      </c>
      <c r="BF117" s="845">
        <f>IF(BF5="착공",100/Equity!$D$38,IF(BF5="준공",(90-SUM($H$117:BE117)),IF(SUM($H$117:BE117)&gt;=(100/Equity!$D$38)*(Equity!$D$38-1),0,IF(BF115=1,100/Equity!$D$38,0))))*IF(BF4&gt;총괄장!$P$6,0,1)</f>
        <v>0</v>
      </c>
      <c r="BG117" s="845">
        <f>IF(BG5="착공",100/Equity!$D$38,IF(BG5="준공",(90-SUM($H$117:BF117)),IF(SUM($H$117:BF117)&gt;=(100/Equity!$D$38)*(Equity!$D$38-1),0,IF(BG115=1,100/Equity!$D$38,0))))*IF(BG4&gt;총괄장!$P$6,0,1)</f>
        <v>0</v>
      </c>
      <c r="BH117" s="845">
        <f>IF(BH5="착공",100/Equity!$D$38,IF(BH5="준공",(90-SUM($H$117:BG117)),IF(SUM($H$117:BG117)&gt;=(100/Equity!$D$38)*(Equity!$D$38-1),0,IF(BH115=1,100/Equity!$D$38,0))))*IF(BH4&gt;총괄장!$P$6,0,1)</f>
        <v>0</v>
      </c>
      <c r="BI117" s="845">
        <f>IF(BI5="착공",100/Equity!$D$38,IF(BI5="준공",(90-SUM($H$117:BH117)),IF(SUM($H$117:BH117)&gt;=(100/Equity!$D$38)*(Equity!$D$38-1),0,IF(BI115=1,100/Equity!$D$38,0))))*IF(BI4&gt;총괄장!$P$6,0,1)</f>
        <v>0</v>
      </c>
      <c r="BJ117" s="845">
        <f>IF(BJ5="착공",100/Equity!$D$38,IF(BJ5="준공",(90-SUM($H$117:BI117)),IF(SUM($H$117:BI117)&gt;=(100/Equity!$D$38)*(Equity!$D$38-1),0,IF(BJ115=1,100/Equity!$D$38,0))))*IF(BJ4&gt;총괄장!$P$6,0,1)</f>
        <v>0</v>
      </c>
      <c r="BK117" s="845">
        <f>IF(BK5="착공",100/Equity!$D$38,IF(BK5="준공",(90-SUM($H$117:BJ117)),IF(SUM($H$117:BJ117)&gt;=(100/Equity!$D$38)*(Equity!$D$38-1),0,IF(BK115=1,100/Equity!$D$38,0))))*IF(BK4&gt;총괄장!$P$6,0,1)</f>
        <v>0</v>
      </c>
      <c r="BL117" s="845">
        <f>IF(BL5="착공",100/Equity!$D$38,IF(BL5="준공",(90-SUM($H$117:BK117)),IF(SUM($H$117:BK117)&gt;=(100/Equity!$D$38)*(Equity!$D$38-1),0,IF(BL115=1,100/Equity!$D$38,0))))*IF(BL4&gt;총괄장!$P$6,0,1)</f>
        <v>0</v>
      </c>
      <c r="BM117" s="845">
        <f>IF(BM5="착공",100/Equity!$D$38,IF(BM5="준공",(90-SUM($H$117:BL117)),IF(SUM($H$117:BL117)&gt;=(100/Equity!$D$38)*(Equity!$D$38-1),0,IF(BM115=1,100/Equity!$D$38,0))))*IF(BM4&gt;총괄장!$P$6,0,1)</f>
        <v>0</v>
      </c>
      <c r="BN117" s="845">
        <f>IF(BN5="착공",100/Equity!$D$38,IF(BN5="준공",(90-SUM($H$117:BM117)),IF(SUM($H$117:BM117)&gt;=(100/Equity!$D$38)*(Equity!$D$38-1),0,IF(BN115=1,100/Equity!$D$38,0))))*IF(BN4&gt;총괄장!$P$6,0,1)</f>
        <v>0</v>
      </c>
      <c r="BO117" s="845">
        <f>IF(BO5="착공",100/Equity!$D$38,IF(BO5="준공",(90-SUM($H$117:BN117)),IF(SUM($H$117:BN117)&gt;=(100/Equity!$D$38)*(Equity!$D$38-1),0,IF(BO115=1,100/Equity!$D$38,0))))*IF(BO4&gt;총괄장!$P$6,0,1)</f>
        <v>0</v>
      </c>
      <c r="BP117" s="845">
        <f>IF(BP5="착공",100/Equity!$D$38,IF(BP5="준공",(90-SUM($H$117:BO117)),IF(SUM($H$117:BO117)&gt;=(100/Equity!$D$38)*(Equity!$D$38-1),0,IF(BP115=1,100/Equity!$D$38,0))))*IF(BP4&gt;총괄장!$P$6,0,1)</f>
        <v>0</v>
      </c>
      <c r="BQ117" s="845">
        <f>IF(BQ5="착공",100/Equity!$D$38,IF(BQ5="준공",(90-SUM($H$117:BP117)),IF(SUM($H$117:BP117)&gt;=(100/Equity!$D$38)*(Equity!$D$38-1),0,IF(BQ115=1,100/Equity!$D$38,0))))*IF(BQ4&gt;총괄장!$P$6,0,1)</f>
        <v>0</v>
      </c>
      <c r="BR117" s="845">
        <f>IF(BR5="착공",100/Equity!$D$38,IF(BR5="준공",(90-SUM($H$117:BQ117)),IF(SUM($H$117:BQ117)&gt;=(100/Equity!$D$38)*(Equity!$D$38-1),0,IF(BR115=1,100/Equity!$D$38,0))))*IF(BR4&gt;총괄장!$P$6,0,1)</f>
        <v>0</v>
      </c>
      <c r="BS117" s="845">
        <f>IF(BS5="착공",100/Equity!$D$38,IF(BS5="준공",(90-SUM($H$117:BR117)),IF(SUM($H$117:BR117)&gt;=(100/Equity!$D$38)*(Equity!$D$38-1),0,IF(BS115=1,100/Equity!$D$38,0))))*IF(BS4&gt;총괄장!$P$6,0,1)</f>
        <v>0</v>
      </c>
    </row>
    <row r="118" spans="2:120" s="817" customFormat="1" ht="21" customHeight="1">
      <c r="B118" s="799" t="s">
        <v>1179</v>
      </c>
      <c r="C118" s="799"/>
      <c r="D118" s="799"/>
      <c r="E118" s="799"/>
      <c r="F118" s="799"/>
      <c r="G118" s="799"/>
      <c r="H118" s="799"/>
      <c r="I118" s="817">
        <f>I114</f>
        <v>1</v>
      </c>
      <c r="J118" s="817">
        <f t="shared" ref="J118:AZ118" si="135">J114</f>
        <v>1</v>
      </c>
      <c r="K118" s="817">
        <f t="shared" si="135"/>
        <v>1</v>
      </c>
      <c r="L118" s="817">
        <f t="shared" si="135"/>
        <v>1</v>
      </c>
      <c r="M118" s="817">
        <f t="shared" si="135"/>
        <v>1</v>
      </c>
      <c r="N118" s="817">
        <f t="shared" si="135"/>
        <v>1</v>
      </c>
      <c r="O118" s="817">
        <f t="shared" si="135"/>
        <v>1</v>
      </c>
      <c r="P118" s="817">
        <f t="shared" si="135"/>
        <v>1</v>
      </c>
      <c r="Q118" s="817">
        <f t="shared" si="135"/>
        <v>1</v>
      </c>
      <c r="R118" s="817">
        <f t="shared" si="135"/>
        <v>1</v>
      </c>
      <c r="S118" s="817">
        <f t="shared" si="135"/>
        <v>1</v>
      </c>
      <c r="T118" s="817">
        <f t="shared" si="135"/>
        <v>1</v>
      </c>
      <c r="U118" s="817">
        <f t="shared" si="135"/>
        <v>1</v>
      </c>
      <c r="V118" s="817">
        <f t="shared" si="135"/>
        <v>1</v>
      </c>
      <c r="W118" s="817">
        <f t="shared" si="135"/>
        <v>1</v>
      </c>
      <c r="X118" s="817">
        <f t="shared" si="135"/>
        <v>1</v>
      </c>
      <c r="Y118" s="817">
        <f t="shared" si="135"/>
        <v>1</v>
      </c>
      <c r="Z118" s="817">
        <f t="shared" si="135"/>
        <v>1</v>
      </c>
      <c r="AA118" s="817">
        <f t="shared" si="135"/>
        <v>1</v>
      </c>
      <c r="AB118" s="817">
        <f t="shared" si="135"/>
        <v>1</v>
      </c>
      <c r="AC118" s="817">
        <f t="shared" si="135"/>
        <v>1</v>
      </c>
      <c r="AD118" s="817">
        <f t="shared" si="135"/>
        <v>1</v>
      </c>
      <c r="AE118" s="817">
        <f t="shared" si="135"/>
        <v>1</v>
      </c>
      <c r="AF118" s="817">
        <f t="shared" si="135"/>
        <v>1</v>
      </c>
      <c r="AG118" s="817">
        <f t="shared" si="135"/>
        <v>1</v>
      </c>
      <c r="AH118" s="817">
        <f t="shared" si="135"/>
        <v>1</v>
      </c>
      <c r="AI118" s="817">
        <f t="shared" si="135"/>
        <v>1</v>
      </c>
      <c r="AJ118" s="817">
        <f t="shared" si="135"/>
        <v>1</v>
      </c>
      <c r="AK118" s="817">
        <f t="shared" si="135"/>
        <v>1</v>
      </c>
      <c r="AL118" s="817">
        <f t="shared" si="135"/>
        <v>1</v>
      </c>
      <c r="AM118" s="817">
        <f t="shared" si="135"/>
        <v>0</v>
      </c>
      <c r="AN118" s="817">
        <f t="shared" si="135"/>
        <v>0</v>
      </c>
      <c r="AO118" s="817">
        <f t="shared" si="135"/>
        <v>0</v>
      </c>
      <c r="AP118" s="817">
        <f t="shared" si="135"/>
        <v>0</v>
      </c>
      <c r="AQ118" s="817">
        <f t="shared" si="135"/>
        <v>0</v>
      </c>
      <c r="AR118" s="817">
        <f t="shared" si="135"/>
        <v>0</v>
      </c>
      <c r="AS118" s="817">
        <f t="shared" si="135"/>
        <v>0</v>
      </c>
      <c r="AT118" s="817">
        <f t="shared" si="135"/>
        <v>0</v>
      </c>
      <c r="AU118" s="817">
        <f t="shared" si="135"/>
        <v>0</v>
      </c>
      <c r="AV118" s="817">
        <f t="shared" si="135"/>
        <v>0</v>
      </c>
      <c r="AW118" s="817">
        <f t="shared" si="135"/>
        <v>0</v>
      </c>
      <c r="AX118" s="817">
        <f t="shared" si="135"/>
        <v>0</v>
      </c>
      <c r="AY118" s="817">
        <f t="shared" si="135"/>
        <v>0</v>
      </c>
      <c r="AZ118" s="817">
        <f t="shared" si="135"/>
        <v>0</v>
      </c>
      <c r="BA118" s="817">
        <f t="shared" ref="BA118:BP118" si="136">BA114</f>
        <v>0</v>
      </c>
      <c r="BB118" s="817">
        <f t="shared" si="136"/>
        <v>0</v>
      </c>
      <c r="BC118" s="817">
        <f t="shared" si="136"/>
        <v>0</v>
      </c>
      <c r="BD118" s="817">
        <f t="shared" si="136"/>
        <v>0</v>
      </c>
      <c r="BE118" s="817">
        <f t="shared" si="136"/>
        <v>0</v>
      </c>
      <c r="BF118" s="817">
        <f t="shared" si="136"/>
        <v>0</v>
      </c>
      <c r="BG118" s="817">
        <f t="shared" si="136"/>
        <v>0</v>
      </c>
      <c r="BH118" s="817">
        <f t="shared" si="136"/>
        <v>0</v>
      </c>
      <c r="BI118" s="817">
        <f t="shared" si="136"/>
        <v>0</v>
      </c>
      <c r="BJ118" s="817">
        <f t="shared" si="136"/>
        <v>0</v>
      </c>
      <c r="BK118" s="817">
        <f t="shared" si="136"/>
        <v>0</v>
      </c>
      <c r="BL118" s="817">
        <f t="shared" si="136"/>
        <v>0</v>
      </c>
      <c r="BM118" s="817">
        <f t="shared" si="136"/>
        <v>0</v>
      </c>
      <c r="BN118" s="817">
        <f t="shared" si="136"/>
        <v>0</v>
      </c>
      <c r="BO118" s="817">
        <f t="shared" si="136"/>
        <v>0</v>
      </c>
      <c r="BP118" s="817">
        <f t="shared" si="136"/>
        <v>0</v>
      </c>
      <c r="BQ118" s="817">
        <f t="shared" ref="BQ118:BS118" si="137">BQ114</f>
        <v>0</v>
      </c>
      <c r="BR118" s="817">
        <f t="shared" si="137"/>
        <v>0</v>
      </c>
      <c r="BS118" s="817">
        <f t="shared" si="137"/>
        <v>0</v>
      </c>
      <c r="BT118" s="781"/>
      <c r="BU118" s="781"/>
      <c r="BV118" s="781"/>
      <c r="BW118" s="781"/>
      <c r="BX118" s="781"/>
      <c r="BY118" s="781"/>
      <c r="BZ118" s="781"/>
      <c r="CA118" s="781"/>
      <c r="CB118" s="781"/>
      <c r="CC118" s="781"/>
      <c r="CD118" s="781"/>
      <c r="CE118" s="781"/>
      <c r="CF118" s="781"/>
      <c r="CG118" s="781"/>
      <c r="CH118" s="781"/>
      <c r="CI118" s="781"/>
      <c r="CJ118" s="781"/>
      <c r="CK118" s="781"/>
      <c r="CL118" s="781"/>
      <c r="CM118" s="781"/>
      <c r="CN118" s="781"/>
      <c r="CO118" s="781"/>
      <c r="CP118" s="781"/>
      <c r="CQ118" s="781"/>
      <c r="CR118" s="781"/>
      <c r="CS118" s="781"/>
      <c r="CT118" s="781"/>
      <c r="CU118" s="781"/>
      <c r="CV118" s="781"/>
      <c r="CW118" s="781"/>
      <c r="CX118" s="781"/>
      <c r="CY118" s="781"/>
      <c r="CZ118" s="781"/>
      <c r="DA118" s="781"/>
      <c r="DB118" s="781"/>
      <c r="DC118" s="781"/>
      <c r="DD118" s="781"/>
      <c r="DE118" s="781"/>
      <c r="DF118" s="781"/>
      <c r="DG118" s="781"/>
      <c r="DH118" s="781"/>
      <c r="DI118" s="781"/>
      <c r="DJ118" s="781"/>
      <c r="DK118" s="781"/>
      <c r="DL118" s="781"/>
      <c r="DM118" s="781"/>
      <c r="DN118" s="781"/>
      <c r="DO118" s="781"/>
      <c r="DP118" s="781"/>
    </row>
    <row r="119" spans="2:120" s="817" customFormat="1" ht="10.8">
      <c r="I119" s="817">
        <f>SUM($I$117:I117)</f>
        <v>10</v>
      </c>
      <c r="J119" s="817">
        <f>SUM($I$117:J117)</f>
        <v>10</v>
      </c>
      <c r="K119" s="817">
        <f>SUM($I$117:K117)</f>
        <v>10</v>
      </c>
      <c r="L119" s="817">
        <f>SUM($I$117:L117)</f>
        <v>20</v>
      </c>
      <c r="M119" s="817">
        <f>SUM($I$117:M117)</f>
        <v>20</v>
      </c>
      <c r="N119" s="817">
        <f>SUM($I$117:N117)</f>
        <v>20</v>
      </c>
      <c r="O119" s="817">
        <f>SUM($I$117:O117)</f>
        <v>30</v>
      </c>
      <c r="P119" s="817">
        <f>SUM($I$117:P117)</f>
        <v>30</v>
      </c>
      <c r="Q119" s="817">
        <f>SUM($I$117:Q117)</f>
        <v>30</v>
      </c>
      <c r="R119" s="817">
        <f>SUM($I$117:R117)</f>
        <v>40</v>
      </c>
      <c r="S119" s="817">
        <f>SUM($I$117:S117)</f>
        <v>40</v>
      </c>
      <c r="T119" s="817">
        <f>SUM($I$117:T117)</f>
        <v>40</v>
      </c>
      <c r="U119" s="817">
        <f>SUM($I$117:U117)</f>
        <v>50</v>
      </c>
      <c r="V119" s="817">
        <f>SUM($I$117:V117)</f>
        <v>50</v>
      </c>
      <c r="W119" s="817">
        <f>SUM($I$117:W117)</f>
        <v>50</v>
      </c>
      <c r="X119" s="817">
        <f>SUM($I$117:X117)</f>
        <v>60</v>
      </c>
      <c r="Y119" s="817">
        <f>SUM($I$117:Y117)</f>
        <v>60</v>
      </c>
      <c r="Z119" s="817">
        <f>SUM($I$117:Z117)</f>
        <v>60</v>
      </c>
      <c r="AA119" s="817">
        <f>SUM($I$117:AA117)</f>
        <v>70</v>
      </c>
      <c r="AB119" s="817">
        <f>SUM($I$117:AB117)</f>
        <v>70</v>
      </c>
      <c r="AC119" s="817">
        <f>SUM($I$117:AC117)</f>
        <v>70</v>
      </c>
      <c r="AD119" s="817">
        <f>SUM($I$117:AD117)</f>
        <v>80</v>
      </c>
      <c r="AE119" s="817">
        <f>SUM($I$117:AE117)</f>
        <v>80</v>
      </c>
      <c r="AF119" s="817">
        <f>SUM($I$117:AF117)</f>
        <v>80</v>
      </c>
      <c r="AG119" s="817">
        <f>SUM($I$117:AG117)</f>
        <v>90</v>
      </c>
      <c r="AH119" s="817">
        <f>SUM($I$117:AH117)</f>
        <v>90</v>
      </c>
      <c r="AI119" s="817">
        <f>SUM($I$117:AI117)</f>
        <v>90</v>
      </c>
      <c r="AJ119" s="817">
        <f>SUM($I$117:AJ117)</f>
        <v>90</v>
      </c>
      <c r="AK119" s="817">
        <f>SUM($I$117:AK117)</f>
        <v>90</v>
      </c>
      <c r="AL119" s="817">
        <f>SUM($I$117:AL117)</f>
        <v>90</v>
      </c>
      <c r="AM119" s="817">
        <f>SUM($I$117:AM117)</f>
        <v>90</v>
      </c>
      <c r="AN119" s="817">
        <f>SUM($I$117:AN117)</f>
        <v>90</v>
      </c>
      <c r="AO119" s="817">
        <f>SUM($I$117:AO117)</f>
        <v>90</v>
      </c>
      <c r="AP119" s="817">
        <f>SUM($I$117:AP117)</f>
        <v>90</v>
      </c>
      <c r="AQ119" s="817">
        <f>SUM($I$117:AQ117)</f>
        <v>90</v>
      </c>
      <c r="AR119" s="817">
        <f>SUM($I$117:AR117)</f>
        <v>90</v>
      </c>
      <c r="AS119" s="817">
        <f>SUM($I$117:AS117)</f>
        <v>90</v>
      </c>
      <c r="AT119" s="817">
        <f>SUM($I$117:AT117)</f>
        <v>90</v>
      </c>
      <c r="AU119" s="817">
        <f>SUM($I$117:AU117)</f>
        <v>90</v>
      </c>
      <c r="AV119" s="817">
        <f>SUM($I$117:AV117)</f>
        <v>90</v>
      </c>
      <c r="AW119" s="817">
        <f>SUM($I$117:AW117)</f>
        <v>90</v>
      </c>
      <c r="AX119" s="817">
        <f>SUM($I$117:AX117)</f>
        <v>90</v>
      </c>
      <c r="AY119" s="817">
        <f>SUM($I$117:AY117)</f>
        <v>90</v>
      </c>
      <c r="AZ119" s="817">
        <f>SUM($I$117:AZ117)</f>
        <v>90</v>
      </c>
      <c r="BA119" s="817">
        <f>SUM($I$117:BA117)</f>
        <v>90</v>
      </c>
      <c r="BB119" s="817">
        <f>SUM($I$117:BB117)</f>
        <v>90</v>
      </c>
      <c r="BC119" s="817">
        <f>SUM($I$117:BC117)</f>
        <v>90</v>
      </c>
      <c r="BD119" s="817">
        <f>SUM($I$117:BD117)</f>
        <v>90</v>
      </c>
      <c r="BE119" s="817">
        <f>SUM($I$117:BE117)</f>
        <v>90</v>
      </c>
      <c r="BF119" s="817">
        <f>SUM($I$117:BF117)</f>
        <v>90</v>
      </c>
      <c r="BG119" s="817">
        <f>SUM($I$117:BG117)</f>
        <v>90</v>
      </c>
      <c r="BH119" s="817">
        <f>SUM($I$117:BH117)</f>
        <v>90</v>
      </c>
      <c r="BI119" s="817">
        <f>SUM($I$117:BI117)</f>
        <v>90</v>
      </c>
      <c r="BJ119" s="817">
        <f>SUM($I$117:BJ117)</f>
        <v>90</v>
      </c>
      <c r="BK119" s="817">
        <f>SUM($I$117:BK117)</f>
        <v>90</v>
      </c>
      <c r="BL119" s="817">
        <f>SUM($I$117:BL117)</f>
        <v>90</v>
      </c>
      <c r="BM119" s="817">
        <f>SUM($I$117:BM117)</f>
        <v>90</v>
      </c>
      <c r="BN119" s="817">
        <f>SUM($I$117:BN117)</f>
        <v>90</v>
      </c>
      <c r="BO119" s="817">
        <f>SUM($I$117:BO117)</f>
        <v>90</v>
      </c>
      <c r="BP119" s="817">
        <f>SUM($I$117:BP117)</f>
        <v>90</v>
      </c>
      <c r="BQ119" s="817">
        <f>SUM($I$117:BQ117)</f>
        <v>90</v>
      </c>
      <c r="BR119" s="817">
        <f>SUM($I$117:BR117)</f>
        <v>90</v>
      </c>
      <c r="BS119" s="817">
        <f>SUM($I$117:BS117)</f>
        <v>90</v>
      </c>
      <c r="BT119" s="781"/>
      <c r="BU119" s="781"/>
      <c r="BV119" s="781"/>
      <c r="BW119" s="781"/>
      <c r="BX119" s="781"/>
      <c r="BY119" s="781"/>
      <c r="BZ119" s="781"/>
      <c r="CA119" s="781"/>
      <c r="CB119" s="781"/>
      <c r="CC119" s="781"/>
      <c r="CD119" s="781"/>
      <c r="CE119" s="781"/>
      <c r="CF119" s="781"/>
      <c r="CG119" s="781"/>
      <c r="CH119" s="781"/>
      <c r="CI119" s="781"/>
      <c r="CJ119" s="781"/>
      <c r="CK119" s="781"/>
      <c r="CL119" s="781"/>
      <c r="CM119" s="781"/>
      <c r="CN119" s="781"/>
      <c r="CO119" s="781"/>
      <c r="CP119" s="781"/>
      <c r="CQ119" s="781"/>
      <c r="CR119" s="781"/>
      <c r="CS119" s="781"/>
      <c r="CT119" s="781"/>
      <c r="CU119" s="781"/>
      <c r="CV119" s="781"/>
      <c r="CW119" s="781"/>
      <c r="CX119" s="781"/>
      <c r="CY119" s="781"/>
      <c r="CZ119" s="781"/>
      <c r="DA119" s="781"/>
      <c r="DB119" s="781"/>
      <c r="DC119" s="781"/>
      <c r="DD119" s="781"/>
      <c r="DE119" s="781"/>
      <c r="DF119" s="781"/>
      <c r="DG119" s="781"/>
      <c r="DH119" s="781"/>
      <c r="DI119" s="781"/>
      <c r="DJ119" s="781"/>
      <c r="DK119" s="781"/>
      <c r="DL119" s="781"/>
      <c r="DM119" s="781"/>
      <c r="DN119" s="781"/>
      <c r="DO119" s="781"/>
      <c r="DP119" s="781"/>
    </row>
    <row r="120" spans="2:120" s="817" customFormat="1" ht="10.8">
      <c r="BT120" s="781"/>
      <c r="BU120" s="781"/>
      <c r="BV120" s="781"/>
      <c r="BW120" s="781"/>
      <c r="BX120" s="781"/>
      <c r="BY120" s="781"/>
      <c r="BZ120" s="781"/>
      <c r="CA120" s="781"/>
      <c r="CB120" s="781"/>
      <c r="CC120" s="781"/>
      <c r="CD120" s="781"/>
      <c r="CE120" s="781"/>
      <c r="CF120" s="781"/>
      <c r="CG120" s="781"/>
      <c r="CH120" s="781"/>
      <c r="CI120" s="781"/>
      <c r="CJ120" s="781"/>
      <c r="CK120" s="781"/>
      <c r="CL120" s="781"/>
      <c r="CM120" s="781"/>
      <c r="CN120" s="781"/>
      <c r="CO120" s="781"/>
      <c r="CP120" s="781"/>
      <c r="CQ120" s="781"/>
      <c r="CR120" s="781"/>
      <c r="CS120" s="781"/>
      <c r="CT120" s="781"/>
      <c r="CU120" s="781"/>
      <c r="CV120" s="781"/>
      <c r="CW120" s="781"/>
      <c r="CX120" s="781"/>
      <c r="CY120" s="781"/>
      <c r="CZ120" s="781"/>
      <c r="DA120" s="781"/>
      <c r="DB120" s="781"/>
      <c r="DC120" s="781"/>
      <c r="DD120" s="781"/>
      <c r="DE120" s="781"/>
      <c r="DF120" s="781"/>
      <c r="DG120" s="781"/>
      <c r="DH120" s="781"/>
      <c r="DI120" s="781"/>
      <c r="DJ120" s="781"/>
      <c r="DK120" s="781"/>
      <c r="DL120" s="781"/>
      <c r="DM120" s="781"/>
      <c r="DN120" s="781"/>
      <c r="DO120" s="781"/>
      <c r="DP120" s="781"/>
    </row>
    <row r="121" spans="2:120" s="817" customFormat="1" ht="10.8">
      <c r="B121" s="817" t="s">
        <v>1184</v>
      </c>
      <c r="C121" s="846">
        <f>총괄장!P7</f>
        <v>2</v>
      </c>
      <c r="BT121" s="781"/>
      <c r="BU121" s="781"/>
      <c r="BV121" s="781"/>
      <c r="BW121" s="781"/>
      <c r="BX121" s="781"/>
      <c r="BY121" s="781"/>
      <c r="BZ121" s="781"/>
      <c r="CA121" s="781"/>
      <c r="CB121" s="781"/>
      <c r="CC121" s="781"/>
      <c r="CD121" s="781"/>
      <c r="CE121" s="781"/>
      <c r="CF121" s="781"/>
      <c r="CG121" s="781"/>
      <c r="CH121" s="781"/>
      <c r="CI121" s="781"/>
      <c r="CJ121" s="781"/>
      <c r="CK121" s="781"/>
      <c r="CL121" s="781"/>
      <c r="CM121" s="781"/>
      <c r="CN121" s="781"/>
      <c r="CO121" s="781"/>
      <c r="CP121" s="781"/>
      <c r="CQ121" s="781"/>
      <c r="CR121" s="781"/>
      <c r="CS121" s="781"/>
      <c r="CT121" s="781"/>
      <c r="CU121" s="781"/>
      <c r="CV121" s="781"/>
      <c r="CW121" s="781"/>
      <c r="CX121" s="781"/>
      <c r="CY121" s="781"/>
      <c r="CZ121" s="781"/>
      <c r="DA121" s="781"/>
      <c r="DB121" s="781"/>
      <c r="DC121" s="781"/>
      <c r="DD121" s="781"/>
      <c r="DE121" s="781"/>
      <c r="DF121" s="781"/>
      <c r="DG121" s="781"/>
      <c r="DH121" s="781"/>
      <c r="DI121" s="781"/>
      <c r="DJ121" s="781"/>
      <c r="DK121" s="781"/>
      <c r="DL121" s="781"/>
      <c r="DM121" s="781"/>
      <c r="DN121" s="781"/>
      <c r="DO121" s="781"/>
      <c r="DP121" s="781"/>
    </row>
    <row r="122" spans="2:120" s="817" customFormat="1" ht="10.8">
      <c r="B122" s="817" t="s">
        <v>1182</v>
      </c>
      <c r="D122" s="843">
        <f>SUM(I122:BP122)</f>
        <v>1.0000000000000002</v>
      </c>
      <c r="G122" s="817">
        <v>0</v>
      </c>
      <c r="H122" s="817">
        <v>0</v>
      </c>
      <c r="I122" s="847">
        <f>공정율산정!M6</f>
        <v>1.1999999999999999E-3</v>
      </c>
      <c r="J122" s="847">
        <f>공정율산정!N6</f>
        <v>5.5999999999999991E-3</v>
      </c>
      <c r="K122" s="847">
        <f>공정율산정!O6</f>
        <v>7.1999999999999998E-3</v>
      </c>
      <c r="L122" s="847">
        <f>공정율산정!P6</f>
        <v>9.5999999999999992E-3</v>
      </c>
      <c r="M122" s="847">
        <f>공정율산정!Q6</f>
        <v>1.6799999999999992E-2</v>
      </c>
      <c r="N122" s="847">
        <f>공정율산정!R6</f>
        <v>1.5599999999999987E-2</v>
      </c>
      <c r="O122" s="847">
        <f>공정율산정!S6</f>
        <v>2.3999999999999994E-2</v>
      </c>
      <c r="P122" s="847">
        <f>공정율산정!T6</f>
        <v>3.6799999999999986E-2</v>
      </c>
      <c r="Q122" s="847">
        <f>공정율산정!U6</f>
        <v>3.1199999999999974E-2</v>
      </c>
      <c r="R122" s="847">
        <f>공정율산정!V6</f>
        <v>4.4400000000000016E-2</v>
      </c>
      <c r="S122" s="847">
        <f>공정율산정!W6</f>
        <v>5.6000000000000015E-2</v>
      </c>
      <c r="T122" s="847">
        <f>공정율산정!X6</f>
        <v>3.960000000000001E-2</v>
      </c>
      <c r="U122" s="847">
        <f>공정율산정!Y6</f>
        <v>4.7399999999999949E-2</v>
      </c>
      <c r="V122" s="847">
        <f>공정율산정!Z6</f>
        <v>5.5199999999999957E-2</v>
      </c>
      <c r="W122" s="847">
        <f>공정율산정!AA6</f>
        <v>3.5399999999999994E-2</v>
      </c>
      <c r="X122" s="847">
        <f>공정율산정!AB6</f>
        <v>5.0399999999999993E-2</v>
      </c>
      <c r="Y122" s="847">
        <f>공정율산정!AC6</f>
        <v>6.7600000000000049E-2</v>
      </c>
      <c r="Z122" s="847">
        <f>공정율산정!AD6</f>
        <v>5.1000000000000087E-2</v>
      </c>
      <c r="AA122" s="847">
        <f>공정율산정!AE6</f>
        <v>4.4399999999999905E-2</v>
      </c>
      <c r="AB122" s="847">
        <f>공정율산정!AF6</f>
        <v>6.5689999999999957E-2</v>
      </c>
      <c r="AC122" s="847">
        <f>공정율산정!AG6</f>
        <v>5.3999999999999916E-2</v>
      </c>
      <c r="AD122" s="847">
        <f>공정율산정!AH6</f>
        <v>4.7399999999999949E-2</v>
      </c>
      <c r="AE122" s="847">
        <f>공정율산정!AI6</f>
        <v>6.1200000000000046E-2</v>
      </c>
      <c r="AF122" s="847">
        <f>공정율산정!AJ6</f>
        <v>4.440000000000012E-2</v>
      </c>
      <c r="AG122" s="847">
        <f>공정율산정!AK6</f>
        <v>2.1000000000000085E-2</v>
      </c>
      <c r="AH122" s="847">
        <f>공정율산정!AL6</f>
        <v>2.5600000000000022E-2</v>
      </c>
      <c r="AI122" s="847">
        <f>공정율산정!AM6</f>
        <v>1.739999999999995E-2</v>
      </c>
      <c r="AJ122" s="847">
        <f>공정율산정!AN6</f>
        <v>6.5999999999999661E-3</v>
      </c>
      <c r="AK122" s="847">
        <f>공정율산정!AO6</f>
        <v>9.600000000000079E-3</v>
      </c>
      <c r="AL122" s="847">
        <f>공정율산정!AP6</f>
        <v>7.7100000000001499E-3</v>
      </c>
      <c r="AM122" s="847">
        <f>공정율산정!AQ6</f>
        <v>0</v>
      </c>
      <c r="AN122" s="847">
        <f>공정율산정!AR6</f>
        <v>0</v>
      </c>
      <c r="AO122" s="847">
        <f>공정율산정!AS6</f>
        <v>0</v>
      </c>
      <c r="AP122" s="847">
        <f>공정율산정!AT6</f>
        <v>0</v>
      </c>
      <c r="AQ122" s="847">
        <f>공정율산정!AU6</f>
        <v>0</v>
      </c>
      <c r="AR122" s="847">
        <f>공정율산정!AV6</f>
        <v>0</v>
      </c>
      <c r="AS122" s="847">
        <f>공정율산정!AW6</f>
        <v>0</v>
      </c>
      <c r="AT122" s="847">
        <f>공정율산정!AX6</f>
        <v>0</v>
      </c>
      <c r="AU122" s="847">
        <f>공정율산정!AY6</f>
        <v>0</v>
      </c>
      <c r="AV122" s="847">
        <f>공정율산정!AZ6</f>
        <v>0</v>
      </c>
      <c r="AW122" s="847">
        <f>공정율산정!BA6</f>
        <v>0</v>
      </c>
      <c r="AX122" s="847">
        <f>공정율산정!BB6</f>
        <v>0</v>
      </c>
      <c r="AY122" s="847">
        <f>공정율산정!BC6</f>
        <v>0</v>
      </c>
      <c r="AZ122" s="847">
        <f>공정율산정!BD6</f>
        <v>0</v>
      </c>
      <c r="BA122" s="847">
        <f>공정율산정!BE6</f>
        <v>0</v>
      </c>
      <c r="BB122" s="847">
        <f>공정율산정!BF6</f>
        <v>0</v>
      </c>
      <c r="BC122" s="847">
        <f>공정율산정!BG6</f>
        <v>0</v>
      </c>
      <c r="BD122" s="847">
        <f>공정율산정!BH6</f>
        <v>0</v>
      </c>
      <c r="BE122" s="847">
        <f>공정율산정!BI6</f>
        <v>0</v>
      </c>
      <c r="BF122" s="847">
        <f>공정율산정!BJ6</f>
        <v>0</v>
      </c>
      <c r="BG122" s="847">
        <f>공정율산정!BK6</f>
        <v>0</v>
      </c>
      <c r="BH122" s="847">
        <f>공정율산정!BL6</f>
        <v>0</v>
      </c>
      <c r="BI122" s="847">
        <f>공정율산정!BM6</f>
        <v>0</v>
      </c>
      <c r="BJ122" s="847">
        <f>공정율산정!BN6</f>
        <v>0</v>
      </c>
      <c r="BK122" s="847">
        <f>공정율산정!BO6</f>
        <v>0</v>
      </c>
      <c r="BL122" s="847">
        <f>공정율산정!BP6</f>
        <v>0</v>
      </c>
      <c r="BM122" s="847">
        <f>공정율산정!BQ6</f>
        <v>0</v>
      </c>
      <c r="BN122" s="847">
        <f>공정율산정!BR6</f>
        <v>0</v>
      </c>
      <c r="BO122" s="847">
        <f>공정율산정!BS6</f>
        <v>0</v>
      </c>
      <c r="BP122" s="847">
        <f>공정율산정!BT6</f>
        <v>0</v>
      </c>
      <c r="BQ122" s="847">
        <f>공정율산정!BU6</f>
        <v>0</v>
      </c>
      <c r="BR122" s="847">
        <f>공정율산정!BV6</f>
        <v>0</v>
      </c>
      <c r="BS122" s="847"/>
      <c r="BT122" s="781"/>
      <c r="BU122" s="781"/>
      <c r="BV122" s="781"/>
      <c r="BW122" s="781"/>
      <c r="BX122" s="781"/>
      <c r="BY122" s="781"/>
      <c r="BZ122" s="781"/>
      <c r="CA122" s="781"/>
      <c r="CB122" s="781"/>
      <c r="CC122" s="781"/>
      <c r="CD122" s="781"/>
      <c r="CE122" s="781"/>
      <c r="CF122" s="781"/>
      <c r="CG122" s="781"/>
      <c r="CH122" s="781"/>
      <c r="CI122" s="781"/>
      <c r="CJ122" s="781"/>
      <c r="CK122" s="781"/>
      <c r="CL122" s="781"/>
      <c r="CM122" s="781"/>
      <c r="CN122" s="781"/>
      <c r="CO122" s="781"/>
      <c r="CP122" s="781"/>
      <c r="CQ122" s="781"/>
      <c r="CR122" s="781"/>
      <c r="CS122" s="781"/>
      <c r="CT122" s="781"/>
      <c r="CU122" s="781"/>
      <c r="CV122" s="781"/>
      <c r="CW122" s="781"/>
      <c r="CX122" s="781"/>
      <c r="CY122" s="781"/>
      <c r="CZ122" s="781"/>
      <c r="DA122" s="781"/>
      <c r="DB122" s="781"/>
      <c r="DC122" s="781"/>
      <c r="DD122" s="781"/>
      <c r="DE122" s="781"/>
      <c r="DF122" s="781"/>
      <c r="DG122" s="781"/>
      <c r="DH122" s="781"/>
      <c r="DI122" s="781"/>
      <c r="DJ122" s="781"/>
      <c r="DK122" s="781"/>
      <c r="DL122" s="781"/>
      <c r="DM122" s="781"/>
      <c r="DN122" s="781"/>
      <c r="DO122" s="781"/>
      <c r="DP122" s="781"/>
    </row>
    <row r="123" spans="2:120" s="817" customFormat="1" ht="10.8">
      <c r="B123" s="817" t="s">
        <v>1183</v>
      </c>
      <c r="I123" s="847">
        <f>H123+I122</f>
        <v>1.1999999999999999E-3</v>
      </c>
      <c r="J123" s="847">
        <f t="shared" ref="J123:AZ123" si="138">I123+J122</f>
        <v>6.7999999999999988E-3</v>
      </c>
      <c r="K123" s="847">
        <f t="shared" si="138"/>
        <v>1.3999999999999999E-2</v>
      </c>
      <c r="L123" s="847">
        <f t="shared" si="138"/>
        <v>2.3599999999999996E-2</v>
      </c>
      <c r="M123" s="847">
        <f t="shared" si="138"/>
        <v>4.0399999999999991E-2</v>
      </c>
      <c r="N123" s="847">
        <f t="shared" si="138"/>
        <v>5.599999999999998E-2</v>
      </c>
      <c r="O123" s="847">
        <f t="shared" si="138"/>
        <v>7.9999999999999974E-2</v>
      </c>
      <c r="P123" s="847">
        <f t="shared" si="138"/>
        <v>0.11679999999999996</v>
      </c>
      <c r="Q123" s="847">
        <f t="shared" si="138"/>
        <v>0.14799999999999994</v>
      </c>
      <c r="R123" s="847">
        <f t="shared" si="138"/>
        <v>0.19239999999999996</v>
      </c>
      <c r="S123" s="847">
        <f t="shared" si="138"/>
        <v>0.24839999999999998</v>
      </c>
      <c r="T123" s="847">
        <f t="shared" si="138"/>
        <v>0.28799999999999998</v>
      </c>
      <c r="U123" s="847">
        <f t="shared" si="138"/>
        <v>0.33539999999999992</v>
      </c>
      <c r="V123" s="847">
        <f t="shared" si="138"/>
        <v>0.39059999999999989</v>
      </c>
      <c r="W123" s="847">
        <f t="shared" si="138"/>
        <v>0.42599999999999988</v>
      </c>
      <c r="X123" s="847">
        <f t="shared" si="138"/>
        <v>0.47639999999999988</v>
      </c>
      <c r="Y123" s="847">
        <f t="shared" si="138"/>
        <v>0.54399999999999993</v>
      </c>
      <c r="Z123" s="847">
        <f t="shared" si="138"/>
        <v>0.59499999999999997</v>
      </c>
      <c r="AA123" s="847">
        <f t="shared" si="138"/>
        <v>0.63939999999999986</v>
      </c>
      <c r="AB123" s="847">
        <f t="shared" si="138"/>
        <v>0.70508999999999977</v>
      </c>
      <c r="AC123" s="847">
        <f t="shared" si="138"/>
        <v>0.75908999999999971</v>
      </c>
      <c r="AD123" s="847">
        <f t="shared" si="138"/>
        <v>0.80648999999999971</v>
      </c>
      <c r="AE123" s="847">
        <f t="shared" si="138"/>
        <v>0.86768999999999974</v>
      </c>
      <c r="AF123" s="847">
        <f t="shared" si="138"/>
        <v>0.91208999999999985</v>
      </c>
      <c r="AG123" s="847">
        <f t="shared" si="138"/>
        <v>0.93308999999999997</v>
      </c>
      <c r="AH123" s="847">
        <f t="shared" si="138"/>
        <v>0.95869000000000004</v>
      </c>
      <c r="AI123" s="847">
        <f t="shared" si="138"/>
        <v>0.97609000000000001</v>
      </c>
      <c r="AJ123" s="847">
        <f t="shared" si="138"/>
        <v>0.98268999999999995</v>
      </c>
      <c r="AK123" s="847">
        <f t="shared" si="138"/>
        <v>0.99229000000000001</v>
      </c>
      <c r="AL123" s="847">
        <f t="shared" si="138"/>
        <v>1.0000000000000002</v>
      </c>
      <c r="AM123" s="847">
        <f t="shared" si="138"/>
        <v>1.0000000000000002</v>
      </c>
      <c r="AN123" s="847">
        <f t="shared" si="138"/>
        <v>1.0000000000000002</v>
      </c>
      <c r="AO123" s="847">
        <f t="shared" si="138"/>
        <v>1.0000000000000002</v>
      </c>
      <c r="AP123" s="847">
        <f t="shared" si="138"/>
        <v>1.0000000000000002</v>
      </c>
      <c r="AQ123" s="847">
        <f t="shared" si="138"/>
        <v>1.0000000000000002</v>
      </c>
      <c r="AR123" s="847">
        <f t="shared" si="138"/>
        <v>1.0000000000000002</v>
      </c>
      <c r="AS123" s="847">
        <f t="shared" si="138"/>
        <v>1.0000000000000002</v>
      </c>
      <c r="AT123" s="847">
        <f t="shared" si="138"/>
        <v>1.0000000000000002</v>
      </c>
      <c r="AU123" s="847">
        <f t="shared" si="138"/>
        <v>1.0000000000000002</v>
      </c>
      <c r="AV123" s="847">
        <f t="shared" si="138"/>
        <v>1.0000000000000002</v>
      </c>
      <c r="AW123" s="847">
        <f t="shared" si="138"/>
        <v>1.0000000000000002</v>
      </c>
      <c r="AX123" s="847">
        <f t="shared" si="138"/>
        <v>1.0000000000000002</v>
      </c>
      <c r="AY123" s="847">
        <f t="shared" si="138"/>
        <v>1.0000000000000002</v>
      </c>
      <c r="AZ123" s="847">
        <f t="shared" si="138"/>
        <v>1.0000000000000002</v>
      </c>
      <c r="BA123" s="847">
        <f t="shared" ref="BA123:BP123" si="139">AZ123+BA122</f>
        <v>1.0000000000000002</v>
      </c>
      <c r="BB123" s="847">
        <f t="shared" si="139"/>
        <v>1.0000000000000002</v>
      </c>
      <c r="BC123" s="847">
        <f t="shared" si="139"/>
        <v>1.0000000000000002</v>
      </c>
      <c r="BD123" s="847">
        <f t="shared" si="139"/>
        <v>1.0000000000000002</v>
      </c>
      <c r="BE123" s="847">
        <f t="shared" si="139"/>
        <v>1.0000000000000002</v>
      </c>
      <c r="BF123" s="847">
        <f t="shared" si="139"/>
        <v>1.0000000000000002</v>
      </c>
      <c r="BG123" s="847">
        <f t="shared" si="139"/>
        <v>1.0000000000000002</v>
      </c>
      <c r="BH123" s="847">
        <f t="shared" si="139"/>
        <v>1.0000000000000002</v>
      </c>
      <c r="BI123" s="847">
        <f t="shared" si="139"/>
        <v>1.0000000000000002</v>
      </c>
      <c r="BJ123" s="847">
        <f t="shared" si="139"/>
        <v>1.0000000000000002</v>
      </c>
      <c r="BK123" s="847">
        <f t="shared" si="139"/>
        <v>1.0000000000000002</v>
      </c>
      <c r="BL123" s="847">
        <f t="shared" si="139"/>
        <v>1.0000000000000002</v>
      </c>
      <c r="BM123" s="847">
        <f t="shared" si="139"/>
        <v>1.0000000000000002</v>
      </c>
      <c r="BN123" s="847">
        <f t="shared" si="139"/>
        <v>1.0000000000000002</v>
      </c>
      <c r="BO123" s="847">
        <f t="shared" si="139"/>
        <v>1.0000000000000002</v>
      </c>
      <c r="BP123" s="847">
        <f t="shared" si="139"/>
        <v>1.0000000000000002</v>
      </c>
      <c r="BQ123" s="847">
        <f t="shared" ref="BQ123" si="140">BP123+BQ122</f>
        <v>1.0000000000000002</v>
      </c>
      <c r="BR123" s="847">
        <f t="shared" ref="BR123" si="141">BQ123+BR122</f>
        <v>1.0000000000000002</v>
      </c>
      <c r="BS123" s="847"/>
      <c r="BT123" s="781"/>
      <c r="BU123" s="781"/>
      <c r="BV123" s="781"/>
      <c r="BW123" s="781"/>
      <c r="BX123" s="781"/>
      <c r="BY123" s="781"/>
      <c r="BZ123" s="781"/>
      <c r="CA123" s="781"/>
      <c r="CB123" s="781"/>
      <c r="CC123" s="781"/>
      <c r="CD123" s="781"/>
      <c r="CE123" s="781"/>
      <c r="CF123" s="781"/>
      <c r="CG123" s="781"/>
      <c r="CH123" s="781"/>
      <c r="CI123" s="781"/>
      <c r="CJ123" s="781"/>
      <c r="CK123" s="781"/>
      <c r="CL123" s="781"/>
      <c r="CM123" s="781"/>
      <c r="CN123" s="781"/>
      <c r="CO123" s="781"/>
      <c r="CP123" s="781"/>
      <c r="CQ123" s="781"/>
      <c r="CR123" s="781"/>
      <c r="CS123" s="781"/>
      <c r="CT123" s="781"/>
      <c r="CU123" s="781"/>
      <c r="CV123" s="781"/>
      <c r="CW123" s="781"/>
      <c r="CX123" s="781"/>
      <c r="CY123" s="781"/>
      <c r="CZ123" s="781"/>
      <c r="DA123" s="781"/>
      <c r="DB123" s="781"/>
      <c r="DC123" s="781"/>
      <c r="DD123" s="781"/>
      <c r="DE123" s="781"/>
      <c r="DF123" s="781"/>
      <c r="DG123" s="781"/>
      <c r="DH123" s="781"/>
      <c r="DI123" s="781"/>
      <c r="DJ123" s="781"/>
      <c r="DK123" s="781"/>
      <c r="DL123" s="781"/>
      <c r="DM123" s="781"/>
      <c r="DN123" s="781"/>
      <c r="DO123" s="781"/>
      <c r="DP123" s="781"/>
    </row>
    <row r="124" spans="2:120" s="817" customFormat="1" ht="10.8">
      <c r="B124" s="817" t="s">
        <v>1192</v>
      </c>
      <c r="D124" s="843">
        <f>SUM(I124:BP124)</f>
        <v>1.0000000000000002</v>
      </c>
      <c r="I124" s="848">
        <f>IF(I126=1,(SUM($H$122:H122)-SUM(G$124:$H124)),0)</f>
        <v>0</v>
      </c>
      <c r="J124" s="848">
        <f>IF(J126=1,(SUM($H$122:I122)-SUM(H$124:$H124)),0)</f>
        <v>0</v>
      </c>
      <c r="K124" s="848">
        <f>IF(K126=1,(SUM($H$122:J122)-SUM($H$124:I124)),0)</f>
        <v>6.7999999999999988E-3</v>
      </c>
      <c r="L124" s="848">
        <f>IF(L126=1,(SUM($H$122:K122)-SUM($H$124:J124)),0)</f>
        <v>0</v>
      </c>
      <c r="M124" s="848">
        <f>IF(M126=1,(SUM($H$122:L122)-SUM($H$124:K124)),0)</f>
        <v>1.6799999999999995E-2</v>
      </c>
      <c r="N124" s="848">
        <f>IF(N126=1,(SUM($H$122:M122)-SUM($H$124:L124)),0)</f>
        <v>0</v>
      </c>
      <c r="O124" s="848">
        <f>IF(O126=1,(SUM($H$122:N122)-SUM($H$124:M124)),0)</f>
        <v>3.2399999999999984E-2</v>
      </c>
      <c r="P124" s="848">
        <f>IF(P126=1,(SUM($H$122:O122)-SUM($H$124:N124)),0)</f>
        <v>0</v>
      </c>
      <c r="Q124" s="848">
        <f>IF(Q126=1,(SUM($H$122:P122)-SUM($H$124:O124)),0)</f>
        <v>6.0799999999999979E-2</v>
      </c>
      <c r="R124" s="848">
        <f>IF(R126=1,(SUM($H$122:Q122)-SUM($H$124:P124)),0)</f>
        <v>0</v>
      </c>
      <c r="S124" s="848">
        <f>IF(S126=1,(SUM($H$122:R122)-SUM($H$124:Q124)),0)</f>
        <v>7.5600000000000001E-2</v>
      </c>
      <c r="T124" s="848">
        <f>IF(T126=1,(SUM($H$122:S122)-SUM($H$124:R124)),0)</f>
        <v>0</v>
      </c>
      <c r="U124" s="848">
        <f>IF(U126=1,(SUM($H$122:T122)-SUM($H$124:S124)),0)</f>
        <v>9.5600000000000018E-2</v>
      </c>
      <c r="V124" s="848">
        <f>IF(V126=1,(SUM($H$122:U122)-SUM($H$124:T124)),0)</f>
        <v>0</v>
      </c>
      <c r="W124" s="848">
        <f>IF(W126=1,(SUM($H$122:V122)-SUM($H$124:U124)),0)</f>
        <v>0.10259999999999991</v>
      </c>
      <c r="X124" s="848">
        <f>IF(X126=1,(SUM($H$122:W122)-SUM($H$124:V124)),0)</f>
        <v>0</v>
      </c>
      <c r="Y124" s="848">
        <f>IF(Y126=1,(SUM($H$122:X122)-SUM($H$124:W124)),0)</f>
        <v>8.5799999999999987E-2</v>
      </c>
      <c r="Z124" s="848">
        <f>IF(Z126=1,(SUM($H$122:Y122)-SUM($H$124:X124)),0)</f>
        <v>0</v>
      </c>
      <c r="AA124" s="848">
        <f>IF(AA126=1,(SUM($H$122:Z122)-SUM($H$124:Y124)),0)</f>
        <v>0.11860000000000009</v>
      </c>
      <c r="AB124" s="848">
        <f>IF(AB126=1,(SUM($H$122:AA122)-SUM($H$124:Z124)),0)</f>
        <v>0</v>
      </c>
      <c r="AC124" s="848">
        <f>IF(AC126=1,(SUM($H$122:AB122)-SUM($H$124:AA124)),0)</f>
        <v>0.1100899999999998</v>
      </c>
      <c r="AD124" s="848">
        <f>IF(AD126=1,(SUM($H$122:AC122)-SUM($H$124:AB124)),0)</f>
        <v>0</v>
      </c>
      <c r="AE124" s="848">
        <f>IF(AE126=1,(SUM($H$122:AD122)-SUM($H$124:AC124)),0)</f>
        <v>0.10139999999999993</v>
      </c>
      <c r="AF124" s="848">
        <f>IF(AF126=1,(SUM($H$122:AE122)-SUM($H$124:AD124)),0)</f>
        <v>0</v>
      </c>
      <c r="AG124" s="848">
        <f>IF(AG126=1,(SUM($H$122:AF122)-SUM($H$124:AE124)),0)</f>
        <v>0.10560000000000014</v>
      </c>
      <c r="AH124" s="848">
        <f>IF(AH126=1,(SUM($H$122:AG122)-SUM($H$124:AF124)),0)</f>
        <v>0</v>
      </c>
      <c r="AI124" s="848">
        <f>IF(AI126=1,(SUM($H$122:AH122)-SUM($H$124:AG124)),0)</f>
        <v>4.6600000000000197E-2</v>
      </c>
      <c r="AJ124" s="848">
        <f>IF(AJ126=1,(SUM($H$122:AI122)-SUM($H$124:AH124)),0)</f>
        <v>0</v>
      </c>
      <c r="AK124" s="848">
        <f>IF(AK126=1,(SUM($H$122:AJ122)-SUM($H$124:AI124)),0)</f>
        <v>2.399999999999991E-2</v>
      </c>
      <c r="AL124" s="848">
        <f>IF(AL126=1,(SUM($H$122:AK122)-SUM($H$124:AJ124)),0)</f>
        <v>0</v>
      </c>
      <c r="AM124" s="848">
        <f>IF(AM126=1,(SUM($H$122:AL122)-SUM($H$124:AK124)),0)</f>
        <v>1.731000000000027E-2</v>
      </c>
      <c r="AN124" s="848">
        <f>IF(AN126=1,(SUM($H$122:AM122)-SUM($H$124:AL124)),0)</f>
        <v>0</v>
      </c>
      <c r="AO124" s="848">
        <f>IF(AO126=1,(SUM($H$122:AN122)-SUM($H$124:AM124)),0)</f>
        <v>0</v>
      </c>
      <c r="AP124" s="848">
        <f>IF(AP126=1,(SUM($H$122:AO122)-SUM($H$124:AN124)),0)</f>
        <v>0</v>
      </c>
      <c r="AQ124" s="848">
        <f>IF(AQ126=1,(SUM($H$122:AP122)-SUM($H$124:AO124)),0)</f>
        <v>0</v>
      </c>
      <c r="AR124" s="848">
        <f>IF(AR126=1,(SUM($H$122:AQ122)-SUM($H$124:AP124)),0)</f>
        <v>0</v>
      </c>
      <c r="AS124" s="848">
        <f>IF(AS126=1,(SUM($H$122:AR122)-SUM($H$124:AQ124)),0)</f>
        <v>0</v>
      </c>
      <c r="AT124" s="848">
        <f>IF(AT126=1,(SUM($H$122:AS122)-SUM($H$124:AR124)),0)</f>
        <v>0</v>
      </c>
      <c r="AU124" s="848">
        <f>IF(AU126=1,(SUM($H$122:AT122)-SUM($H$124:AS124)),0)</f>
        <v>0</v>
      </c>
      <c r="AV124" s="848">
        <f>IF(AV126=1,(SUM($H$122:AU122)-SUM($H$124:AT124)),0)</f>
        <v>0</v>
      </c>
      <c r="AW124" s="848">
        <f>IF(AW126=1,(SUM($H$122:AV122)-SUM($H$124:AU124)),0)</f>
        <v>0</v>
      </c>
      <c r="AX124" s="848">
        <f>IF(AX126=1,(SUM($H$122:AW122)-SUM($H$124:AV124)),0)</f>
        <v>0</v>
      </c>
      <c r="AY124" s="848">
        <f>IF(AY126=1,(SUM($H$122:AX122)-SUM($H$124:AW124)),0)</f>
        <v>0</v>
      </c>
      <c r="AZ124" s="848">
        <f>IF(AZ126=1,(SUM($H$122:AY122)-SUM($H$124:AX124)),0)</f>
        <v>0</v>
      </c>
      <c r="BA124" s="848">
        <f>IF(BA126=1,(SUM($H$122:AZ122)-SUM($H$124:AY124)),0)</f>
        <v>0</v>
      </c>
      <c r="BB124" s="848">
        <f>IF(BB126=1,(SUM($H$122:BA122)-SUM($H$124:AZ124)),0)</f>
        <v>0</v>
      </c>
      <c r="BC124" s="848">
        <f>IF(BC126=1,(SUM($H$122:BB122)-SUM($H$124:BA124)),0)</f>
        <v>0</v>
      </c>
      <c r="BD124" s="848">
        <f>IF(BD126=1,(SUM($H$122:BC122)-SUM($H$124:BB124)),0)</f>
        <v>0</v>
      </c>
      <c r="BE124" s="848">
        <f>IF(BE126=1,(SUM($H$122:BD122)-SUM($H$124:BC124)),0)</f>
        <v>0</v>
      </c>
      <c r="BF124" s="848">
        <f>IF(BF126=1,(SUM($H$122:BE122)-SUM($H$124:BD124)),0)</f>
        <v>0</v>
      </c>
      <c r="BG124" s="848">
        <f>IF(BG126=1,(SUM($H$122:BF122)-SUM($H$124:BE124)),0)</f>
        <v>0</v>
      </c>
      <c r="BH124" s="848">
        <f>IF(BH126=1,(SUM($H$122:BG122)-SUM($H$124:BF124)),0)</f>
        <v>0</v>
      </c>
      <c r="BI124" s="848">
        <f>IF(BI126=1,(SUM($H$122:BH122)-SUM($H$124:BG124)),0)</f>
        <v>0</v>
      </c>
      <c r="BJ124" s="848">
        <f>IF(BJ126=1,(SUM($H$122:BI122)-SUM($H$124:BH124)),0)</f>
        <v>0</v>
      </c>
      <c r="BK124" s="848">
        <f>IF(BK126=1,(SUM($H$122:BJ122)-SUM($H$124:BI124)),0)</f>
        <v>0</v>
      </c>
      <c r="BL124" s="848">
        <f>IF(BL126=1,(SUM($H$122:BK122)-SUM($H$124:BJ124)),0)</f>
        <v>0</v>
      </c>
      <c r="BM124" s="848">
        <f>IF(BM126=1,(SUM($H$122:BL122)-SUM($H$124:BK124)),0)</f>
        <v>0</v>
      </c>
      <c r="BN124" s="848">
        <f>IF(BN126=1,(SUM($H$122:BM122)-SUM($H$124:BL124)),0)</f>
        <v>0</v>
      </c>
      <c r="BO124" s="848">
        <f>IF(BO126=1,(SUM($H$122:BN122)-SUM($H$124:BM124)),0)</f>
        <v>0</v>
      </c>
      <c r="BP124" s="848">
        <f>IF(BP126=1,(SUM($H$122:BO122)-SUM($H$124:BN124)),0)</f>
        <v>0</v>
      </c>
      <c r="BQ124" s="848">
        <f>IF(BQ126=1,(SUM($H$122:BP122)-SUM($H$124:BO124)),0)</f>
        <v>0</v>
      </c>
      <c r="BR124" s="848">
        <f>IF(BR126=1,(SUM($H$122:BQ122)-SUM($H$124:BP124)),0)</f>
        <v>0</v>
      </c>
      <c r="BS124" s="848"/>
      <c r="BT124" s="781"/>
      <c r="BU124" s="781"/>
      <c r="BV124" s="781"/>
      <c r="BW124" s="781"/>
      <c r="BX124" s="781"/>
      <c r="BY124" s="781"/>
      <c r="BZ124" s="781"/>
      <c r="CA124" s="781"/>
      <c r="CB124" s="781"/>
      <c r="CC124" s="781"/>
      <c r="CD124" s="781"/>
      <c r="CE124" s="781"/>
      <c r="CF124" s="781"/>
      <c r="CG124" s="781"/>
      <c r="CH124" s="781"/>
      <c r="CI124" s="781"/>
      <c r="CJ124" s="781"/>
      <c r="CK124" s="781"/>
      <c r="CL124" s="781"/>
      <c r="CM124" s="781"/>
      <c r="CN124" s="781"/>
      <c r="CO124" s="781"/>
      <c r="CP124" s="781"/>
      <c r="CQ124" s="781"/>
      <c r="CR124" s="781"/>
      <c r="CS124" s="781"/>
      <c r="CT124" s="781"/>
      <c r="CU124" s="781"/>
      <c r="CV124" s="781"/>
      <c r="CW124" s="781"/>
      <c r="CX124" s="781"/>
      <c r="CY124" s="781"/>
      <c r="CZ124" s="781"/>
      <c r="DA124" s="781"/>
      <c r="DB124" s="781"/>
      <c r="DC124" s="781"/>
      <c r="DD124" s="781"/>
      <c r="DE124" s="781"/>
      <c r="DF124" s="781"/>
      <c r="DG124" s="781"/>
      <c r="DH124" s="781"/>
      <c r="DI124" s="781"/>
      <c r="DJ124" s="781"/>
      <c r="DK124" s="781"/>
      <c r="DL124" s="781"/>
      <c r="DM124" s="781"/>
      <c r="DN124" s="781"/>
      <c r="DO124" s="781"/>
      <c r="DP124" s="781"/>
    </row>
    <row r="125" spans="2:120" s="817" customFormat="1" ht="10.8">
      <c r="B125" s="817" t="s">
        <v>1193</v>
      </c>
      <c r="I125" s="848">
        <f>H125+I124</f>
        <v>0</v>
      </c>
      <c r="J125" s="848">
        <f t="shared" ref="J125:AZ125" si="142">I125+J124</f>
        <v>0</v>
      </c>
      <c r="K125" s="848">
        <f t="shared" si="142"/>
        <v>6.7999999999999988E-3</v>
      </c>
      <c r="L125" s="848">
        <f t="shared" si="142"/>
        <v>6.7999999999999988E-3</v>
      </c>
      <c r="M125" s="848">
        <f t="shared" si="142"/>
        <v>2.3599999999999996E-2</v>
      </c>
      <c r="N125" s="848">
        <f t="shared" si="142"/>
        <v>2.3599999999999996E-2</v>
      </c>
      <c r="O125" s="848">
        <f t="shared" si="142"/>
        <v>5.599999999999998E-2</v>
      </c>
      <c r="P125" s="848">
        <f t="shared" si="142"/>
        <v>5.599999999999998E-2</v>
      </c>
      <c r="Q125" s="848">
        <f t="shared" si="142"/>
        <v>0.11679999999999996</v>
      </c>
      <c r="R125" s="848">
        <f t="shared" si="142"/>
        <v>0.11679999999999996</v>
      </c>
      <c r="S125" s="848">
        <f t="shared" si="142"/>
        <v>0.19239999999999996</v>
      </c>
      <c r="T125" s="848">
        <f t="shared" si="142"/>
        <v>0.19239999999999996</v>
      </c>
      <c r="U125" s="848">
        <f t="shared" si="142"/>
        <v>0.28799999999999998</v>
      </c>
      <c r="V125" s="848">
        <f t="shared" si="142"/>
        <v>0.28799999999999998</v>
      </c>
      <c r="W125" s="848">
        <f t="shared" si="142"/>
        <v>0.39059999999999989</v>
      </c>
      <c r="X125" s="848">
        <f t="shared" si="142"/>
        <v>0.39059999999999989</v>
      </c>
      <c r="Y125" s="848">
        <f t="shared" si="142"/>
        <v>0.47639999999999988</v>
      </c>
      <c r="Z125" s="848">
        <f t="shared" si="142"/>
        <v>0.47639999999999988</v>
      </c>
      <c r="AA125" s="848">
        <f t="shared" si="142"/>
        <v>0.59499999999999997</v>
      </c>
      <c r="AB125" s="848">
        <f t="shared" si="142"/>
        <v>0.59499999999999997</v>
      </c>
      <c r="AC125" s="848">
        <f t="shared" si="142"/>
        <v>0.70508999999999977</v>
      </c>
      <c r="AD125" s="848">
        <f t="shared" si="142"/>
        <v>0.70508999999999977</v>
      </c>
      <c r="AE125" s="848">
        <f t="shared" si="142"/>
        <v>0.80648999999999971</v>
      </c>
      <c r="AF125" s="848">
        <f t="shared" si="142"/>
        <v>0.80648999999999971</v>
      </c>
      <c r="AG125" s="848">
        <f t="shared" si="142"/>
        <v>0.91208999999999985</v>
      </c>
      <c r="AH125" s="848">
        <f t="shared" si="142"/>
        <v>0.91208999999999985</v>
      </c>
      <c r="AI125" s="848">
        <f t="shared" si="142"/>
        <v>0.95869000000000004</v>
      </c>
      <c r="AJ125" s="848">
        <f t="shared" si="142"/>
        <v>0.95869000000000004</v>
      </c>
      <c r="AK125" s="848">
        <f t="shared" si="142"/>
        <v>0.98268999999999995</v>
      </c>
      <c r="AL125" s="848">
        <f t="shared" si="142"/>
        <v>0.98268999999999995</v>
      </c>
      <c r="AM125" s="848">
        <f t="shared" si="142"/>
        <v>1.0000000000000002</v>
      </c>
      <c r="AN125" s="848">
        <f t="shared" si="142"/>
        <v>1.0000000000000002</v>
      </c>
      <c r="AO125" s="848">
        <f t="shared" si="142"/>
        <v>1.0000000000000002</v>
      </c>
      <c r="AP125" s="848">
        <f t="shared" si="142"/>
        <v>1.0000000000000002</v>
      </c>
      <c r="AQ125" s="848">
        <f t="shared" si="142"/>
        <v>1.0000000000000002</v>
      </c>
      <c r="AR125" s="848">
        <f t="shared" si="142"/>
        <v>1.0000000000000002</v>
      </c>
      <c r="AS125" s="848">
        <f t="shared" si="142"/>
        <v>1.0000000000000002</v>
      </c>
      <c r="AT125" s="848">
        <f t="shared" si="142"/>
        <v>1.0000000000000002</v>
      </c>
      <c r="AU125" s="848">
        <f t="shared" si="142"/>
        <v>1.0000000000000002</v>
      </c>
      <c r="AV125" s="848">
        <f t="shared" si="142"/>
        <v>1.0000000000000002</v>
      </c>
      <c r="AW125" s="848">
        <f t="shared" si="142"/>
        <v>1.0000000000000002</v>
      </c>
      <c r="AX125" s="848">
        <f t="shared" si="142"/>
        <v>1.0000000000000002</v>
      </c>
      <c r="AY125" s="848">
        <f t="shared" si="142"/>
        <v>1.0000000000000002</v>
      </c>
      <c r="AZ125" s="848">
        <f t="shared" si="142"/>
        <v>1.0000000000000002</v>
      </c>
      <c r="BA125" s="848">
        <f t="shared" ref="BA125:BP125" si="143">AZ125+BA124</f>
        <v>1.0000000000000002</v>
      </c>
      <c r="BB125" s="848">
        <f t="shared" si="143"/>
        <v>1.0000000000000002</v>
      </c>
      <c r="BC125" s="848">
        <f t="shared" si="143"/>
        <v>1.0000000000000002</v>
      </c>
      <c r="BD125" s="848">
        <f t="shared" si="143"/>
        <v>1.0000000000000002</v>
      </c>
      <c r="BE125" s="848">
        <f t="shared" si="143"/>
        <v>1.0000000000000002</v>
      </c>
      <c r="BF125" s="848">
        <f t="shared" si="143"/>
        <v>1.0000000000000002</v>
      </c>
      <c r="BG125" s="848">
        <f t="shared" si="143"/>
        <v>1.0000000000000002</v>
      </c>
      <c r="BH125" s="848">
        <f t="shared" si="143"/>
        <v>1.0000000000000002</v>
      </c>
      <c r="BI125" s="848">
        <f t="shared" si="143"/>
        <v>1.0000000000000002</v>
      </c>
      <c r="BJ125" s="848">
        <f t="shared" si="143"/>
        <v>1.0000000000000002</v>
      </c>
      <c r="BK125" s="848">
        <f t="shared" si="143"/>
        <v>1.0000000000000002</v>
      </c>
      <c r="BL125" s="848">
        <f t="shared" si="143"/>
        <v>1.0000000000000002</v>
      </c>
      <c r="BM125" s="848">
        <f t="shared" si="143"/>
        <v>1.0000000000000002</v>
      </c>
      <c r="BN125" s="848">
        <f t="shared" si="143"/>
        <v>1.0000000000000002</v>
      </c>
      <c r="BO125" s="848">
        <f t="shared" si="143"/>
        <v>1.0000000000000002</v>
      </c>
      <c r="BP125" s="848">
        <f t="shared" si="143"/>
        <v>1.0000000000000002</v>
      </c>
      <c r="BQ125" s="848">
        <f t="shared" ref="BQ125" si="144">BP125+BQ124</f>
        <v>1.0000000000000002</v>
      </c>
      <c r="BR125" s="848">
        <f t="shared" ref="BR125" si="145">BQ125+BR124</f>
        <v>1.0000000000000002</v>
      </c>
      <c r="BS125" s="848"/>
      <c r="BT125" s="781"/>
      <c r="BU125" s="781"/>
      <c r="BV125" s="781"/>
      <c r="BW125" s="781"/>
      <c r="BX125" s="781"/>
      <c r="BY125" s="781"/>
      <c r="BZ125" s="781"/>
      <c r="CA125" s="781"/>
      <c r="CB125" s="781"/>
      <c r="CC125" s="781"/>
      <c r="CD125" s="781"/>
      <c r="CE125" s="781"/>
      <c r="CF125" s="781"/>
      <c r="CG125" s="781"/>
      <c r="CH125" s="781"/>
      <c r="CI125" s="781"/>
      <c r="CJ125" s="781"/>
      <c r="CK125" s="781"/>
      <c r="CL125" s="781"/>
      <c r="CM125" s="781"/>
      <c r="CN125" s="781"/>
      <c r="CO125" s="781"/>
      <c r="CP125" s="781"/>
      <c r="CQ125" s="781"/>
      <c r="CR125" s="781"/>
      <c r="CS125" s="781"/>
      <c r="CT125" s="781"/>
      <c r="CU125" s="781"/>
      <c r="CV125" s="781"/>
      <c r="CW125" s="781"/>
      <c r="CX125" s="781"/>
      <c r="CY125" s="781"/>
      <c r="CZ125" s="781"/>
      <c r="DA125" s="781"/>
      <c r="DB125" s="781"/>
      <c r="DC125" s="781"/>
      <c r="DD125" s="781"/>
      <c r="DE125" s="781"/>
      <c r="DF125" s="781"/>
      <c r="DG125" s="781"/>
      <c r="DH125" s="781"/>
      <c r="DI125" s="781"/>
      <c r="DJ125" s="781"/>
      <c r="DK125" s="781"/>
      <c r="DL125" s="781"/>
      <c r="DM125" s="781"/>
      <c r="DN125" s="781"/>
      <c r="DO125" s="781"/>
      <c r="DP125" s="781"/>
    </row>
    <row r="126" spans="2:120" s="817" customFormat="1" ht="10.8">
      <c r="B126" s="817" t="s">
        <v>1185</v>
      </c>
      <c r="I126" s="817">
        <f>IF($C$121=1,1,(MOD(I4,$C$121)=1)*1)</f>
        <v>1</v>
      </c>
      <c r="J126" s="817">
        <f t="shared" ref="J126:BP126" si="146">IF($C$121=1,1,(MOD(J4,$C$121)=1)*1)</f>
        <v>0</v>
      </c>
      <c r="K126" s="817">
        <f t="shared" si="146"/>
        <v>1</v>
      </c>
      <c r="L126" s="817">
        <f t="shared" si="146"/>
        <v>0</v>
      </c>
      <c r="M126" s="817">
        <f t="shared" si="146"/>
        <v>1</v>
      </c>
      <c r="N126" s="817">
        <f t="shared" si="146"/>
        <v>0</v>
      </c>
      <c r="O126" s="817">
        <f t="shared" si="146"/>
        <v>1</v>
      </c>
      <c r="P126" s="817">
        <f t="shared" si="146"/>
        <v>0</v>
      </c>
      <c r="Q126" s="817">
        <f t="shared" si="146"/>
        <v>1</v>
      </c>
      <c r="R126" s="817">
        <f t="shared" si="146"/>
        <v>0</v>
      </c>
      <c r="S126" s="817">
        <f t="shared" si="146"/>
        <v>1</v>
      </c>
      <c r="T126" s="817">
        <f t="shared" si="146"/>
        <v>0</v>
      </c>
      <c r="U126" s="817">
        <f t="shared" si="146"/>
        <v>1</v>
      </c>
      <c r="V126" s="817">
        <f t="shared" si="146"/>
        <v>0</v>
      </c>
      <c r="W126" s="817">
        <f t="shared" si="146"/>
        <v>1</v>
      </c>
      <c r="X126" s="817">
        <f t="shared" si="146"/>
        <v>0</v>
      </c>
      <c r="Y126" s="817">
        <f t="shared" si="146"/>
        <v>1</v>
      </c>
      <c r="Z126" s="817">
        <f t="shared" si="146"/>
        <v>0</v>
      </c>
      <c r="AA126" s="817">
        <f t="shared" si="146"/>
        <v>1</v>
      </c>
      <c r="AB126" s="817">
        <f t="shared" si="146"/>
        <v>0</v>
      </c>
      <c r="AC126" s="817">
        <f t="shared" si="146"/>
        <v>1</v>
      </c>
      <c r="AD126" s="817">
        <f t="shared" si="146"/>
        <v>0</v>
      </c>
      <c r="AE126" s="817">
        <f t="shared" si="146"/>
        <v>1</v>
      </c>
      <c r="AF126" s="817">
        <f t="shared" si="146"/>
        <v>0</v>
      </c>
      <c r="AG126" s="817">
        <f t="shared" si="146"/>
        <v>1</v>
      </c>
      <c r="AH126" s="817">
        <f t="shared" si="146"/>
        <v>0</v>
      </c>
      <c r="AI126" s="817">
        <f t="shared" si="146"/>
        <v>1</v>
      </c>
      <c r="AJ126" s="817">
        <f t="shared" si="146"/>
        <v>0</v>
      </c>
      <c r="AK126" s="817">
        <f t="shared" si="146"/>
        <v>1</v>
      </c>
      <c r="AL126" s="817">
        <f t="shared" si="146"/>
        <v>0</v>
      </c>
      <c r="AM126" s="817">
        <f t="shared" si="146"/>
        <v>1</v>
      </c>
      <c r="AN126" s="817">
        <f t="shared" si="146"/>
        <v>0</v>
      </c>
      <c r="AO126" s="817">
        <f t="shared" si="146"/>
        <v>1</v>
      </c>
      <c r="AP126" s="817">
        <f t="shared" si="146"/>
        <v>0</v>
      </c>
      <c r="AQ126" s="817">
        <f t="shared" si="146"/>
        <v>1</v>
      </c>
      <c r="AR126" s="817">
        <f t="shared" si="146"/>
        <v>0</v>
      </c>
      <c r="AS126" s="817">
        <f t="shared" si="146"/>
        <v>1</v>
      </c>
      <c r="AT126" s="817">
        <f t="shared" si="146"/>
        <v>0</v>
      </c>
      <c r="AU126" s="817">
        <f t="shared" si="146"/>
        <v>1</v>
      </c>
      <c r="AV126" s="817">
        <f t="shared" si="146"/>
        <v>0</v>
      </c>
      <c r="AW126" s="817">
        <f t="shared" si="146"/>
        <v>1</v>
      </c>
      <c r="AX126" s="817">
        <f t="shared" si="146"/>
        <v>0</v>
      </c>
      <c r="AY126" s="817">
        <f t="shared" si="146"/>
        <v>1</v>
      </c>
      <c r="AZ126" s="817">
        <f t="shared" si="146"/>
        <v>0</v>
      </c>
      <c r="BA126" s="817">
        <f t="shared" si="146"/>
        <v>1</v>
      </c>
      <c r="BB126" s="817">
        <f t="shared" si="146"/>
        <v>0</v>
      </c>
      <c r="BC126" s="817">
        <f t="shared" si="146"/>
        <v>1</v>
      </c>
      <c r="BD126" s="817">
        <f t="shared" si="146"/>
        <v>0</v>
      </c>
      <c r="BE126" s="817">
        <f t="shared" si="146"/>
        <v>1</v>
      </c>
      <c r="BF126" s="817">
        <f t="shared" si="146"/>
        <v>0</v>
      </c>
      <c r="BG126" s="817">
        <f t="shared" si="146"/>
        <v>1</v>
      </c>
      <c r="BH126" s="817">
        <f t="shared" si="146"/>
        <v>0</v>
      </c>
      <c r="BI126" s="817">
        <f t="shared" si="146"/>
        <v>1</v>
      </c>
      <c r="BJ126" s="817">
        <f t="shared" si="146"/>
        <v>0</v>
      </c>
      <c r="BK126" s="817">
        <f t="shared" si="146"/>
        <v>1</v>
      </c>
      <c r="BL126" s="817">
        <f t="shared" si="146"/>
        <v>0</v>
      </c>
      <c r="BM126" s="817">
        <f t="shared" si="146"/>
        <v>1</v>
      </c>
      <c r="BN126" s="817">
        <f t="shared" si="146"/>
        <v>0</v>
      </c>
      <c r="BO126" s="817">
        <f t="shared" si="146"/>
        <v>1</v>
      </c>
      <c r="BP126" s="817">
        <f t="shared" si="146"/>
        <v>0</v>
      </c>
      <c r="BQ126" s="817">
        <f t="shared" ref="BQ126:BR126" si="147">IF($C$121=1,1,(MOD(BQ4,$C$121)=1)*1)</f>
        <v>1</v>
      </c>
      <c r="BR126" s="817">
        <f t="shared" si="147"/>
        <v>0</v>
      </c>
      <c r="BT126" s="781"/>
      <c r="BU126" s="781"/>
      <c r="BV126" s="781"/>
      <c r="BW126" s="781"/>
      <c r="BX126" s="781"/>
      <c r="BY126" s="781"/>
      <c r="BZ126" s="781"/>
      <c r="CA126" s="781"/>
      <c r="CB126" s="781"/>
      <c r="CC126" s="781"/>
      <c r="CD126" s="781"/>
      <c r="CE126" s="781"/>
      <c r="CF126" s="781"/>
      <c r="CG126" s="781"/>
      <c r="CH126" s="781"/>
      <c r="CI126" s="781"/>
      <c r="CJ126" s="781"/>
      <c r="CK126" s="781"/>
      <c r="CL126" s="781"/>
      <c r="CM126" s="781"/>
      <c r="CN126" s="781"/>
      <c r="CO126" s="781"/>
      <c r="CP126" s="781"/>
      <c r="CQ126" s="781"/>
      <c r="CR126" s="781"/>
      <c r="CS126" s="781"/>
      <c r="CT126" s="781"/>
      <c r="CU126" s="781"/>
      <c r="CV126" s="781"/>
      <c r="CW126" s="781"/>
      <c r="CX126" s="781"/>
      <c r="CY126" s="781"/>
      <c r="CZ126" s="781"/>
      <c r="DA126" s="781"/>
      <c r="DB126" s="781"/>
      <c r="DC126" s="781"/>
      <c r="DD126" s="781"/>
      <c r="DE126" s="781"/>
      <c r="DF126" s="781"/>
      <c r="DG126" s="781"/>
      <c r="DH126" s="781"/>
      <c r="DI126" s="781"/>
      <c r="DJ126" s="781"/>
      <c r="DK126" s="781"/>
      <c r="DL126" s="781"/>
      <c r="DM126" s="781"/>
      <c r="DN126" s="781"/>
      <c r="DO126" s="781"/>
      <c r="DP126" s="781"/>
    </row>
    <row r="127" spans="2:120" s="817" customFormat="1" ht="10.8">
      <c r="B127" s="817" t="s">
        <v>1186</v>
      </c>
      <c r="I127" s="817">
        <f>IF($C$148&lt;I123,2,0)</f>
        <v>0</v>
      </c>
      <c r="J127" s="817">
        <f t="shared" ref="J127:BP127" si="148">IF($C$148&lt;J123,2,0)</f>
        <v>0</v>
      </c>
      <c r="K127" s="817">
        <f t="shared" si="148"/>
        <v>0</v>
      </c>
      <c r="L127" s="817">
        <f t="shared" si="148"/>
        <v>0</v>
      </c>
      <c r="M127" s="817">
        <f t="shared" si="148"/>
        <v>0</v>
      </c>
      <c r="N127" s="817">
        <f t="shared" si="148"/>
        <v>0</v>
      </c>
      <c r="O127" s="817">
        <f t="shared" si="148"/>
        <v>0</v>
      </c>
      <c r="P127" s="817">
        <f t="shared" si="148"/>
        <v>0</v>
      </c>
      <c r="Q127" s="817">
        <f t="shared" si="148"/>
        <v>0</v>
      </c>
      <c r="R127" s="817">
        <f t="shared" si="148"/>
        <v>0</v>
      </c>
      <c r="S127" s="817">
        <f t="shared" si="148"/>
        <v>0</v>
      </c>
      <c r="T127" s="817">
        <f t="shared" si="148"/>
        <v>0</v>
      </c>
      <c r="U127" s="817">
        <f t="shared" si="148"/>
        <v>0</v>
      </c>
      <c r="V127" s="817">
        <f t="shared" si="148"/>
        <v>0</v>
      </c>
      <c r="W127" s="817">
        <f t="shared" si="148"/>
        <v>0</v>
      </c>
      <c r="X127" s="817">
        <f t="shared" si="148"/>
        <v>0</v>
      </c>
      <c r="Y127" s="817">
        <f t="shared" si="148"/>
        <v>0</v>
      </c>
      <c r="Z127" s="817">
        <f t="shared" si="148"/>
        <v>0</v>
      </c>
      <c r="AA127" s="817">
        <f t="shared" si="148"/>
        <v>0</v>
      </c>
      <c r="AB127" s="817">
        <f t="shared" si="148"/>
        <v>0</v>
      </c>
      <c r="AC127" s="817">
        <f t="shared" si="148"/>
        <v>0</v>
      </c>
      <c r="AD127" s="817">
        <f t="shared" si="148"/>
        <v>0</v>
      </c>
      <c r="AE127" s="817">
        <f t="shared" si="148"/>
        <v>0</v>
      </c>
      <c r="AF127" s="817">
        <f t="shared" si="148"/>
        <v>2</v>
      </c>
      <c r="AG127" s="817">
        <f t="shared" si="148"/>
        <v>2</v>
      </c>
      <c r="AH127" s="817">
        <f t="shared" si="148"/>
        <v>2</v>
      </c>
      <c r="AI127" s="817">
        <f t="shared" si="148"/>
        <v>2</v>
      </c>
      <c r="AJ127" s="817">
        <f t="shared" si="148"/>
        <v>2</v>
      </c>
      <c r="AK127" s="817">
        <f t="shared" si="148"/>
        <v>2</v>
      </c>
      <c r="AL127" s="817">
        <f t="shared" si="148"/>
        <v>2</v>
      </c>
      <c r="AM127" s="817">
        <f t="shared" si="148"/>
        <v>2</v>
      </c>
      <c r="AN127" s="817">
        <f t="shared" si="148"/>
        <v>2</v>
      </c>
      <c r="AO127" s="817">
        <f t="shared" si="148"/>
        <v>2</v>
      </c>
      <c r="AP127" s="817">
        <f t="shared" si="148"/>
        <v>2</v>
      </c>
      <c r="AQ127" s="817">
        <f t="shared" si="148"/>
        <v>2</v>
      </c>
      <c r="AR127" s="817">
        <f t="shared" si="148"/>
        <v>2</v>
      </c>
      <c r="AS127" s="817">
        <f t="shared" si="148"/>
        <v>2</v>
      </c>
      <c r="AT127" s="817">
        <f t="shared" si="148"/>
        <v>2</v>
      </c>
      <c r="AU127" s="817">
        <f t="shared" si="148"/>
        <v>2</v>
      </c>
      <c r="AV127" s="817">
        <f t="shared" si="148"/>
        <v>2</v>
      </c>
      <c r="AW127" s="817">
        <f t="shared" si="148"/>
        <v>2</v>
      </c>
      <c r="AX127" s="817">
        <f t="shared" si="148"/>
        <v>2</v>
      </c>
      <c r="AY127" s="817">
        <f t="shared" si="148"/>
        <v>2</v>
      </c>
      <c r="AZ127" s="817">
        <f t="shared" si="148"/>
        <v>2</v>
      </c>
      <c r="BA127" s="817">
        <f t="shared" si="148"/>
        <v>2</v>
      </c>
      <c r="BB127" s="817">
        <f t="shared" si="148"/>
        <v>2</v>
      </c>
      <c r="BC127" s="817">
        <f t="shared" si="148"/>
        <v>2</v>
      </c>
      <c r="BD127" s="817">
        <f t="shared" si="148"/>
        <v>2</v>
      </c>
      <c r="BE127" s="817">
        <f t="shared" si="148"/>
        <v>2</v>
      </c>
      <c r="BF127" s="817">
        <f t="shared" si="148"/>
        <v>2</v>
      </c>
      <c r="BG127" s="817">
        <f t="shared" si="148"/>
        <v>2</v>
      </c>
      <c r="BH127" s="817">
        <f t="shared" si="148"/>
        <v>2</v>
      </c>
      <c r="BI127" s="817">
        <f t="shared" si="148"/>
        <v>2</v>
      </c>
      <c r="BJ127" s="817">
        <f t="shared" si="148"/>
        <v>2</v>
      </c>
      <c r="BK127" s="817">
        <f t="shared" si="148"/>
        <v>2</v>
      </c>
      <c r="BL127" s="817">
        <f t="shared" si="148"/>
        <v>2</v>
      </c>
      <c r="BM127" s="817">
        <f t="shared" si="148"/>
        <v>2</v>
      </c>
      <c r="BN127" s="817">
        <f t="shared" si="148"/>
        <v>2</v>
      </c>
      <c r="BO127" s="817">
        <f t="shared" si="148"/>
        <v>2</v>
      </c>
      <c r="BP127" s="817">
        <f t="shared" si="148"/>
        <v>2</v>
      </c>
      <c r="BQ127" s="817">
        <f t="shared" ref="BQ127:BR127" si="149">IF($C$148&lt;BQ123,2,0)</f>
        <v>2</v>
      </c>
      <c r="BR127" s="817">
        <f t="shared" si="149"/>
        <v>2</v>
      </c>
      <c r="BT127" s="781"/>
      <c r="BU127" s="781"/>
      <c r="BV127" s="781"/>
      <c r="BW127" s="781"/>
      <c r="BX127" s="781"/>
      <c r="BY127" s="781"/>
      <c r="BZ127" s="781"/>
      <c r="CA127" s="781"/>
      <c r="CB127" s="781"/>
      <c r="CC127" s="781"/>
      <c r="CD127" s="781"/>
      <c r="CE127" s="781"/>
      <c r="CF127" s="781"/>
      <c r="CG127" s="781"/>
      <c r="CH127" s="781"/>
      <c r="CI127" s="781"/>
      <c r="CJ127" s="781"/>
      <c r="CK127" s="781"/>
      <c r="CL127" s="781"/>
      <c r="CM127" s="781"/>
      <c r="CN127" s="781"/>
      <c r="CO127" s="781"/>
      <c r="CP127" s="781"/>
      <c r="CQ127" s="781"/>
      <c r="CR127" s="781"/>
      <c r="CS127" s="781"/>
      <c r="CT127" s="781"/>
      <c r="CU127" s="781"/>
      <c r="CV127" s="781"/>
      <c r="CW127" s="781"/>
      <c r="CX127" s="781"/>
      <c r="CY127" s="781"/>
      <c r="CZ127" s="781"/>
      <c r="DA127" s="781"/>
      <c r="DB127" s="781"/>
      <c r="DC127" s="781"/>
      <c r="DD127" s="781"/>
      <c r="DE127" s="781"/>
      <c r="DF127" s="781"/>
      <c r="DG127" s="781"/>
      <c r="DH127" s="781"/>
      <c r="DI127" s="781"/>
      <c r="DJ127" s="781"/>
      <c r="DK127" s="781"/>
      <c r="DL127" s="781"/>
      <c r="DM127" s="781"/>
      <c r="DN127" s="781"/>
      <c r="DO127" s="781"/>
      <c r="DP127" s="781"/>
    </row>
    <row r="128" spans="2:120" s="817" customFormat="1" ht="10.8">
      <c r="B128" s="817" t="s">
        <v>1188</v>
      </c>
      <c r="I128" s="849">
        <f>$C$148-H130</f>
        <v>0.9</v>
      </c>
      <c r="J128" s="849">
        <f t="shared" ref="J128:BP128" si="150">$C$148-I130</f>
        <v>0.9</v>
      </c>
      <c r="K128" s="849">
        <f t="shared" si="150"/>
        <v>0.9</v>
      </c>
      <c r="L128" s="849">
        <f t="shared" si="150"/>
        <v>0.89319999999999999</v>
      </c>
      <c r="M128" s="849">
        <f t="shared" si="150"/>
        <v>0.89319999999999999</v>
      </c>
      <c r="N128" s="849">
        <f t="shared" si="150"/>
        <v>0.87640000000000007</v>
      </c>
      <c r="O128" s="849">
        <f t="shared" si="150"/>
        <v>0.87640000000000007</v>
      </c>
      <c r="P128" s="849">
        <f t="shared" si="150"/>
        <v>0.84400000000000008</v>
      </c>
      <c r="Q128" s="849">
        <f t="shared" si="150"/>
        <v>0.84400000000000008</v>
      </c>
      <c r="R128" s="849">
        <f t="shared" si="150"/>
        <v>0.78320000000000012</v>
      </c>
      <c r="S128" s="849">
        <f t="shared" si="150"/>
        <v>0.78320000000000012</v>
      </c>
      <c r="T128" s="849">
        <f t="shared" si="150"/>
        <v>0.70760000000000001</v>
      </c>
      <c r="U128" s="849">
        <f t="shared" si="150"/>
        <v>0.70760000000000001</v>
      </c>
      <c r="V128" s="849">
        <f t="shared" si="150"/>
        <v>0.6120000000000001</v>
      </c>
      <c r="W128" s="849">
        <f t="shared" si="150"/>
        <v>0.6120000000000001</v>
      </c>
      <c r="X128" s="849">
        <f t="shared" si="150"/>
        <v>0.50940000000000007</v>
      </c>
      <c r="Y128" s="849">
        <f t="shared" si="150"/>
        <v>0.50940000000000007</v>
      </c>
      <c r="Z128" s="849">
        <f t="shared" si="150"/>
        <v>0.42360000000000014</v>
      </c>
      <c r="AA128" s="849">
        <f t="shared" si="150"/>
        <v>0.42360000000000014</v>
      </c>
      <c r="AB128" s="849">
        <f t="shared" si="150"/>
        <v>0.30500000000000005</v>
      </c>
      <c r="AC128" s="849">
        <f t="shared" si="150"/>
        <v>0.30500000000000005</v>
      </c>
      <c r="AD128" s="849">
        <f t="shared" si="150"/>
        <v>0.19491000000000025</v>
      </c>
      <c r="AE128" s="849">
        <f t="shared" si="150"/>
        <v>0.19491000000000025</v>
      </c>
      <c r="AF128" s="849">
        <f t="shared" si="150"/>
        <v>9.3510000000000315E-2</v>
      </c>
      <c r="AG128" s="849">
        <f t="shared" si="150"/>
        <v>9.3510000000000315E-2</v>
      </c>
      <c r="AH128" s="849">
        <f t="shared" si="150"/>
        <v>0</v>
      </c>
      <c r="AI128" s="849">
        <f t="shared" si="150"/>
        <v>0</v>
      </c>
      <c r="AJ128" s="849">
        <f t="shared" si="150"/>
        <v>0</v>
      </c>
      <c r="AK128" s="849">
        <f t="shared" si="150"/>
        <v>0</v>
      </c>
      <c r="AL128" s="849">
        <f t="shared" si="150"/>
        <v>0</v>
      </c>
      <c r="AM128" s="849">
        <f t="shared" si="150"/>
        <v>0</v>
      </c>
      <c r="AN128" s="849">
        <f t="shared" si="150"/>
        <v>0</v>
      </c>
      <c r="AO128" s="849">
        <f t="shared" si="150"/>
        <v>0</v>
      </c>
      <c r="AP128" s="849">
        <f t="shared" si="150"/>
        <v>0</v>
      </c>
      <c r="AQ128" s="849">
        <f t="shared" si="150"/>
        <v>0</v>
      </c>
      <c r="AR128" s="849">
        <f t="shared" si="150"/>
        <v>0</v>
      </c>
      <c r="AS128" s="849">
        <f t="shared" si="150"/>
        <v>0</v>
      </c>
      <c r="AT128" s="849">
        <f t="shared" si="150"/>
        <v>0</v>
      </c>
      <c r="AU128" s="849">
        <f t="shared" si="150"/>
        <v>0</v>
      </c>
      <c r="AV128" s="849">
        <f t="shared" si="150"/>
        <v>0</v>
      </c>
      <c r="AW128" s="849">
        <f t="shared" si="150"/>
        <v>0</v>
      </c>
      <c r="AX128" s="849">
        <f t="shared" si="150"/>
        <v>0</v>
      </c>
      <c r="AY128" s="849">
        <f t="shared" si="150"/>
        <v>0</v>
      </c>
      <c r="AZ128" s="849">
        <f t="shared" si="150"/>
        <v>0</v>
      </c>
      <c r="BA128" s="849">
        <f t="shared" si="150"/>
        <v>0</v>
      </c>
      <c r="BB128" s="849">
        <f t="shared" si="150"/>
        <v>0</v>
      </c>
      <c r="BC128" s="849">
        <f t="shared" si="150"/>
        <v>0</v>
      </c>
      <c r="BD128" s="849">
        <f t="shared" si="150"/>
        <v>0</v>
      </c>
      <c r="BE128" s="849">
        <f t="shared" si="150"/>
        <v>0</v>
      </c>
      <c r="BF128" s="849">
        <f t="shared" si="150"/>
        <v>0</v>
      </c>
      <c r="BG128" s="849">
        <f t="shared" si="150"/>
        <v>0</v>
      </c>
      <c r="BH128" s="849">
        <f t="shared" si="150"/>
        <v>0</v>
      </c>
      <c r="BI128" s="849">
        <f t="shared" si="150"/>
        <v>0</v>
      </c>
      <c r="BJ128" s="849">
        <f t="shared" si="150"/>
        <v>0</v>
      </c>
      <c r="BK128" s="849">
        <f t="shared" si="150"/>
        <v>0</v>
      </c>
      <c r="BL128" s="849">
        <f t="shared" si="150"/>
        <v>0</v>
      </c>
      <c r="BM128" s="849">
        <f t="shared" si="150"/>
        <v>0</v>
      </c>
      <c r="BN128" s="849">
        <f t="shared" si="150"/>
        <v>0</v>
      </c>
      <c r="BO128" s="849">
        <f t="shared" si="150"/>
        <v>0</v>
      </c>
      <c r="BP128" s="849">
        <f t="shared" si="150"/>
        <v>0</v>
      </c>
      <c r="BQ128" s="849">
        <f t="shared" ref="BQ128" si="151">$C$148-BP130</f>
        <v>0</v>
      </c>
      <c r="BR128" s="849">
        <f t="shared" ref="BR128" si="152">$C$148-BQ130</f>
        <v>0</v>
      </c>
      <c r="BS128" s="849"/>
      <c r="BT128" s="781"/>
      <c r="BU128" s="781"/>
      <c r="BV128" s="781"/>
      <c r="BW128" s="781"/>
      <c r="BX128" s="781"/>
      <c r="BY128" s="781"/>
      <c r="BZ128" s="781"/>
      <c r="CA128" s="781"/>
      <c r="CB128" s="781"/>
      <c r="CC128" s="781"/>
      <c r="CD128" s="781"/>
      <c r="CE128" s="781"/>
      <c r="CF128" s="781"/>
      <c r="CG128" s="781"/>
      <c r="CH128" s="781"/>
      <c r="CI128" s="781"/>
      <c r="CJ128" s="781"/>
      <c r="CK128" s="781"/>
      <c r="CL128" s="781"/>
      <c r="CM128" s="781"/>
      <c r="CN128" s="781"/>
      <c r="CO128" s="781"/>
      <c r="CP128" s="781"/>
      <c r="CQ128" s="781"/>
      <c r="CR128" s="781"/>
      <c r="CS128" s="781"/>
      <c r="CT128" s="781"/>
      <c r="CU128" s="781"/>
      <c r="CV128" s="781"/>
      <c r="CW128" s="781"/>
      <c r="CX128" s="781"/>
      <c r="CY128" s="781"/>
      <c r="CZ128" s="781"/>
      <c r="DA128" s="781"/>
      <c r="DB128" s="781"/>
      <c r="DC128" s="781"/>
      <c r="DD128" s="781"/>
      <c r="DE128" s="781"/>
      <c r="DF128" s="781"/>
      <c r="DG128" s="781"/>
      <c r="DH128" s="781"/>
      <c r="DI128" s="781"/>
      <c r="DJ128" s="781"/>
      <c r="DK128" s="781"/>
      <c r="DL128" s="781"/>
      <c r="DM128" s="781"/>
      <c r="DN128" s="781"/>
      <c r="DO128" s="781"/>
      <c r="DP128" s="781"/>
    </row>
    <row r="129" spans="2:120" s="817" customFormat="1" ht="10.8">
      <c r="B129" s="817" t="s">
        <v>1190</v>
      </c>
      <c r="D129" s="843">
        <f>SUM(I129:BP129)</f>
        <v>0.9</v>
      </c>
      <c r="I129" s="848">
        <f>C150</f>
        <v>0</v>
      </c>
      <c r="J129" s="848">
        <f>IF((J126+J127)=1,J124,IF((J126+J127)=3,J128,0))*(1-$C$150)</f>
        <v>0</v>
      </c>
      <c r="K129" s="848">
        <f t="shared" ref="K129:BP129" si="153">IF((K126+K127)=1,K124,IF((K126+K127)=3,K128,0))*(1-$C$150)</f>
        <v>6.7999999999999988E-3</v>
      </c>
      <c r="L129" s="848">
        <f t="shared" si="153"/>
        <v>0</v>
      </c>
      <c r="M129" s="848">
        <f t="shared" si="153"/>
        <v>1.6799999999999995E-2</v>
      </c>
      <c r="N129" s="848">
        <f t="shared" si="153"/>
        <v>0</v>
      </c>
      <c r="O129" s="848">
        <f t="shared" si="153"/>
        <v>3.2399999999999984E-2</v>
      </c>
      <c r="P129" s="848">
        <f t="shared" si="153"/>
        <v>0</v>
      </c>
      <c r="Q129" s="848">
        <f t="shared" si="153"/>
        <v>6.0799999999999979E-2</v>
      </c>
      <c r="R129" s="848">
        <f t="shared" si="153"/>
        <v>0</v>
      </c>
      <c r="S129" s="848">
        <f t="shared" si="153"/>
        <v>7.5600000000000001E-2</v>
      </c>
      <c r="T129" s="848">
        <f t="shared" si="153"/>
        <v>0</v>
      </c>
      <c r="U129" s="848">
        <f t="shared" si="153"/>
        <v>9.5600000000000018E-2</v>
      </c>
      <c r="V129" s="848">
        <f t="shared" si="153"/>
        <v>0</v>
      </c>
      <c r="W129" s="848">
        <f t="shared" si="153"/>
        <v>0.10259999999999991</v>
      </c>
      <c r="X129" s="848">
        <f t="shared" si="153"/>
        <v>0</v>
      </c>
      <c r="Y129" s="848">
        <f t="shared" si="153"/>
        <v>8.5799999999999987E-2</v>
      </c>
      <c r="Z129" s="848">
        <f t="shared" si="153"/>
        <v>0</v>
      </c>
      <c r="AA129" s="848">
        <f t="shared" si="153"/>
        <v>0.11860000000000009</v>
      </c>
      <c r="AB129" s="848">
        <f t="shared" si="153"/>
        <v>0</v>
      </c>
      <c r="AC129" s="848">
        <f t="shared" si="153"/>
        <v>0.1100899999999998</v>
      </c>
      <c r="AD129" s="848">
        <f t="shared" si="153"/>
        <v>0</v>
      </c>
      <c r="AE129" s="848">
        <f t="shared" si="153"/>
        <v>0.10139999999999993</v>
      </c>
      <c r="AF129" s="848">
        <f t="shared" si="153"/>
        <v>0</v>
      </c>
      <c r="AG129" s="848">
        <f t="shared" si="153"/>
        <v>9.3510000000000315E-2</v>
      </c>
      <c r="AH129" s="848">
        <f t="shared" si="153"/>
        <v>0</v>
      </c>
      <c r="AI129" s="848">
        <f t="shared" si="153"/>
        <v>0</v>
      </c>
      <c r="AJ129" s="848">
        <f t="shared" si="153"/>
        <v>0</v>
      </c>
      <c r="AK129" s="848">
        <f t="shared" si="153"/>
        <v>0</v>
      </c>
      <c r="AL129" s="848">
        <f t="shared" si="153"/>
        <v>0</v>
      </c>
      <c r="AM129" s="848">
        <f t="shared" si="153"/>
        <v>0</v>
      </c>
      <c r="AN129" s="848">
        <f t="shared" si="153"/>
        <v>0</v>
      </c>
      <c r="AO129" s="848">
        <f t="shared" si="153"/>
        <v>0</v>
      </c>
      <c r="AP129" s="848">
        <f t="shared" si="153"/>
        <v>0</v>
      </c>
      <c r="AQ129" s="848">
        <f t="shared" si="153"/>
        <v>0</v>
      </c>
      <c r="AR129" s="848">
        <f t="shared" si="153"/>
        <v>0</v>
      </c>
      <c r="AS129" s="848">
        <f t="shared" si="153"/>
        <v>0</v>
      </c>
      <c r="AT129" s="848">
        <f t="shared" si="153"/>
        <v>0</v>
      </c>
      <c r="AU129" s="848">
        <f t="shared" si="153"/>
        <v>0</v>
      </c>
      <c r="AV129" s="848">
        <f t="shared" si="153"/>
        <v>0</v>
      </c>
      <c r="AW129" s="848">
        <f t="shared" si="153"/>
        <v>0</v>
      </c>
      <c r="AX129" s="848">
        <f t="shared" si="153"/>
        <v>0</v>
      </c>
      <c r="AY129" s="848">
        <f t="shared" si="153"/>
        <v>0</v>
      </c>
      <c r="AZ129" s="848">
        <f t="shared" si="153"/>
        <v>0</v>
      </c>
      <c r="BA129" s="848">
        <f t="shared" si="153"/>
        <v>0</v>
      </c>
      <c r="BB129" s="848">
        <f t="shared" si="153"/>
        <v>0</v>
      </c>
      <c r="BC129" s="848">
        <f t="shared" si="153"/>
        <v>0</v>
      </c>
      <c r="BD129" s="848">
        <f t="shared" si="153"/>
        <v>0</v>
      </c>
      <c r="BE129" s="848">
        <f t="shared" si="153"/>
        <v>0</v>
      </c>
      <c r="BF129" s="848">
        <f t="shared" si="153"/>
        <v>0</v>
      </c>
      <c r="BG129" s="848">
        <f t="shared" si="153"/>
        <v>0</v>
      </c>
      <c r="BH129" s="848">
        <f t="shared" si="153"/>
        <v>0</v>
      </c>
      <c r="BI129" s="848">
        <f t="shared" si="153"/>
        <v>0</v>
      </c>
      <c r="BJ129" s="848">
        <f t="shared" si="153"/>
        <v>0</v>
      </c>
      <c r="BK129" s="848">
        <f t="shared" si="153"/>
        <v>0</v>
      </c>
      <c r="BL129" s="848">
        <f t="shared" si="153"/>
        <v>0</v>
      </c>
      <c r="BM129" s="848">
        <f t="shared" si="153"/>
        <v>0</v>
      </c>
      <c r="BN129" s="848">
        <f t="shared" si="153"/>
        <v>0</v>
      </c>
      <c r="BO129" s="848">
        <f t="shared" si="153"/>
        <v>0</v>
      </c>
      <c r="BP129" s="848">
        <f t="shared" si="153"/>
        <v>0</v>
      </c>
      <c r="BQ129" s="848">
        <f t="shared" ref="BQ129:BR129" si="154">IF((BQ126+BQ127)=1,BQ124,IF((BQ126+BQ127)=3,BQ128,0))*(1-$C$150)</f>
        <v>0</v>
      </c>
      <c r="BR129" s="848">
        <f t="shared" si="154"/>
        <v>0</v>
      </c>
      <c r="BS129" s="848">
        <f>1-BR130</f>
        <v>9.9999999999999978E-2</v>
      </c>
      <c r="BT129" s="781"/>
      <c r="BU129" s="781"/>
      <c r="BV129" s="781"/>
      <c r="BW129" s="781"/>
      <c r="BX129" s="781"/>
      <c r="BY129" s="781"/>
      <c r="BZ129" s="781"/>
      <c r="CA129" s="781"/>
      <c r="CB129" s="781"/>
      <c r="CC129" s="781"/>
      <c r="CD129" s="781"/>
      <c r="CE129" s="781"/>
      <c r="CF129" s="781"/>
      <c r="CG129" s="781"/>
      <c r="CH129" s="781"/>
      <c r="CI129" s="781"/>
      <c r="CJ129" s="781"/>
      <c r="CK129" s="781"/>
      <c r="CL129" s="781"/>
      <c r="CM129" s="781"/>
      <c r="CN129" s="781"/>
      <c r="CO129" s="781"/>
      <c r="CP129" s="781"/>
      <c r="CQ129" s="781"/>
      <c r="CR129" s="781"/>
      <c r="CS129" s="781"/>
      <c r="CT129" s="781"/>
      <c r="CU129" s="781"/>
      <c r="CV129" s="781"/>
      <c r="CW129" s="781"/>
      <c r="CX129" s="781"/>
      <c r="CY129" s="781"/>
      <c r="CZ129" s="781"/>
      <c r="DA129" s="781"/>
      <c r="DB129" s="781"/>
      <c r="DC129" s="781"/>
      <c r="DD129" s="781"/>
      <c r="DE129" s="781"/>
      <c r="DF129" s="781"/>
      <c r="DG129" s="781"/>
      <c r="DH129" s="781"/>
      <c r="DI129" s="781"/>
      <c r="DJ129" s="781"/>
      <c r="DK129" s="781"/>
      <c r="DL129" s="781"/>
      <c r="DM129" s="781"/>
      <c r="DN129" s="781"/>
      <c r="DO129" s="781"/>
      <c r="DP129" s="781"/>
    </row>
    <row r="130" spans="2:120" s="817" customFormat="1" ht="10.8">
      <c r="B130" s="817" t="s">
        <v>1191</v>
      </c>
      <c r="I130" s="849">
        <f>H130+I129</f>
        <v>0</v>
      </c>
      <c r="J130" s="849">
        <f t="shared" ref="J130:AZ130" si="155">I130+J129</f>
        <v>0</v>
      </c>
      <c r="K130" s="849">
        <f t="shared" si="155"/>
        <v>6.7999999999999988E-3</v>
      </c>
      <c r="L130" s="849">
        <f t="shared" si="155"/>
        <v>6.7999999999999988E-3</v>
      </c>
      <c r="M130" s="849">
        <f t="shared" si="155"/>
        <v>2.3599999999999996E-2</v>
      </c>
      <c r="N130" s="849">
        <f t="shared" si="155"/>
        <v>2.3599999999999996E-2</v>
      </c>
      <c r="O130" s="849">
        <f t="shared" si="155"/>
        <v>5.599999999999998E-2</v>
      </c>
      <c r="P130" s="849">
        <f t="shared" si="155"/>
        <v>5.599999999999998E-2</v>
      </c>
      <c r="Q130" s="849">
        <f t="shared" si="155"/>
        <v>0.11679999999999996</v>
      </c>
      <c r="R130" s="849">
        <f t="shared" si="155"/>
        <v>0.11679999999999996</v>
      </c>
      <c r="S130" s="849">
        <f t="shared" si="155"/>
        <v>0.19239999999999996</v>
      </c>
      <c r="T130" s="849">
        <f t="shared" si="155"/>
        <v>0.19239999999999996</v>
      </c>
      <c r="U130" s="849">
        <f t="shared" si="155"/>
        <v>0.28799999999999998</v>
      </c>
      <c r="V130" s="849">
        <f t="shared" si="155"/>
        <v>0.28799999999999998</v>
      </c>
      <c r="W130" s="849">
        <f t="shared" si="155"/>
        <v>0.39059999999999989</v>
      </c>
      <c r="X130" s="849">
        <f t="shared" si="155"/>
        <v>0.39059999999999989</v>
      </c>
      <c r="Y130" s="849">
        <f t="shared" si="155"/>
        <v>0.47639999999999988</v>
      </c>
      <c r="Z130" s="849">
        <f t="shared" si="155"/>
        <v>0.47639999999999988</v>
      </c>
      <c r="AA130" s="849">
        <f t="shared" si="155"/>
        <v>0.59499999999999997</v>
      </c>
      <c r="AB130" s="849">
        <f t="shared" si="155"/>
        <v>0.59499999999999997</v>
      </c>
      <c r="AC130" s="849">
        <f t="shared" si="155"/>
        <v>0.70508999999999977</v>
      </c>
      <c r="AD130" s="849">
        <f t="shared" si="155"/>
        <v>0.70508999999999977</v>
      </c>
      <c r="AE130" s="849">
        <f t="shared" si="155"/>
        <v>0.80648999999999971</v>
      </c>
      <c r="AF130" s="849">
        <f t="shared" si="155"/>
        <v>0.80648999999999971</v>
      </c>
      <c r="AG130" s="849">
        <f t="shared" si="155"/>
        <v>0.9</v>
      </c>
      <c r="AH130" s="849">
        <f t="shared" si="155"/>
        <v>0.9</v>
      </c>
      <c r="AI130" s="849">
        <f t="shared" si="155"/>
        <v>0.9</v>
      </c>
      <c r="AJ130" s="849">
        <f t="shared" si="155"/>
        <v>0.9</v>
      </c>
      <c r="AK130" s="849">
        <f t="shared" si="155"/>
        <v>0.9</v>
      </c>
      <c r="AL130" s="849">
        <f t="shared" si="155"/>
        <v>0.9</v>
      </c>
      <c r="AM130" s="849">
        <f t="shared" si="155"/>
        <v>0.9</v>
      </c>
      <c r="AN130" s="849">
        <f t="shared" si="155"/>
        <v>0.9</v>
      </c>
      <c r="AO130" s="849">
        <f t="shared" si="155"/>
        <v>0.9</v>
      </c>
      <c r="AP130" s="849">
        <f t="shared" si="155"/>
        <v>0.9</v>
      </c>
      <c r="AQ130" s="849">
        <f t="shared" si="155"/>
        <v>0.9</v>
      </c>
      <c r="AR130" s="849">
        <f t="shared" si="155"/>
        <v>0.9</v>
      </c>
      <c r="AS130" s="849">
        <f t="shared" si="155"/>
        <v>0.9</v>
      </c>
      <c r="AT130" s="849">
        <f t="shared" si="155"/>
        <v>0.9</v>
      </c>
      <c r="AU130" s="849">
        <f t="shared" si="155"/>
        <v>0.9</v>
      </c>
      <c r="AV130" s="849">
        <f t="shared" si="155"/>
        <v>0.9</v>
      </c>
      <c r="AW130" s="849">
        <f t="shared" si="155"/>
        <v>0.9</v>
      </c>
      <c r="AX130" s="849">
        <f t="shared" si="155"/>
        <v>0.9</v>
      </c>
      <c r="AY130" s="849">
        <f t="shared" si="155"/>
        <v>0.9</v>
      </c>
      <c r="AZ130" s="849">
        <f t="shared" si="155"/>
        <v>0.9</v>
      </c>
      <c r="BA130" s="849">
        <f t="shared" ref="BA130:BP130" si="156">AZ130+BA129</f>
        <v>0.9</v>
      </c>
      <c r="BB130" s="849">
        <f t="shared" si="156"/>
        <v>0.9</v>
      </c>
      <c r="BC130" s="849">
        <f t="shared" si="156"/>
        <v>0.9</v>
      </c>
      <c r="BD130" s="849">
        <f t="shared" si="156"/>
        <v>0.9</v>
      </c>
      <c r="BE130" s="849">
        <f t="shared" si="156"/>
        <v>0.9</v>
      </c>
      <c r="BF130" s="849">
        <f t="shared" si="156"/>
        <v>0.9</v>
      </c>
      <c r="BG130" s="849">
        <f t="shared" si="156"/>
        <v>0.9</v>
      </c>
      <c r="BH130" s="849">
        <f t="shared" si="156"/>
        <v>0.9</v>
      </c>
      <c r="BI130" s="849">
        <f t="shared" si="156"/>
        <v>0.9</v>
      </c>
      <c r="BJ130" s="849">
        <f t="shared" si="156"/>
        <v>0.9</v>
      </c>
      <c r="BK130" s="849">
        <f t="shared" si="156"/>
        <v>0.9</v>
      </c>
      <c r="BL130" s="849">
        <f t="shared" si="156"/>
        <v>0.9</v>
      </c>
      <c r="BM130" s="849">
        <f t="shared" si="156"/>
        <v>0.9</v>
      </c>
      <c r="BN130" s="849">
        <f t="shared" si="156"/>
        <v>0.9</v>
      </c>
      <c r="BO130" s="849">
        <f t="shared" si="156"/>
        <v>0.9</v>
      </c>
      <c r="BP130" s="849">
        <f t="shared" si="156"/>
        <v>0.9</v>
      </c>
      <c r="BQ130" s="849">
        <f t="shared" ref="BQ130" si="157">BP130+BQ129</f>
        <v>0.9</v>
      </c>
      <c r="BR130" s="849">
        <f t="shared" ref="BR130" si="158">BQ130+BR129</f>
        <v>0.9</v>
      </c>
      <c r="BS130" s="849"/>
      <c r="BT130" s="781"/>
      <c r="BU130" s="781"/>
      <c r="BV130" s="781"/>
      <c r="BW130" s="781"/>
      <c r="BX130" s="781"/>
      <c r="BY130" s="781"/>
      <c r="BZ130" s="781"/>
      <c r="CA130" s="781"/>
      <c r="CB130" s="781"/>
      <c r="CC130" s="781"/>
      <c r="CD130" s="781"/>
      <c r="CE130" s="781"/>
      <c r="CF130" s="781"/>
      <c r="CG130" s="781"/>
      <c r="CH130" s="781"/>
      <c r="CI130" s="781"/>
      <c r="CJ130" s="781"/>
      <c r="CK130" s="781"/>
      <c r="CL130" s="781"/>
      <c r="CM130" s="781"/>
      <c r="CN130" s="781"/>
      <c r="CO130" s="781"/>
      <c r="CP130" s="781"/>
      <c r="CQ130" s="781"/>
      <c r="CR130" s="781"/>
      <c r="CS130" s="781"/>
      <c r="CT130" s="781"/>
      <c r="CU130" s="781"/>
      <c r="CV130" s="781"/>
      <c r="CW130" s="781"/>
      <c r="CX130" s="781"/>
      <c r="CY130" s="781"/>
      <c r="CZ130" s="781"/>
      <c r="DA130" s="781"/>
      <c r="DB130" s="781"/>
      <c r="DC130" s="781"/>
      <c r="DD130" s="781"/>
      <c r="DE130" s="781"/>
      <c r="DF130" s="781"/>
      <c r="DG130" s="781"/>
      <c r="DH130" s="781"/>
      <c r="DI130" s="781"/>
      <c r="DJ130" s="781"/>
      <c r="DK130" s="781"/>
      <c r="DL130" s="781"/>
      <c r="DM130" s="781"/>
      <c r="DN130" s="781"/>
      <c r="DO130" s="781"/>
      <c r="DP130" s="781"/>
    </row>
    <row r="131" spans="2:120" s="817" customFormat="1" ht="10.8">
      <c r="BT131" s="781"/>
      <c r="BU131" s="781"/>
      <c r="BV131" s="781"/>
      <c r="BW131" s="781"/>
      <c r="BX131" s="781"/>
      <c r="BY131" s="781"/>
      <c r="BZ131" s="781"/>
      <c r="CA131" s="781"/>
      <c r="CB131" s="781"/>
      <c r="CC131" s="781"/>
      <c r="CD131" s="781"/>
      <c r="CE131" s="781"/>
      <c r="CF131" s="781"/>
      <c r="CG131" s="781"/>
      <c r="CH131" s="781"/>
      <c r="CI131" s="781"/>
      <c r="CJ131" s="781"/>
      <c r="CK131" s="781"/>
      <c r="CL131" s="781"/>
      <c r="CM131" s="781"/>
      <c r="CN131" s="781"/>
      <c r="CO131" s="781"/>
      <c r="CP131" s="781"/>
      <c r="CQ131" s="781"/>
      <c r="CR131" s="781"/>
      <c r="CS131" s="781"/>
      <c r="CT131" s="781"/>
      <c r="CU131" s="781"/>
      <c r="CV131" s="781"/>
      <c r="CW131" s="781"/>
      <c r="CX131" s="781"/>
      <c r="CY131" s="781"/>
      <c r="CZ131" s="781"/>
      <c r="DA131" s="781"/>
      <c r="DB131" s="781"/>
      <c r="DC131" s="781"/>
      <c r="DD131" s="781"/>
      <c r="DE131" s="781"/>
      <c r="DF131" s="781"/>
      <c r="DG131" s="781"/>
      <c r="DH131" s="781"/>
      <c r="DI131" s="781"/>
      <c r="DJ131" s="781"/>
      <c r="DK131" s="781"/>
      <c r="DL131" s="781"/>
      <c r="DM131" s="781"/>
      <c r="DN131" s="781"/>
      <c r="DO131" s="781"/>
      <c r="DP131" s="781"/>
    </row>
    <row r="132" spans="2:120" s="817" customFormat="1" ht="10.8">
      <c r="BT132" s="781"/>
      <c r="BU132" s="781"/>
      <c r="BV132" s="781"/>
      <c r="BW132" s="781"/>
      <c r="BX132" s="781"/>
      <c r="BY132" s="781"/>
      <c r="BZ132" s="781"/>
      <c r="CA132" s="781"/>
      <c r="CB132" s="781"/>
      <c r="CC132" s="781"/>
      <c r="CD132" s="781"/>
      <c r="CE132" s="781"/>
      <c r="CF132" s="781"/>
      <c r="CG132" s="781"/>
      <c r="CH132" s="781"/>
      <c r="CI132" s="781"/>
      <c r="CJ132" s="781"/>
      <c r="CK132" s="781"/>
      <c r="CL132" s="781"/>
      <c r="CM132" s="781"/>
      <c r="CN132" s="781"/>
      <c r="CO132" s="781"/>
      <c r="CP132" s="781"/>
      <c r="CQ132" s="781"/>
      <c r="CR132" s="781"/>
      <c r="CS132" s="781"/>
      <c r="CT132" s="781"/>
      <c r="CU132" s="781"/>
      <c r="CV132" s="781"/>
      <c r="CW132" s="781"/>
      <c r="CX132" s="781"/>
      <c r="CY132" s="781"/>
      <c r="CZ132" s="781"/>
      <c r="DA132" s="781"/>
      <c r="DB132" s="781"/>
      <c r="DC132" s="781"/>
      <c r="DD132" s="781"/>
      <c r="DE132" s="781"/>
      <c r="DF132" s="781"/>
      <c r="DG132" s="781"/>
      <c r="DH132" s="781"/>
      <c r="DI132" s="781"/>
      <c r="DJ132" s="781"/>
      <c r="DK132" s="781"/>
      <c r="DL132" s="781"/>
      <c r="DM132" s="781"/>
      <c r="DN132" s="781"/>
      <c r="DO132" s="781"/>
      <c r="DP132" s="781"/>
    </row>
    <row r="133" spans="2:120" s="817" customFormat="1" ht="10.8">
      <c r="B133" s="817" t="s">
        <v>1208</v>
      </c>
      <c r="I133" s="817">
        <f>IFERROR(MOD(I4,총괄장!$P$6/3),0)</f>
        <v>1</v>
      </c>
      <c r="J133" s="817">
        <f>IFERROR(MOD(J4,총괄장!$P$6/3),0)</f>
        <v>2</v>
      </c>
      <c r="K133" s="817">
        <f>IFERROR(MOD(K4,총괄장!$P$6/3),0)</f>
        <v>3</v>
      </c>
      <c r="L133" s="817">
        <f>IFERROR(MOD(L4,총괄장!$P$6/3),0)</f>
        <v>4</v>
      </c>
      <c r="M133" s="817">
        <f>IFERROR(MOD(M4,총괄장!$P$6/3),0)</f>
        <v>5</v>
      </c>
      <c r="N133" s="817">
        <f>IFERROR(MOD(N4,총괄장!$P$6/3),0)</f>
        <v>6</v>
      </c>
      <c r="O133" s="817">
        <f>IFERROR(MOD(O4,총괄장!$P$6/3),0)</f>
        <v>7</v>
      </c>
      <c r="P133" s="817">
        <f>IFERROR(MOD(P4,총괄장!$P$6/3),0)</f>
        <v>8</v>
      </c>
      <c r="Q133" s="817">
        <f>IFERROR(MOD(Q4,총괄장!$P$6/3),0)</f>
        <v>9</v>
      </c>
      <c r="R133" s="817">
        <f>IFERROR(MOD(R4,총괄장!$P$6/3),0)</f>
        <v>0</v>
      </c>
      <c r="S133" s="817">
        <f>IFERROR(MOD(S4,총괄장!$P$6/3),0)</f>
        <v>1</v>
      </c>
      <c r="T133" s="817">
        <f>IFERROR(MOD(T4,총괄장!$P$6/3),0)</f>
        <v>2</v>
      </c>
      <c r="U133" s="817">
        <f>IFERROR(MOD(U4,총괄장!$P$6/3),0)</f>
        <v>3</v>
      </c>
      <c r="V133" s="817">
        <f>IFERROR(MOD(V4,총괄장!$P$6/3),0)</f>
        <v>4</v>
      </c>
      <c r="W133" s="817">
        <f>IFERROR(MOD(W4,총괄장!$P$6/3),0)</f>
        <v>5</v>
      </c>
      <c r="X133" s="817">
        <f>IFERROR(MOD(X4,총괄장!$P$6/3),0)</f>
        <v>6</v>
      </c>
      <c r="Y133" s="817">
        <f>IFERROR(MOD(Y4,총괄장!$P$6/3),0)</f>
        <v>7</v>
      </c>
      <c r="Z133" s="817">
        <f>IFERROR(MOD(Z4,총괄장!$P$6/3),0)</f>
        <v>8</v>
      </c>
      <c r="AA133" s="817">
        <f>IFERROR(MOD(AA4,총괄장!$P$6/3),0)</f>
        <v>9</v>
      </c>
      <c r="AB133" s="817">
        <f>IFERROR(MOD(AB4,총괄장!$P$6/3),0)</f>
        <v>0</v>
      </c>
      <c r="AC133" s="817">
        <f>IFERROR(MOD(AC4,총괄장!$P$6/3),0)</f>
        <v>1</v>
      </c>
      <c r="AD133" s="817">
        <f>IFERROR(MOD(AD4,총괄장!$P$6/3),0)</f>
        <v>2</v>
      </c>
      <c r="AE133" s="817">
        <f>IFERROR(MOD(AE4,총괄장!$P$6/3),0)</f>
        <v>3</v>
      </c>
      <c r="AF133" s="817">
        <f>IFERROR(MOD(AF4,총괄장!$P$6/3),0)</f>
        <v>4</v>
      </c>
      <c r="AG133" s="817">
        <f>IFERROR(MOD(AG4,총괄장!$P$6/3),0)</f>
        <v>5</v>
      </c>
      <c r="AH133" s="817">
        <f>IFERROR(MOD(AH4,총괄장!$P$6/3),0)</f>
        <v>6</v>
      </c>
      <c r="AI133" s="817">
        <f>IFERROR(MOD(AI4,총괄장!$P$6/3),0)</f>
        <v>7</v>
      </c>
      <c r="AJ133" s="817">
        <f>IFERROR(MOD(AJ4,총괄장!$P$6/3),0)</f>
        <v>8</v>
      </c>
      <c r="AK133" s="817">
        <f>IFERROR(MOD(AK4,총괄장!$P$6/3),0)</f>
        <v>9</v>
      </c>
      <c r="AL133" s="817">
        <f>IFERROR(MOD(AL4,총괄장!$P$6/3),0)</f>
        <v>0</v>
      </c>
      <c r="AM133" s="817">
        <f>IFERROR(MOD(AM4,총괄장!$P$6/3),0)</f>
        <v>1</v>
      </c>
      <c r="AN133" s="817">
        <f>IFERROR(MOD(AN4,총괄장!$P$6/3),0)</f>
        <v>2</v>
      </c>
      <c r="AO133" s="817">
        <f>IFERROR(MOD(AO4,총괄장!$P$6/3),0)</f>
        <v>3</v>
      </c>
      <c r="AP133" s="817">
        <f>IFERROR(MOD(AP4,총괄장!$P$6/3),0)</f>
        <v>4</v>
      </c>
      <c r="AQ133" s="817">
        <f>IFERROR(MOD(AQ4,총괄장!$P$6/3),0)</f>
        <v>5</v>
      </c>
      <c r="AR133" s="817">
        <f>IFERROR(MOD(AR4,총괄장!$P$6/3),0)</f>
        <v>6</v>
      </c>
      <c r="AS133" s="817">
        <f>IFERROR(MOD(AS4,총괄장!$P$6/3),0)</f>
        <v>7</v>
      </c>
      <c r="AT133" s="817">
        <f>IFERROR(MOD(AT4,총괄장!$P$6/3),0)</f>
        <v>8</v>
      </c>
      <c r="AU133" s="817">
        <f>IFERROR(MOD(AU4,총괄장!$P$6/3),0)</f>
        <v>9</v>
      </c>
      <c r="AV133" s="817">
        <f>IFERROR(MOD(AV4,총괄장!$P$6/3),0)</f>
        <v>0</v>
      </c>
      <c r="AW133" s="817">
        <f>IFERROR(MOD(AW4,총괄장!$P$6/3),0)</f>
        <v>1</v>
      </c>
      <c r="AX133" s="817">
        <f>IFERROR(MOD(AX4,총괄장!$P$6/3),0)</f>
        <v>2</v>
      </c>
      <c r="AY133" s="817">
        <f>IFERROR(MOD(AY4,총괄장!$P$6/3),0)</f>
        <v>3</v>
      </c>
      <c r="AZ133" s="817">
        <f>IFERROR(MOD(AZ4,총괄장!$P$6/3),0)</f>
        <v>4</v>
      </c>
      <c r="BA133" s="817">
        <f>IFERROR(MOD(BA4,총괄장!$P$6/3),0)</f>
        <v>5</v>
      </c>
      <c r="BB133" s="817">
        <f>IFERROR(MOD(BB4,총괄장!$P$6/3),0)</f>
        <v>6</v>
      </c>
      <c r="BC133" s="817">
        <f>IFERROR(MOD(BC4,총괄장!$P$6/3),0)</f>
        <v>7</v>
      </c>
      <c r="BD133" s="817">
        <f>IFERROR(MOD(BD4,총괄장!$P$6/3),0)</f>
        <v>8</v>
      </c>
      <c r="BE133" s="817">
        <f>IFERROR(MOD(BE4,총괄장!$P$6/3),0)</f>
        <v>9</v>
      </c>
      <c r="BF133" s="817">
        <f>IFERROR(MOD(BF4,총괄장!$P$6/3),0)</f>
        <v>0</v>
      </c>
      <c r="BG133" s="817">
        <f>IFERROR(MOD(BG4,총괄장!$P$6/3),0)</f>
        <v>1</v>
      </c>
      <c r="BH133" s="817">
        <f>IFERROR(MOD(BH4,총괄장!$P$6/3),0)</f>
        <v>2</v>
      </c>
      <c r="BI133" s="817">
        <f>IFERROR(MOD(BI4,총괄장!$P$6/3),0)</f>
        <v>3</v>
      </c>
      <c r="BJ133" s="817">
        <f>IFERROR(MOD(BJ4,총괄장!$P$6/3),0)</f>
        <v>4</v>
      </c>
      <c r="BK133" s="817">
        <f>IFERROR(MOD(BK4,총괄장!$P$6/3),0)</f>
        <v>5</v>
      </c>
      <c r="BL133" s="817">
        <f>IFERROR(MOD(BL4,총괄장!$P$6/3),0)</f>
        <v>6</v>
      </c>
      <c r="BM133" s="817">
        <f>IFERROR(MOD(BM4,총괄장!$P$6/3),0)</f>
        <v>7</v>
      </c>
      <c r="BN133" s="817">
        <f>IFERROR(MOD(BN4,총괄장!$P$6/3),0)</f>
        <v>8</v>
      </c>
      <c r="BO133" s="817">
        <f>IFERROR(MOD(BO4,총괄장!$P$6/3),0)</f>
        <v>9</v>
      </c>
      <c r="BP133" s="817">
        <f>IFERROR(MOD(BP4,총괄장!$P$6/3),0)</f>
        <v>0</v>
      </c>
      <c r="BQ133" s="817">
        <f>IFERROR(MOD(BQ4,총괄장!$P$6/3),0)</f>
        <v>1</v>
      </c>
      <c r="BR133" s="817">
        <f>IFERROR(MOD(BR4,총괄장!$P$6/3),0)</f>
        <v>2</v>
      </c>
      <c r="BS133" s="817">
        <f>IFERROR(MOD(BS4,총괄장!$P$6/3),0)</f>
        <v>3</v>
      </c>
      <c r="BT133" s="781"/>
      <c r="BU133" s="781"/>
      <c r="BV133" s="781"/>
      <c r="BW133" s="781"/>
      <c r="BX133" s="781"/>
      <c r="BY133" s="781"/>
      <c r="BZ133" s="781"/>
      <c r="CA133" s="781"/>
      <c r="CB133" s="781"/>
      <c r="CC133" s="781"/>
      <c r="CD133" s="781"/>
      <c r="CE133" s="781"/>
      <c r="CF133" s="781"/>
      <c r="CG133" s="781"/>
      <c r="CH133" s="781"/>
      <c r="CI133" s="781"/>
      <c r="CJ133" s="781"/>
      <c r="CK133" s="781"/>
      <c r="CL133" s="781"/>
      <c r="CM133" s="781"/>
      <c r="CN133" s="781"/>
      <c r="CO133" s="781"/>
      <c r="CP133" s="781"/>
      <c r="CQ133" s="781"/>
      <c r="CR133" s="781"/>
      <c r="CS133" s="781"/>
      <c r="CT133" s="781"/>
      <c r="CU133" s="781"/>
      <c r="CV133" s="781"/>
      <c r="CW133" s="781"/>
      <c r="CX133" s="781"/>
      <c r="CY133" s="781"/>
      <c r="CZ133" s="781"/>
      <c r="DA133" s="781"/>
      <c r="DB133" s="781"/>
      <c r="DC133" s="781"/>
      <c r="DD133" s="781"/>
      <c r="DE133" s="781"/>
      <c r="DF133" s="781"/>
      <c r="DG133" s="781"/>
      <c r="DH133" s="781"/>
      <c r="DI133" s="781"/>
      <c r="DJ133" s="781"/>
      <c r="DK133" s="781"/>
      <c r="DL133" s="781"/>
      <c r="DM133" s="781"/>
      <c r="DN133" s="781"/>
      <c r="DO133" s="781"/>
      <c r="DP133" s="781"/>
    </row>
    <row r="134" spans="2:120" s="817" customFormat="1" ht="10.8">
      <c r="I134" s="817">
        <f>IF(I133=0,1,0)</f>
        <v>0</v>
      </c>
      <c r="J134" s="817">
        <f t="shared" ref="J134:AZ134" si="159">IF(J133=0,1,0)</f>
        <v>0</v>
      </c>
      <c r="K134" s="817">
        <f t="shared" si="159"/>
        <v>0</v>
      </c>
      <c r="L134" s="817">
        <f t="shared" si="159"/>
        <v>0</v>
      </c>
      <c r="M134" s="817">
        <f t="shared" si="159"/>
        <v>0</v>
      </c>
      <c r="N134" s="817">
        <f t="shared" si="159"/>
        <v>0</v>
      </c>
      <c r="O134" s="817">
        <f t="shared" si="159"/>
        <v>0</v>
      </c>
      <c r="P134" s="817">
        <f t="shared" si="159"/>
        <v>0</v>
      </c>
      <c r="Q134" s="817">
        <f t="shared" si="159"/>
        <v>0</v>
      </c>
      <c r="R134" s="817">
        <f t="shared" si="159"/>
        <v>1</v>
      </c>
      <c r="S134" s="817">
        <f t="shared" si="159"/>
        <v>0</v>
      </c>
      <c r="T134" s="817">
        <f t="shared" si="159"/>
        <v>0</v>
      </c>
      <c r="U134" s="817">
        <f t="shared" si="159"/>
        <v>0</v>
      </c>
      <c r="V134" s="817">
        <f t="shared" si="159"/>
        <v>0</v>
      </c>
      <c r="W134" s="817">
        <f t="shared" si="159"/>
        <v>0</v>
      </c>
      <c r="X134" s="817">
        <f t="shared" si="159"/>
        <v>0</v>
      </c>
      <c r="Y134" s="817">
        <f t="shared" si="159"/>
        <v>0</v>
      </c>
      <c r="Z134" s="817">
        <f t="shared" si="159"/>
        <v>0</v>
      </c>
      <c r="AA134" s="817">
        <f t="shared" si="159"/>
        <v>0</v>
      </c>
      <c r="AB134" s="817">
        <f t="shared" si="159"/>
        <v>1</v>
      </c>
      <c r="AC134" s="817">
        <f t="shared" si="159"/>
        <v>0</v>
      </c>
      <c r="AD134" s="817">
        <f t="shared" si="159"/>
        <v>0</v>
      </c>
      <c r="AE134" s="817">
        <f t="shared" si="159"/>
        <v>0</v>
      </c>
      <c r="AF134" s="817">
        <f t="shared" si="159"/>
        <v>0</v>
      </c>
      <c r="AG134" s="817">
        <f t="shared" si="159"/>
        <v>0</v>
      </c>
      <c r="AH134" s="817">
        <f t="shared" si="159"/>
        <v>0</v>
      </c>
      <c r="AI134" s="817">
        <f t="shared" si="159"/>
        <v>0</v>
      </c>
      <c r="AJ134" s="817">
        <f t="shared" si="159"/>
        <v>0</v>
      </c>
      <c r="AK134" s="817">
        <f t="shared" si="159"/>
        <v>0</v>
      </c>
      <c r="AL134" s="817">
        <f t="shared" si="159"/>
        <v>1</v>
      </c>
      <c r="AM134" s="817">
        <f t="shared" si="159"/>
        <v>0</v>
      </c>
      <c r="AN134" s="817">
        <f t="shared" si="159"/>
        <v>0</v>
      </c>
      <c r="AO134" s="817">
        <f t="shared" si="159"/>
        <v>0</v>
      </c>
      <c r="AP134" s="817">
        <f t="shared" si="159"/>
        <v>0</v>
      </c>
      <c r="AQ134" s="817">
        <f t="shared" si="159"/>
        <v>0</v>
      </c>
      <c r="AR134" s="817">
        <f t="shared" si="159"/>
        <v>0</v>
      </c>
      <c r="AS134" s="817">
        <f t="shared" si="159"/>
        <v>0</v>
      </c>
      <c r="AT134" s="817">
        <f t="shared" si="159"/>
        <v>0</v>
      </c>
      <c r="AU134" s="817">
        <f t="shared" si="159"/>
        <v>0</v>
      </c>
      <c r="AV134" s="817">
        <f t="shared" si="159"/>
        <v>1</v>
      </c>
      <c r="AW134" s="817">
        <f t="shared" si="159"/>
        <v>0</v>
      </c>
      <c r="AX134" s="817">
        <f t="shared" si="159"/>
        <v>0</v>
      </c>
      <c r="AY134" s="817">
        <f t="shared" si="159"/>
        <v>0</v>
      </c>
      <c r="AZ134" s="817">
        <f t="shared" si="159"/>
        <v>0</v>
      </c>
      <c r="BA134" s="817">
        <f t="shared" ref="BA134:BP134" si="160">IF(BA133=0,1,0)</f>
        <v>0</v>
      </c>
      <c r="BB134" s="817">
        <f t="shared" si="160"/>
        <v>0</v>
      </c>
      <c r="BC134" s="817">
        <f t="shared" si="160"/>
        <v>0</v>
      </c>
      <c r="BD134" s="817">
        <f t="shared" si="160"/>
        <v>0</v>
      </c>
      <c r="BE134" s="817">
        <f t="shared" si="160"/>
        <v>0</v>
      </c>
      <c r="BF134" s="817">
        <f t="shared" si="160"/>
        <v>1</v>
      </c>
      <c r="BG134" s="817">
        <f t="shared" si="160"/>
        <v>0</v>
      </c>
      <c r="BH134" s="817">
        <f t="shared" si="160"/>
        <v>0</v>
      </c>
      <c r="BI134" s="817">
        <f t="shared" si="160"/>
        <v>0</v>
      </c>
      <c r="BJ134" s="817">
        <f t="shared" si="160"/>
        <v>0</v>
      </c>
      <c r="BK134" s="817">
        <f t="shared" si="160"/>
        <v>0</v>
      </c>
      <c r="BL134" s="817">
        <f t="shared" si="160"/>
        <v>0</v>
      </c>
      <c r="BM134" s="817">
        <f t="shared" si="160"/>
        <v>0</v>
      </c>
      <c r="BN134" s="817">
        <f t="shared" si="160"/>
        <v>0</v>
      </c>
      <c r="BO134" s="817">
        <f t="shared" si="160"/>
        <v>0</v>
      </c>
      <c r="BP134" s="817">
        <f t="shared" si="160"/>
        <v>1</v>
      </c>
      <c r="BQ134" s="817">
        <f t="shared" ref="BQ134:BS134" si="161">IF(BQ133=0,1,0)</f>
        <v>0</v>
      </c>
      <c r="BR134" s="817">
        <f t="shared" si="161"/>
        <v>0</v>
      </c>
      <c r="BS134" s="817">
        <f t="shared" si="161"/>
        <v>0</v>
      </c>
      <c r="BT134" s="781"/>
      <c r="BU134" s="781"/>
      <c r="BV134" s="781"/>
      <c r="BW134" s="781"/>
      <c r="BX134" s="781"/>
      <c r="BY134" s="781"/>
      <c r="BZ134" s="781"/>
      <c r="CA134" s="781"/>
      <c r="CB134" s="781"/>
      <c r="CC134" s="781"/>
      <c r="CD134" s="781"/>
      <c r="CE134" s="781"/>
      <c r="CF134" s="781"/>
      <c r="CG134" s="781"/>
      <c r="CH134" s="781"/>
      <c r="CI134" s="781"/>
      <c r="CJ134" s="781"/>
      <c r="CK134" s="781"/>
      <c r="CL134" s="781"/>
      <c r="CM134" s="781"/>
      <c r="CN134" s="781"/>
      <c r="CO134" s="781"/>
      <c r="CP134" s="781"/>
      <c r="CQ134" s="781"/>
      <c r="CR134" s="781"/>
      <c r="CS134" s="781"/>
      <c r="CT134" s="781"/>
      <c r="CU134" s="781"/>
      <c r="CV134" s="781"/>
      <c r="CW134" s="781"/>
      <c r="CX134" s="781"/>
      <c r="CY134" s="781"/>
      <c r="CZ134" s="781"/>
      <c r="DA134" s="781"/>
      <c r="DB134" s="781"/>
      <c r="DC134" s="781"/>
      <c r="DD134" s="781"/>
      <c r="DE134" s="781"/>
      <c r="DF134" s="781"/>
      <c r="DG134" s="781"/>
      <c r="DH134" s="781"/>
      <c r="DI134" s="781"/>
      <c r="DJ134" s="781"/>
      <c r="DK134" s="781"/>
      <c r="DL134" s="781"/>
      <c r="DM134" s="781"/>
      <c r="DN134" s="781"/>
      <c r="DO134" s="781"/>
      <c r="DP134" s="781"/>
    </row>
    <row r="135" spans="2:120" s="817" customFormat="1" ht="10.8">
      <c r="BT135" s="781"/>
      <c r="BU135" s="781"/>
      <c r="BV135" s="781"/>
      <c r="BW135" s="781"/>
      <c r="BX135" s="781"/>
      <c r="BY135" s="781"/>
      <c r="BZ135" s="781"/>
      <c r="CA135" s="781"/>
      <c r="CB135" s="781"/>
      <c r="CC135" s="781"/>
      <c r="CD135" s="781"/>
      <c r="CE135" s="781"/>
      <c r="CF135" s="781"/>
      <c r="CG135" s="781"/>
      <c r="CH135" s="781"/>
      <c r="CI135" s="781"/>
      <c r="CJ135" s="781"/>
      <c r="CK135" s="781"/>
      <c r="CL135" s="781"/>
      <c r="CM135" s="781"/>
      <c r="CN135" s="781"/>
      <c r="CO135" s="781"/>
      <c r="CP135" s="781"/>
      <c r="CQ135" s="781"/>
      <c r="CR135" s="781"/>
      <c r="CS135" s="781"/>
      <c r="CT135" s="781"/>
      <c r="CU135" s="781"/>
      <c r="CV135" s="781"/>
      <c r="CW135" s="781"/>
      <c r="CX135" s="781"/>
      <c r="CY135" s="781"/>
      <c r="CZ135" s="781"/>
      <c r="DA135" s="781"/>
      <c r="DB135" s="781"/>
      <c r="DC135" s="781"/>
      <c r="DD135" s="781"/>
      <c r="DE135" s="781"/>
      <c r="DF135" s="781"/>
      <c r="DG135" s="781"/>
      <c r="DH135" s="781"/>
      <c r="DI135" s="781"/>
      <c r="DJ135" s="781"/>
      <c r="DK135" s="781"/>
      <c r="DL135" s="781"/>
      <c r="DM135" s="781"/>
      <c r="DN135" s="781"/>
      <c r="DO135" s="781"/>
      <c r="DP135" s="781"/>
    </row>
    <row r="136" spans="2:120" s="817" customFormat="1" ht="10.8">
      <c r="B136" s="817" t="s">
        <v>1213</v>
      </c>
      <c r="I136" s="817">
        <f t="shared" ref="I136:AZ136" si="162">MOD(I4,12)</f>
        <v>1</v>
      </c>
      <c r="J136" s="817">
        <f t="shared" si="162"/>
        <v>2</v>
      </c>
      <c r="K136" s="817">
        <f t="shared" si="162"/>
        <v>3</v>
      </c>
      <c r="L136" s="817">
        <f t="shared" si="162"/>
        <v>4</v>
      </c>
      <c r="M136" s="817">
        <f t="shared" si="162"/>
        <v>5</v>
      </c>
      <c r="N136" s="817">
        <f t="shared" si="162"/>
        <v>6</v>
      </c>
      <c r="O136" s="817">
        <f t="shared" si="162"/>
        <v>7</v>
      </c>
      <c r="P136" s="817">
        <f t="shared" si="162"/>
        <v>8</v>
      </c>
      <c r="Q136" s="817">
        <f t="shared" si="162"/>
        <v>9</v>
      </c>
      <c r="R136" s="817">
        <f t="shared" si="162"/>
        <v>10</v>
      </c>
      <c r="S136" s="817">
        <f t="shared" si="162"/>
        <v>11</v>
      </c>
      <c r="T136" s="817">
        <f t="shared" si="162"/>
        <v>0</v>
      </c>
      <c r="U136" s="817">
        <f t="shared" si="162"/>
        <v>1</v>
      </c>
      <c r="V136" s="817">
        <f t="shared" si="162"/>
        <v>2</v>
      </c>
      <c r="W136" s="817">
        <f t="shared" si="162"/>
        <v>3</v>
      </c>
      <c r="X136" s="817">
        <f t="shared" si="162"/>
        <v>4</v>
      </c>
      <c r="Y136" s="817">
        <f t="shared" si="162"/>
        <v>5</v>
      </c>
      <c r="Z136" s="817">
        <f t="shared" si="162"/>
        <v>6</v>
      </c>
      <c r="AA136" s="817">
        <f t="shared" si="162"/>
        <v>7</v>
      </c>
      <c r="AB136" s="817">
        <f t="shared" si="162"/>
        <v>8</v>
      </c>
      <c r="AC136" s="817">
        <f t="shared" si="162"/>
        <v>9</v>
      </c>
      <c r="AD136" s="817">
        <f t="shared" si="162"/>
        <v>10</v>
      </c>
      <c r="AE136" s="817">
        <f t="shared" si="162"/>
        <v>11</v>
      </c>
      <c r="AF136" s="817">
        <f t="shared" si="162"/>
        <v>0</v>
      </c>
      <c r="AG136" s="817">
        <f t="shared" si="162"/>
        <v>1</v>
      </c>
      <c r="AH136" s="817">
        <f t="shared" si="162"/>
        <v>2</v>
      </c>
      <c r="AI136" s="817">
        <f t="shared" si="162"/>
        <v>3</v>
      </c>
      <c r="AJ136" s="817">
        <f t="shared" si="162"/>
        <v>4</v>
      </c>
      <c r="AK136" s="817">
        <f t="shared" si="162"/>
        <v>5</v>
      </c>
      <c r="AL136" s="817">
        <f t="shared" si="162"/>
        <v>6</v>
      </c>
      <c r="AM136" s="817">
        <f t="shared" si="162"/>
        <v>7</v>
      </c>
      <c r="AN136" s="817">
        <f t="shared" si="162"/>
        <v>8</v>
      </c>
      <c r="AO136" s="817">
        <f t="shared" si="162"/>
        <v>9</v>
      </c>
      <c r="AP136" s="817">
        <f t="shared" si="162"/>
        <v>10</v>
      </c>
      <c r="AQ136" s="817">
        <f t="shared" si="162"/>
        <v>11</v>
      </c>
      <c r="AR136" s="817">
        <f t="shared" si="162"/>
        <v>0</v>
      </c>
      <c r="AS136" s="817">
        <f t="shared" si="162"/>
        <v>1</v>
      </c>
      <c r="AT136" s="817">
        <f t="shared" si="162"/>
        <v>2</v>
      </c>
      <c r="AU136" s="817">
        <f t="shared" si="162"/>
        <v>3</v>
      </c>
      <c r="AV136" s="817">
        <f t="shared" si="162"/>
        <v>4</v>
      </c>
      <c r="AW136" s="817">
        <f t="shared" si="162"/>
        <v>5</v>
      </c>
      <c r="AX136" s="817">
        <f t="shared" si="162"/>
        <v>6</v>
      </c>
      <c r="AY136" s="817">
        <f t="shared" si="162"/>
        <v>7</v>
      </c>
      <c r="AZ136" s="817">
        <f t="shared" si="162"/>
        <v>8</v>
      </c>
      <c r="BA136" s="817">
        <f t="shared" ref="BA136:BP136" si="163">MOD(BA4,12)</f>
        <v>9</v>
      </c>
      <c r="BB136" s="817">
        <f t="shared" si="163"/>
        <v>10</v>
      </c>
      <c r="BC136" s="817">
        <f t="shared" si="163"/>
        <v>11</v>
      </c>
      <c r="BD136" s="817">
        <f t="shared" si="163"/>
        <v>0</v>
      </c>
      <c r="BE136" s="817">
        <f t="shared" si="163"/>
        <v>1</v>
      </c>
      <c r="BF136" s="817">
        <f t="shared" si="163"/>
        <v>2</v>
      </c>
      <c r="BG136" s="817">
        <f t="shared" si="163"/>
        <v>3</v>
      </c>
      <c r="BH136" s="817">
        <f t="shared" si="163"/>
        <v>4</v>
      </c>
      <c r="BI136" s="817">
        <f t="shared" si="163"/>
        <v>5</v>
      </c>
      <c r="BJ136" s="817">
        <f t="shared" si="163"/>
        <v>6</v>
      </c>
      <c r="BK136" s="817">
        <f t="shared" si="163"/>
        <v>7</v>
      </c>
      <c r="BL136" s="817">
        <f t="shared" si="163"/>
        <v>8</v>
      </c>
      <c r="BM136" s="817">
        <f t="shared" si="163"/>
        <v>9</v>
      </c>
      <c r="BN136" s="817">
        <f t="shared" si="163"/>
        <v>10</v>
      </c>
      <c r="BO136" s="817">
        <f t="shared" si="163"/>
        <v>11</v>
      </c>
      <c r="BP136" s="817">
        <f t="shared" si="163"/>
        <v>0</v>
      </c>
      <c r="BQ136" s="817">
        <f t="shared" ref="BQ136:BS136" si="164">MOD(BQ4,12)</f>
        <v>7</v>
      </c>
      <c r="BR136" s="817">
        <f t="shared" si="164"/>
        <v>8</v>
      </c>
      <c r="BS136" s="817">
        <f t="shared" si="164"/>
        <v>9</v>
      </c>
      <c r="BT136" s="781"/>
      <c r="BU136" s="781"/>
      <c r="BV136" s="781"/>
      <c r="BW136" s="781"/>
      <c r="BX136" s="781"/>
      <c r="BY136" s="781"/>
      <c r="BZ136" s="781"/>
      <c r="CA136" s="781"/>
      <c r="CB136" s="781"/>
      <c r="CC136" s="781"/>
      <c r="CD136" s="781"/>
      <c r="CE136" s="781"/>
      <c r="CF136" s="781"/>
      <c r="CG136" s="781"/>
      <c r="CH136" s="781"/>
      <c r="CI136" s="781"/>
      <c r="CJ136" s="781"/>
      <c r="CK136" s="781"/>
      <c r="CL136" s="781"/>
      <c r="CM136" s="781"/>
      <c r="CN136" s="781"/>
      <c r="CO136" s="781"/>
      <c r="CP136" s="781"/>
      <c r="CQ136" s="781"/>
      <c r="CR136" s="781"/>
      <c r="CS136" s="781"/>
      <c r="CT136" s="781"/>
      <c r="CU136" s="781"/>
      <c r="CV136" s="781"/>
      <c r="CW136" s="781"/>
      <c r="CX136" s="781"/>
      <c r="CY136" s="781"/>
      <c r="CZ136" s="781"/>
      <c r="DA136" s="781"/>
      <c r="DB136" s="781"/>
      <c r="DC136" s="781"/>
      <c r="DD136" s="781"/>
      <c r="DE136" s="781"/>
      <c r="DF136" s="781"/>
      <c r="DG136" s="781"/>
      <c r="DH136" s="781"/>
      <c r="DI136" s="781"/>
      <c r="DJ136" s="781"/>
      <c r="DK136" s="781"/>
      <c r="DL136" s="781"/>
      <c r="DM136" s="781"/>
      <c r="DN136" s="781"/>
      <c r="DO136" s="781"/>
      <c r="DP136" s="781"/>
    </row>
    <row r="137" spans="2:120" s="817" customFormat="1" ht="10.8">
      <c r="C137" s="817">
        <f>COUNTIF(I137:BP137,9)</f>
        <v>2</v>
      </c>
      <c r="I137" s="817">
        <f>I136*I114</f>
        <v>1</v>
      </c>
      <c r="J137" s="817">
        <f t="shared" ref="J137:AZ137" si="165">J136*J114</f>
        <v>2</v>
      </c>
      <c r="K137" s="817">
        <f t="shared" si="165"/>
        <v>3</v>
      </c>
      <c r="L137" s="817">
        <f t="shared" si="165"/>
        <v>4</v>
      </c>
      <c r="M137" s="817">
        <f t="shared" si="165"/>
        <v>5</v>
      </c>
      <c r="N137" s="817">
        <f t="shared" si="165"/>
        <v>6</v>
      </c>
      <c r="O137" s="817">
        <f t="shared" si="165"/>
        <v>7</v>
      </c>
      <c r="P137" s="817">
        <f t="shared" si="165"/>
        <v>8</v>
      </c>
      <c r="Q137" s="817">
        <f t="shared" si="165"/>
        <v>9</v>
      </c>
      <c r="R137" s="817">
        <f t="shared" si="165"/>
        <v>10</v>
      </c>
      <c r="S137" s="817">
        <f t="shared" si="165"/>
        <v>11</v>
      </c>
      <c r="T137" s="817">
        <f t="shared" si="165"/>
        <v>0</v>
      </c>
      <c r="U137" s="817">
        <f t="shared" si="165"/>
        <v>1</v>
      </c>
      <c r="V137" s="817">
        <f t="shared" si="165"/>
        <v>2</v>
      </c>
      <c r="W137" s="817">
        <f t="shared" si="165"/>
        <v>3</v>
      </c>
      <c r="X137" s="817">
        <f t="shared" si="165"/>
        <v>4</v>
      </c>
      <c r="Y137" s="817">
        <f t="shared" si="165"/>
        <v>5</v>
      </c>
      <c r="Z137" s="817">
        <f t="shared" si="165"/>
        <v>6</v>
      </c>
      <c r="AA137" s="817">
        <f t="shared" si="165"/>
        <v>7</v>
      </c>
      <c r="AB137" s="817">
        <f t="shared" si="165"/>
        <v>8</v>
      </c>
      <c r="AC137" s="817">
        <f t="shared" si="165"/>
        <v>9</v>
      </c>
      <c r="AD137" s="817">
        <f t="shared" si="165"/>
        <v>10</v>
      </c>
      <c r="AE137" s="817">
        <f t="shared" si="165"/>
        <v>11</v>
      </c>
      <c r="AF137" s="817">
        <f t="shared" si="165"/>
        <v>0</v>
      </c>
      <c r="AG137" s="817">
        <f t="shared" si="165"/>
        <v>1</v>
      </c>
      <c r="AH137" s="817">
        <f t="shared" si="165"/>
        <v>2</v>
      </c>
      <c r="AI137" s="817">
        <f t="shared" si="165"/>
        <v>3</v>
      </c>
      <c r="AJ137" s="817">
        <f t="shared" si="165"/>
        <v>4</v>
      </c>
      <c r="AK137" s="817">
        <f t="shared" si="165"/>
        <v>5</v>
      </c>
      <c r="AL137" s="817">
        <f t="shared" si="165"/>
        <v>6</v>
      </c>
      <c r="AM137" s="817">
        <f t="shared" si="165"/>
        <v>0</v>
      </c>
      <c r="AN137" s="817">
        <f t="shared" si="165"/>
        <v>0</v>
      </c>
      <c r="AO137" s="817">
        <f t="shared" si="165"/>
        <v>0</v>
      </c>
      <c r="AP137" s="817">
        <f t="shared" si="165"/>
        <v>0</v>
      </c>
      <c r="AQ137" s="817">
        <f t="shared" si="165"/>
        <v>0</v>
      </c>
      <c r="AR137" s="817">
        <f t="shared" si="165"/>
        <v>0</v>
      </c>
      <c r="AS137" s="817">
        <f t="shared" si="165"/>
        <v>0</v>
      </c>
      <c r="AT137" s="817">
        <f t="shared" si="165"/>
        <v>0</v>
      </c>
      <c r="AU137" s="817">
        <f t="shared" si="165"/>
        <v>0</v>
      </c>
      <c r="AV137" s="817">
        <f t="shared" si="165"/>
        <v>0</v>
      </c>
      <c r="AW137" s="817">
        <f t="shared" si="165"/>
        <v>0</v>
      </c>
      <c r="AX137" s="817">
        <f t="shared" si="165"/>
        <v>0</v>
      </c>
      <c r="AY137" s="817">
        <f t="shared" si="165"/>
        <v>0</v>
      </c>
      <c r="AZ137" s="817">
        <f t="shared" si="165"/>
        <v>0</v>
      </c>
      <c r="BA137" s="817">
        <f t="shared" ref="BA137:BP137" si="166">BA136*BA114</f>
        <v>0</v>
      </c>
      <c r="BB137" s="817">
        <f t="shared" si="166"/>
        <v>0</v>
      </c>
      <c r="BC137" s="817">
        <f t="shared" si="166"/>
        <v>0</v>
      </c>
      <c r="BD137" s="817">
        <f t="shared" si="166"/>
        <v>0</v>
      </c>
      <c r="BE137" s="817">
        <f t="shared" si="166"/>
        <v>0</v>
      </c>
      <c r="BF137" s="817">
        <f t="shared" si="166"/>
        <v>0</v>
      </c>
      <c r="BG137" s="817">
        <f t="shared" si="166"/>
        <v>0</v>
      </c>
      <c r="BH137" s="817">
        <f t="shared" si="166"/>
        <v>0</v>
      </c>
      <c r="BI137" s="817">
        <f t="shared" si="166"/>
        <v>0</v>
      </c>
      <c r="BJ137" s="817">
        <f t="shared" si="166"/>
        <v>0</v>
      </c>
      <c r="BK137" s="817">
        <f t="shared" si="166"/>
        <v>0</v>
      </c>
      <c r="BL137" s="817">
        <f t="shared" si="166"/>
        <v>0</v>
      </c>
      <c r="BM137" s="817">
        <f t="shared" si="166"/>
        <v>0</v>
      </c>
      <c r="BN137" s="817">
        <f t="shared" si="166"/>
        <v>0</v>
      </c>
      <c r="BO137" s="817">
        <f t="shared" si="166"/>
        <v>0</v>
      </c>
      <c r="BP137" s="817">
        <f t="shared" si="166"/>
        <v>0</v>
      </c>
      <c r="BQ137" s="817">
        <f t="shared" ref="BQ137:BS137" si="167">BQ136*BQ114</f>
        <v>0</v>
      </c>
      <c r="BR137" s="817">
        <f t="shared" si="167"/>
        <v>0</v>
      </c>
      <c r="BS137" s="817">
        <f t="shared" si="167"/>
        <v>0</v>
      </c>
      <c r="BT137" s="781"/>
      <c r="BU137" s="781"/>
      <c r="BV137" s="781"/>
      <c r="BW137" s="781"/>
      <c r="BX137" s="781"/>
      <c r="BY137" s="781"/>
      <c r="BZ137" s="781"/>
      <c r="CA137" s="781"/>
      <c r="CB137" s="781"/>
      <c r="CC137" s="781"/>
      <c r="CD137" s="781"/>
      <c r="CE137" s="781"/>
      <c r="CF137" s="781"/>
      <c r="CG137" s="781"/>
      <c r="CH137" s="781"/>
      <c r="CI137" s="781"/>
      <c r="CJ137" s="781"/>
      <c r="CK137" s="781"/>
      <c r="CL137" s="781"/>
      <c r="CM137" s="781"/>
      <c r="CN137" s="781"/>
      <c r="CO137" s="781"/>
      <c r="CP137" s="781"/>
      <c r="CQ137" s="781"/>
      <c r="CR137" s="781"/>
      <c r="CS137" s="781"/>
      <c r="CT137" s="781"/>
      <c r="CU137" s="781"/>
      <c r="CV137" s="781"/>
      <c r="CW137" s="781"/>
      <c r="CX137" s="781"/>
      <c r="CY137" s="781"/>
      <c r="CZ137" s="781"/>
      <c r="DA137" s="781"/>
      <c r="DB137" s="781"/>
      <c r="DC137" s="781"/>
      <c r="DD137" s="781"/>
      <c r="DE137" s="781"/>
      <c r="DF137" s="781"/>
      <c r="DG137" s="781"/>
      <c r="DH137" s="781"/>
      <c r="DI137" s="781"/>
      <c r="DJ137" s="781"/>
      <c r="DK137" s="781"/>
      <c r="DL137" s="781"/>
      <c r="DM137" s="781"/>
      <c r="DN137" s="781"/>
      <c r="DO137" s="781"/>
      <c r="DP137" s="781"/>
    </row>
    <row r="138" spans="2:120" s="817" customFormat="1" ht="10.8">
      <c r="I138" s="817">
        <f>IF(I137=9,1,0)</f>
        <v>0</v>
      </c>
      <c r="J138" s="817">
        <f t="shared" ref="J138:AZ138" si="168">IF(J137=9,1,0)</f>
        <v>0</v>
      </c>
      <c r="K138" s="817">
        <f t="shared" si="168"/>
        <v>0</v>
      </c>
      <c r="L138" s="817">
        <f t="shared" si="168"/>
        <v>0</v>
      </c>
      <c r="M138" s="817">
        <f t="shared" si="168"/>
        <v>0</v>
      </c>
      <c r="N138" s="817">
        <f t="shared" si="168"/>
        <v>0</v>
      </c>
      <c r="O138" s="817">
        <f t="shared" si="168"/>
        <v>0</v>
      </c>
      <c r="P138" s="817">
        <f t="shared" si="168"/>
        <v>0</v>
      </c>
      <c r="Q138" s="817">
        <f t="shared" si="168"/>
        <v>1</v>
      </c>
      <c r="R138" s="817">
        <f t="shared" si="168"/>
        <v>0</v>
      </c>
      <c r="S138" s="817">
        <f t="shared" si="168"/>
        <v>0</v>
      </c>
      <c r="T138" s="817">
        <f t="shared" si="168"/>
        <v>0</v>
      </c>
      <c r="U138" s="817">
        <f t="shared" si="168"/>
        <v>0</v>
      </c>
      <c r="V138" s="817">
        <f t="shared" si="168"/>
        <v>0</v>
      </c>
      <c r="W138" s="817">
        <f t="shared" si="168"/>
        <v>0</v>
      </c>
      <c r="X138" s="817">
        <f t="shared" si="168"/>
        <v>0</v>
      </c>
      <c r="Y138" s="817">
        <f t="shared" si="168"/>
        <v>0</v>
      </c>
      <c r="Z138" s="817">
        <f t="shared" si="168"/>
        <v>0</v>
      </c>
      <c r="AA138" s="817">
        <f t="shared" si="168"/>
        <v>0</v>
      </c>
      <c r="AB138" s="817">
        <f t="shared" si="168"/>
        <v>0</v>
      </c>
      <c r="AC138" s="817">
        <f t="shared" si="168"/>
        <v>1</v>
      </c>
      <c r="AD138" s="817">
        <f t="shared" si="168"/>
        <v>0</v>
      </c>
      <c r="AE138" s="817">
        <f t="shared" si="168"/>
        <v>0</v>
      </c>
      <c r="AF138" s="817">
        <f t="shared" si="168"/>
        <v>0</v>
      </c>
      <c r="AG138" s="817">
        <f t="shared" si="168"/>
        <v>0</v>
      </c>
      <c r="AH138" s="817">
        <f t="shared" si="168"/>
        <v>0</v>
      </c>
      <c r="AI138" s="817">
        <f t="shared" si="168"/>
        <v>0</v>
      </c>
      <c r="AJ138" s="817">
        <f t="shared" si="168"/>
        <v>0</v>
      </c>
      <c r="AK138" s="817">
        <f t="shared" si="168"/>
        <v>0</v>
      </c>
      <c r="AL138" s="817">
        <f t="shared" si="168"/>
        <v>0</v>
      </c>
      <c r="AM138" s="817">
        <f t="shared" si="168"/>
        <v>0</v>
      </c>
      <c r="AN138" s="817">
        <f t="shared" si="168"/>
        <v>0</v>
      </c>
      <c r="AO138" s="817">
        <f t="shared" si="168"/>
        <v>0</v>
      </c>
      <c r="AP138" s="817">
        <f t="shared" si="168"/>
        <v>0</v>
      </c>
      <c r="AQ138" s="817">
        <f t="shared" si="168"/>
        <v>0</v>
      </c>
      <c r="AR138" s="817">
        <f t="shared" si="168"/>
        <v>0</v>
      </c>
      <c r="AS138" s="817">
        <f t="shared" si="168"/>
        <v>0</v>
      </c>
      <c r="AT138" s="817">
        <f t="shared" si="168"/>
        <v>0</v>
      </c>
      <c r="AU138" s="817">
        <f t="shared" si="168"/>
        <v>0</v>
      </c>
      <c r="AV138" s="817">
        <f t="shared" si="168"/>
        <v>0</v>
      </c>
      <c r="AW138" s="817">
        <f t="shared" si="168"/>
        <v>0</v>
      </c>
      <c r="AX138" s="817">
        <f t="shared" si="168"/>
        <v>0</v>
      </c>
      <c r="AY138" s="817">
        <f t="shared" si="168"/>
        <v>0</v>
      </c>
      <c r="AZ138" s="817">
        <f t="shared" si="168"/>
        <v>0</v>
      </c>
      <c r="BA138" s="817">
        <f t="shared" ref="BA138:BP138" si="169">IF(BA137=9,1,0)</f>
        <v>0</v>
      </c>
      <c r="BB138" s="817">
        <f t="shared" si="169"/>
        <v>0</v>
      </c>
      <c r="BC138" s="817">
        <f t="shared" si="169"/>
        <v>0</v>
      </c>
      <c r="BD138" s="817">
        <f t="shared" si="169"/>
        <v>0</v>
      </c>
      <c r="BE138" s="817">
        <f t="shared" si="169"/>
        <v>0</v>
      </c>
      <c r="BF138" s="817">
        <f t="shared" si="169"/>
        <v>0</v>
      </c>
      <c r="BG138" s="817">
        <f t="shared" si="169"/>
        <v>0</v>
      </c>
      <c r="BH138" s="817">
        <f t="shared" si="169"/>
        <v>0</v>
      </c>
      <c r="BI138" s="817">
        <f t="shared" si="169"/>
        <v>0</v>
      </c>
      <c r="BJ138" s="817">
        <f t="shared" si="169"/>
        <v>0</v>
      </c>
      <c r="BK138" s="817">
        <f t="shared" si="169"/>
        <v>0</v>
      </c>
      <c r="BL138" s="817">
        <f t="shared" si="169"/>
        <v>0</v>
      </c>
      <c r="BM138" s="817">
        <f t="shared" si="169"/>
        <v>0</v>
      </c>
      <c r="BN138" s="817">
        <f t="shared" si="169"/>
        <v>0</v>
      </c>
      <c r="BO138" s="817">
        <f t="shared" si="169"/>
        <v>0</v>
      </c>
      <c r="BP138" s="817">
        <f t="shared" si="169"/>
        <v>0</v>
      </c>
      <c r="BQ138" s="817">
        <f t="shared" ref="BQ138:BS138" si="170">IF(BQ137=9,1,0)</f>
        <v>0</v>
      </c>
      <c r="BR138" s="817">
        <f t="shared" si="170"/>
        <v>0</v>
      </c>
      <c r="BS138" s="817">
        <f t="shared" si="170"/>
        <v>0</v>
      </c>
      <c r="BT138" s="781"/>
      <c r="BU138" s="781"/>
      <c r="BV138" s="781"/>
      <c r="BW138" s="781"/>
      <c r="BX138" s="781"/>
      <c r="BY138" s="781"/>
      <c r="BZ138" s="781"/>
      <c r="CA138" s="781"/>
      <c r="CB138" s="781"/>
      <c r="CC138" s="781"/>
      <c r="CD138" s="781"/>
      <c r="CE138" s="781"/>
      <c r="CF138" s="781"/>
      <c r="CG138" s="781"/>
      <c r="CH138" s="781"/>
      <c r="CI138" s="781"/>
      <c r="CJ138" s="781"/>
      <c r="CK138" s="781"/>
      <c r="CL138" s="781"/>
      <c r="CM138" s="781"/>
      <c r="CN138" s="781"/>
      <c r="CO138" s="781"/>
      <c r="CP138" s="781"/>
      <c r="CQ138" s="781"/>
      <c r="CR138" s="781"/>
      <c r="CS138" s="781"/>
      <c r="CT138" s="781"/>
      <c r="CU138" s="781"/>
      <c r="CV138" s="781"/>
      <c r="CW138" s="781"/>
      <c r="CX138" s="781"/>
      <c r="CY138" s="781"/>
      <c r="CZ138" s="781"/>
      <c r="DA138" s="781"/>
      <c r="DB138" s="781"/>
      <c r="DC138" s="781"/>
      <c r="DD138" s="781"/>
      <c r="DE138" s="781"/>
      <c r="DF138" s="781"/>
      <c r="DG138" s="781"/>
      <c r="DH138" s="781"/>
      <c r="DI138" s="781"/>
      <c r="DJ138" s="781"/>
      <c r="DK138" s="781"/>
      <c r="DL138" s="781"/>
      <c r="DM138" s="781"/>
      <c r="DN138" s="781"/>
      <c r="DO138" s="781"/>
      <c r="DP138" s="781"/>
    </row>
    <row r="139" spans="2:120" s="817" customFormat="1" ht="10.8">
      <c r="C139" s="817" t="s">
        <v>1210</v>
      </c>
      <c r="BT139" s="781"/>
      <c r="BU139" s="781"/>
      <c r="BV139" s="781"/>
      <c r="BW139" s="781"/>
      <c r="BX139" s="781"/>
      <c r="BY139" s="781"/>
      <c r="BZ139" s="781"/>
      <c r="CA139" s="781"/>
      <c r="CB139" s="781"/>
      <c r="CC139" s="781"/>
      <c r="CD139" s="781"/>
      <c r="CE139" s="781"/>
      <c r="CF139" s="781"/>
      <c r="CG139" s="781"/>
      <c r="CH139" s="781"/>
      <c r="CI139" s="781"/>
      <c r="CJ139" s="781"/>
      <c r="CK139" s="781"/>
      <c r="CL139" s="781"/>
      <c r="CM139" s="781"/>
      <c r="CN139" s="781"/>
      <c r="CO139" s="781"/>
      <c r="CP139" s="781"/>
      <c r="CQ139" s="781"/>
      <c r="CR139" s="781"/>
      <c r="CS139" s="781"/>
      <c r="CT139" s="781"/>
      <c r="CU139" s="781"/>
      <c r="CV139" s="781"/>
      <c r="CW139" s="781"/>
      <c r="CX139" s="781"/>
      <c r="CY139" s="781"/>
      <c r="CZ139" s="781"/>
      <c r="DA139" s="781"/>
      <c r="DB139" s="781"/>
      <c r="DC139" s="781"/>
      <c r="DD139" s="781"/>
      <c r="DE139" s="781"/>
      <c r="DF139" s="781"/>
      <c r="DG139" s="781"/>
      <c r="DH139" s="781"/>
      <c r="DI139" s="781"/>
      <c r="DJ139" s="781"/>
      <c r="DK139" s="781"/>
      <c r="DL139" s="781"/>
      <c r="DM139" s="781"/>
      <c r="DN139" s="781"/>
      <c r="DO139" s="781"/>
      <c r="DP139" s="781"/>
    </row>
    <row r="140" spans="2:120" s="817" customFormat="1" ht="10.8">
      <c r="BT140" s="781"/>
      <c r="BU140" s="781"/>
      <c r="BV140" s="781"/>
      <c r="BW140" s="781"/>
      <c r="BX140" s="781"/>
      <c r="BY140" s="781"/>
      <c r="BZ140" s="781"/>
      <c r="CA140" s="781"/>
      <c r="CB140" s="781"/>
      <c r="CC140" s="781"/>
      <c r="CD140" s="781"/>
      <c r="CE140" s="781"/>
      <c r="CF140" s="781"/>
      <c r="CG140" s="781"/>
      <c r="CH140" s="781"/>
      <c r="CI140" s="781"/>
      <c r="CJ140" s="781"/>
      <c r="CK140" s="781"/>
      <c r="CL140" s="781"/>
      <c r="CM140" s="781"/>
      <c r="CN140" s="781"/>
      <c r="CO140" s="781"/>
      <c r="CP140" s="781"/>
      <c r="CQ140" s="781"/>
      <c r="CR140" s="781"/>
      <c r="CS140" s="781"/>
      <c r="CT140" s="781"/>
      <c r="CU140" s="781"/>
      <c r="CV140" s="781"/>
      <c r="CW140" s="781"/>
      <c r="CX140" s="781"/>
      <c r="CY140" s="781"/>
      <c r="CZ140" s="781"/>
      <c r="DA140" s="781"/>
      <c r="DB140" s="781"/>
      <c r="DC140" s="781"/>
      <c r="DD140" s="781"/>
      <c r="DE140" s="781"/>
      <c r="DF140" s="781"/>
      <c r="DG140" s="781"/>
      <c r="DH140" s="781"/>
      <c r="DI140" s="781"/>
      <c r="DJ140" s="781"/>
      <c r="DK140" s="781"/>
      <c r="DL140" s="781"/>
      <c r="DM140" s="781"/>
      <c r="DN140" s="781"/>
      <c r="DO140" s="781"/>
      <c r="DP140" s="781"/>
    </row>
    <row r="141" spans="2:120" s="817" customFormat="1" ht="10.8">
      <c r="B141" s="817" t="s">
        <v>1212</v>
      </c>
      <c r="C141" s="817">
        <f>COUNTIF(I137:BP137,11)</f>
        <v>2</v>
      </c>
      <c r="I141" s="817">
        <f>IF((I137)=11,1,0)</f>
        <v>0</v>
      </c>
      <c r="J141" s="817">
        <f t="shared" ref="J141:AZ141" si="171">IF((J137)=11,1,0)</f>
        <v>0</v>
      </c>
      <c r="K141" s="817">
        <f t="shared" si="171"/>
        <v>0</v>
      </c>
      <c r="L141" s="817">
        <f t="shared" si="171"/>
        <v>0</v>
      </c>
      <c r="M141" s="817">
        <f t="shared" si="171"/>
        <v>0</v>
      </c>
      <c r="N141" s="817">
        <f t="shared" si="171"/>
        <v>0</v>
      </c>
      <c r="O141" s="817">
        <f t="shared" si="171"/>
        <v>0</v>
      </c>
      <c r="P141" s="817">
        <f t="shared" si="171"/>
        <v>0</v>
      </c>
      <c r="Q141" s="817">
        <f t="shared" si="171"/>
        <v>0</v>
      </c>
      <c r="R141" s="817">
        <f t="shared" si="171"/>
        <v>0</v>
      </c>
      <c r="S141" s="817">
        <f t="shared" si="171"/>
        <v>1</v>
      </c>
      <c r="T141" s="817">
        <f t="shared" si="171"/>
        <v>0</v>
      </c>
      <c r="U141" s="817">
        <f t="shared" si="171"/>
        <v>0</v>
      </c>
      <c r="V141" s="817">
        <f t="shared" si="171"/>
        <v>0</v>
      </c>
      <c r="W141" s="817">
        <f t="shared" si="171"/>
        <v>0</v>
      </c>
      <c r="X141" s="817">
        <f t="shared" si="171"/>
        <v>0</v>
      </c>
      <c r="Y141" s="817">
        <f t="shared" si="171"/>
        <v>0</v>
      </c>
      <c r="Z141" s="817">
        <f t="shared" si="171"/>
        <v>0</v>
      </c>
      <c r="AA141" s="817">
        <f t="shared" si="171"/>
        <v>0</v>
      </c>
      <c r="AB141" s="817">
        <f t="shared" si="171"/>
        <v>0</v>
      </c>
      <c r="AC141" s="817">
        <f t="shared" si="171"/>
        <v>0</v>
      </c>
      <c r="AD141" s="817">
        <f t="shared" si="171"/>
        <v>0</v>
      </c>
      <c r="AE141" s="817">
        <f t="shared" si="171"/>
        <v>1</v>
      </c>
      <c r="AF141" s="817">
        <f t="shared" si="171"/>
        <v>0</v>
      </c>
      <c r="AG141" s="817">
        <f t="shared" si="171"/>
        <v>0</v>
      </c>
      <c r="AH141" s="817">
        <f t="shared" si="171"/>
        <v>0</v>
      </c>
      <c r="AI141" s="817">
        <f t="shared" si="171"/>
        <v>0</v>
      </c>
      <c r="AJ141" s="817">
        <f t="shared" si="171"/>
        <v>0</v>
      </c>
      <c r="AK141" s="817">
        <f t="shared" si="171"/>
        <v>0</v>
      </c>
      <c r="AL141" s="817">
        <f t="shared" si="171"/>
        <v>0</v>
      </c>
      <c r="AM141" s="817">
        <f t="shared" si="171"/>
        <v>0</v>
      </c>
      <c r="AN141" s="817">
        <f t="shared" si="171"/>
        <v>0</v>
      </c>
      <c r="AO141" s="817">
        <f t="shared" si="171"/>
        <v>0</v>
      </c>
      <c r="AP141" s="817">
        <f t="shared" si="171"/>
        <v>0</v>
      </c>
      <c r="AQ141" s="817">
        <f t="shared" si="171"/>
        <v>0</v>
      </c>
      <c r="AR141" s="817">
        <f t="shared" si="171"/>
        <v>0</v>
      </c>
      <c r="AS141" s="817">
        <f t="shared" si="171"/>
        <v>0</v>
      </c>
      <c r="AT141" s="817">
        <f t="shared" si="171"/>
        <v>0</v>
      </c>
      <c r="AU141" s="817">
        <f t="shared" si="171"/>
        <v>0</v>
      </c>
      <c r="AV141" s="817">
        <f t="shared" si="171"/>
        <v>0</v>
      </c>
      <c r="AW141" s="817">
        <f t="shared" si="171"/>
        <v>0</v>
      </c>
      <c r="AX141" s="817">
        <f t="shared" si="171"/>
        <v>0</v>
      </c>
      <c r="AY141" s="817">
        <f t="shared" si="171"/>
        <v>0</v>
      </c>
      <c r="AZ141" s="817">
        <f t="shared" si="171"/>
        <v>0</v>
      </c>
      <c r="BA141" s="817">
        <f t="shared" ref="BA141:BP141" si="172">IF((BA137)=11,1,0)</f>
        <v>0</v>
      </c>
      <c r="BB141" s="817">
        <f t="shared" si="172"/>
        <v>0</v>
      </c>
      <c r="BC141" s="817">
        <f t="shared" si="172"/>
        <v>0</v>
      </c>
      <c r="BD141" s="817">
        <f t="shared" si="172"/>
        <v>0</v>
      </c>
      <c r="BE141" s="817">
        <f t="shared" si="172"/>
        <v>0</v>
      </c>
      <c r="BF141" s="817">
        <f t="shared" si="172"/>
        <v>0</v>
      </c>
      <c r="BG141" s="817">
        <f t="shared" si="172"/>
        <v>0</v>
      </c>
      <c r="BH141" s="817">
        <f t="shared" si="172"/>
        <v>0</v>
      </c>
      <c r="BI141" s="817">
        <f t="shared" si="172"/>
        <v>0</v>
      </c>
      <c r="BJ141" s="817">
        <f t="shared" si="172"/>
        <v>0</v>
      </c>
      <c r="BK141" s="817">
        <f t="shared" si="172"/>
        <v>0</v>
      </c>
      <c r="BL141" s="817">
        <f t="shared" si="172"/>
        <v>0</v>
      </c>
      <c r="BM141" s="817">
        <f t="shared" si="172"/>
        <v>0</v>
      </c>
      <c r="BN141" s="817">
        <f t="shared" si="172"/>
        <v>0</v>
      </c>
      <c r="BO141" s="817">
        <f t="shared" si="172"/>
        <v>0</v>
      </c>
      <c r="BP141" s="817">
        <f t="shared" si="172"/>
        <v>0</v>
      </c>
      <c r="BQ141" s="817">
        <f t="shared" ref="BQ141:BS141" si="173">IF((BQ137)=11,1,0)</f>
        <v>0</v>
      </c>
      <c r="BR141" s="817">
        <f t="shared" si="173"/>
        <v>0</v>
      </c>
      <c r="BS141" s="817">
        <f t="shared" si="173"/>
        <v>0</v>
      </c>
      <c r="BT141" s="781"/>
      <c r="BU141" s="781"/>
      <c r="BV141" s="781"/>
      <c r="BW141" s="781"/>
      <c r="BX141" s="781"/>
      <c r="BY141" s="781"/>
      <c r="BZ141" s="781"/>
      <c r="CA141" s="781"/>
      <c r="CB141" s="781"/>
      <c r="CC141" s="781"/>
      <c r="CD141" s="781"/>
      <c r="CE141" s="781"/>
      <c r="CF141" s="781"/>
      <c r="CG141" s="781"/>
      <c r="CH141" s="781"/>
      <c r="CI141" s="781"/>
      <c r="CJ141" s="781"/>
      <c r="CK141" s="781"/>
      <c r="CL141" s="781"/>
      <c r="CM141" s="781"/>
      <c r="CN141" s="781"/>
      <c r="CO141" s="781"/>
      <c r="CP141" s="781"/>
      <c r="CQ141" s="781"/>
      <c r="CR141" s="781"/>
      <c r="CS141" s="781"/>
      <c r="CT141" s="781"/>
      <c r="CU141" s="781"/>
      <c r="CV141" s="781"/>
      <c r="CW141" s="781"/>
      <c r="CX141" s="781"/>
      <c r="CY141" s="781"/>
      <c r="CZ141" s="781"/>
      <c r="DA141" s="781"/>
      <c r="DB141" s="781"/>
      <c r="DC141" s="781"/>
      <c r="DD141" s="781"/>
      <c r="DE141" s="781"/>
      <c r="DF141" s="781"/>
      <c r="DG141" s="781"/>
      <c r="DH141" s="781"/>
      <c r="DI141" s="781"/>
      <c r="DJ141" s="781"/>
      <c r="DK141" s="781"/>
      <c r="DL141" s="781"/>
      <c r="DM141" s="781"/>
      <c r="DN141" s="781"/>
      <c r="DO141" s="781"/>
      <c r="DP141" s="781"/>
    </row>
    <row r="142" spans="2:120" s="817" customFormat="1" ht="10.8">
      <c r="BT142" s="781"/>
      <c r="BU142" s="781"/>
      <c r="BV142" s="781"/>
      <c r="BW142" s="781"/>
      <c r="BX142" s="781"/>
      <c r="BY142" s="781"/>
      <c r="BZ142" s="781"/>
      <c r="CA142" s="781"/>
      <c r="CB142" s="781"/>
      <c r="CC142" s="781"/>
      <c r="CD142" s="781"/>
      <c r="CE142" s="781"/>
      <c r="CF142" s="781"/>
      <c r="CG142" s="781"/>
      <c r="CH142" s="781"/>
      <c r="CI142" s="781"/>
      <c r="CJ142" s="781"/>
      <c r="CK142" s="781"/>
      <c r="CL142" s="781"/>
      <c r="CM142" s="781"/>
      <c r="CN142" s="781"/>
      <c r="CO142" s="781"/>
      <c r="CP142" s="781"/>
      <c r="CQ142" s="781"/>
      <c r="CR142" s="781"/>
      <c r="CS142" s="781"/>
      <c r="CT142" s="781"/>
      <c r="CU142" s="781"/>
      <c r="CV142" s="781"/>
      <c r="CW142" s="781"/>
      <c r="CX142" s="781"/>
      <c r="CY142" s="781"/>
      <c r="CZ142" s="781"/>
      <c r="DA142" s="781"/>
      <c r="DB142" s="781"/>
      <c r="DC142" s="781"/>
      <c r="DD142" s="781"/>
      <c r="DE142" s="781"/>
      <c r="DF142" s="781"/>
      <c r="DG142" s="781"/>
      <c r="DH142" s="781"/>
      <c r="DI142" s="781"/>
      <c r="DJ142" s="781"/>
      <c r="DK142" s="781"/>
      <c r="DL142" s="781"/>
      <c r="DM142" s="781"/>
      <c r="DN142" s="781"/>
      <c r="DO142" s="781"/>
      <c r="DP142" s="781"/>
    </row>
    <row r="143" spans="2:120">
      <c r="B143" s="655" t="s">
        <v>1219</v>
      </c>
      <c r="C143" s="655">
        <v>3</v>
      </c>
      <c r="I143" s="655">
        <f t="shared" ref="I143:AZ143" si="174">MOD(I4,$C$143)</f>
        <v>1</v>
      </c>
      <c r="J143" s="655">
        <f t="shared" si="174"/>
        <v>2</v>
      </c>
      <c r="K143" s="655">
        <f t="shared" si="174"/>
        <v>0</v>
      </c>
      <c r="L143" s="655">
        <f t="shared" si="174"/>
        <v>1</v>
      </c>
      <c r="M143" s="655">
        <f t="shared" si="174"/>
        <v>2</v>
      </c>
      <c r="N143" s="655">
        <f t="shared" si="174"/>
        <v>0</v>
      </c>
      <c r="O143" s="655">
        <f t="shared" si="174"/>
        <v>1</v>
      </c>
      <c r="P143" s="655">
        <f t="shared" si="174"/>
        <v>2</v>
      </c>
      <c r="Q143" s="655">
        <f t="shared" si="174"/>
        <v>0</v>
      </c>
      <c r="R143" s="655">
        <f t="shared" si="174"/>
        <v>1</v>
      </c>
      <c r="S143" s="655">
        <f t="shared" si="174"/>
        <v>2</v>
      </c>
      <c r="T143" s="655">
        <f t="shared" si="174"/>
        <v>0</v>
      </c>
      <c r="U143" s="655">
        <f t="shared" si="174"/>
        <v>1</v>
      </c>
      <c r="V143" s="655">
        <f t="shared" si="174"/>
        <v>2</v>
      </c>
      <c r="W143" s="655">
        <f t="shared" si="174"/>
        <v>0</v>
      </c>
      <c r="X143" s="655">
        <f t="shared" si="174"/>
        <v>1</v>
      </c>
      <c r="Y143" s="655">
        <f t="shared" si="174"/>
        <v>2</v>
      </c>
      <c r="Z143" s="655">
        <f t="shared" si="174"/>
        <v>0</v>
      </c>
      <c r="AA143" s="655">
        <f t="shared" si="174"/>
        <v>1</v>
      </c>
      <c r="AB143" s="655">
        <f t="shared" si="174"/>
        <v>2</v>
      </c>
      <c r="AC143" s="655">
        <f t="shared" si="174"/>
        <v>0</v>
      </c>
      <c r="AD143" s="655">
        <f t="shared" si="174"/>
        <v>1</v>
      </c>
      <c r="AE143" s="655">
        <f t="shared" si="174"/>
        <v>2</v>
      </c>
      <c r="AF143" s="655">
        <f t="shared" si="174"/>
        <v>0</v>
      </c>
      <c r="AG143" s="655">
        <f t="shared" si="174"/>
        <v>1</v>
      </c>
      <c r="AH143" s="655">
        <f t="shared" si="174"/>
        <v>2</v>
      </c>
      <c r="AI143" s="655">
        <f t="shared" si="174"/>
        <v>0</v>
      </c>
      <c r="AJ143" s="655">
        <f t="shared" si="174"/>
        <v>1</v>
      </c>
      <c r="AK143" s="655">
        <f t="shared" si="174"/>
        <v>2</v>
      </c>
      <c r="AL143" s="655">
        <f t="shared" si="174"/>
        <v>0</v>
      </c>
      <c r="AM143" s="655">
        <f t="shared" si="174"/>
        <v>1</v>
      </c>
      <c r="AN143" s="655">
        <f t="shared" si="174"/>
        <v>2</v>
      </c>
      <c r="AO143" s="655">
        <f t="shared" si="174"/>
        <v>0</v>
      </c>
      <c r="AP143" s="655">
        <f t="shared" si="174"/>
        <v>1</v>
      </c>
      <c r="AQ143" s="655">
        <f t="shared" si="174"/>
        <v>2</v>
      </c>
      <c r="AR143" s="655">
        <f t="shared" si="174"/>
        <v>0</v>
      </c>
      <c r="AS143" s="655">
        <f t="shared" si="174"/>
        <v>1</v>
      </c>
      <c r="AT143" s="655">
        <f t="shared" si="174"/>
        <v>2</v>
      </c>
      <c r="AU143" s="655">
        <f t="shared" si="174"/>
        <v>0</v>
      </c>
      <c r="AV143" s="655">
        <f t="shared" si="174"/>
        <v>1</v>
      </c>
      <c r="AW143" s="655">
        <f t="shared" si="174"/>
        <v>2</v>
      </c>
      <c r="AX143" s="655">
        <f t="shared" si="174"/>
        <v>0</v>
      </c>
      <c r="AY143" s="655">
        <f t="shared" si="174"/>
        <v>1</v>
      </c>
      <c r="AZ143" s="655">
        <f t="shared" si="174"/>
        <v>2</v>
      </c>
      <c r="BA143" s="655">
        <f t="shared" ref="BA143:BP143" si="175">MOD(BA4,$C$143)</f>
        <v>0</v>
      </c>
      <c r="BB143" s="655">
        <f t="shared" si="175"/>
        <v>1</v>
      </c>
      <c r="BC143" s="655">
        <f t="shared" si="175"/>
        <v>2</v>
      </c>
      <c r="BD143" s="655">
        <f t="shared" si="175"/>
        <v>0</v>
      </c>
      <c r="BE143" s="655">
        <f t="shared" si="175"/>
        <v>1</v>
      </c>
      <c r="BF143" s="655">
        <f t="shared" si="175"/>
        <v>2</v>
      </c>
      <c r="BG143" s="655">
        <f t="shared" si="175"/>
        <v>0</v>
      </c>
      <c r="BH143" s="655">
        <f t="shared" si="175"/>
        <v>1</v>
      </c>
      <c r="BI143" s="655">
        <f t="shared" si="175"/>
        <v>2</v>
      </c>
      <c r="BJ143" s="655">
        <f t="shared" si="175"/>
        <v>0</v>
      </c>
      <c r="BK143" s="655">
        <f t="shared" si="175"/>
        <v>1</v>
      </c>
      <c r="BL143" s="655">
        <f t="shared" si="175"/>
        <v>2</v>
      </c>
      <c r="BM143" s="655">
        <f t="shared" si="175"/>
        <v>0</v>
      </c>
      <c r="BN143" s="655">
        <f t="shared" si="175"/>
        <v>1</v>
      </c>
      <c r="BO143" s="655">
        <f t="shared" si="175"/>
        <v>2</v>
      </c>
      <c r="BP143" s="655">
        <f t="shared" si="175"/>
        <v>0</v>
      </c>
      <c r="BQ143" s="655">
        <f t="shared" ref="BQ143:BS143" si="176">MOD(BQ4,$C$143)</f>
        <v>1</v>
      </c>
      <c r="BR143" s="655">
        <f t="shared" si="176"/>
        <v>2</v>
      </c>
      <c r="BS143" s="655">
        <f t="shared" si="176"/>
        <v>0</v>
      </c>
    </row>
    <row r="144" spans="2:120">
      <c r="B144" s="655" t="s">
        <v>1220</v>
      </c>
      <c r="C144" s="817">
        <f>COUNTIF(I144:BP144,1)</f>
        <v>11</v>
      </c>
      <c r="I144" s="655">
        <f t="shared" ref="I144:AZ144" si="177">IF(I5="착공",1,IF(I5="준공",1,IF(I143=0,1,)))*I114</f>
        <v>1</v>
      </c>
      <c r="J144" s="655">
        <f t="shared" si="177"/>
        <v>0</v>
      </c>
      <c r="K144" s="655">
        <f t="shared" si="177"/>
        <v>1</v>
      </c>
      <c r="L144" s="655">
        <f t="shared" si="177"/>
        <v>0</v>
      </c>
      <c r="M144" s="655">
        <f t="shared" si="177"/>
        <v>0</v>
      </c>
      <c r="N144" s="655">
        <f t="shared" si="177"/>
        <v>1</v>
      </c>
      <c r="O144" s="655">
        <f t="shared" si="177"/>
        <v>0</v>
      </c>
      <c r="P144" s="655">
        <f t="shared" si="177"/>
        <v>0</v>
      </c>
      <c r="Q144" s="655">
        <f t="shared" si="177"/>
        <v>1</v>
      </c>
      <c r="R144" s="655">
        <f t="shared" si="177"/>
        <v>0</v>
      </c>
      <c r="S144" s="655">
        <f t="shared" si="177"/>
        <v>0</v>
      </c>
      <c r="T144" s="655">
        <f t="shared" si="177"/>
        <v>1</v>
      </c>
      <c r="U144" s="655">
        <f t="shared" si="177"/>
        <v>0</v>
      </c>
      <c r="V144" s="655">
        <f t="shared" si="177"/>
        <v>0</v>
      </c>
      <c r="W144" s="655">
        <f t="shared" si="177"/>
        <v>1</v>
      </c>
      <c r="X144" s="655">
        <f t="shared" si="177"/>
        <v>0</v>
      </c>
      <c r="Y144" s="655">
        <f t="shared" si="177"/>
        <v>0</v>
      </c>
      <c r="Z144" s="655">
        <f t="shared" si="177"/>
        <v>1</v>
      </c>
      <c r="AA144" s="655">
        <f t="shared" si="177"/>
        <v>0</v>
      </c>
      <c r="AB144" s="655">
        <f t="shared" si="177"/>
        <v>0</v>
      </c>
      <c r="AC144" s="655">
        <f t="shared" si="177"/>
        <v>1</v>
      </c>
      <c r="AD144" s="655">
        <f t="shared" si="177"/>
        <v>0</v>
      </c>
      <c r="AE144" s="655">
        <f t="shared" si="177"/>
        <v>0</v>
      </c>
      <c r="AF144" s="655">
        <f t="shared" si="177"/>
        <v>1</v>
      </c>
      <c r="AG144" s="655">
        <f t="shared" si="177"/>
        <v>0</v>
      </c>
      <c r="AH144" s="655">
        <f t="shared" si="177"/>
        <v>0</v>
      </c>
      <c r="AI144" s="655">
        <f t="shared" si="177"/>
        <v>1</v>
      </c>
      <c r="AJ144" s="655">
        <f t="shared" si="177"/>
        <v>0</v>
      </c>
      <c r="AK144" s="655">
        <f t="shared" si="177"/>
        <v>0</v>
      </c>
      <c r="AL144" s="655">
        <f t="shared" si="177"/>
        <v>1</v>
      </c>
      <c r="AM144" s="655">
        <f t="shared" si="177"/>
        <v>0</v>
      </c>
      <c r="AN144" s="655">
        <f t="shared" si="177"/>
        <v>0</v>
      </c>
      <c r="AO144" s="655">
        <f t="shared" si="177"/>
        <v>0</v>
      </c>
      <c r="AP144" s="655">
        <f t="shared" si="177"/>
        <v>0</v>
      </c>
      <c r="AQ144" s="655">
        <f t="shared" si="177"/>
        <v>0</v>
      </c>
      <c r="AR144" s="655">
        <f t="shared" si="177"/>
        <v>0</v>
      </c>
      <c r="AS144" s="655">
        <f t="shared" si="177"/>
        <v>0</v>
      </c>
      <c r="AT144" s="655">
        <f t="shared" si="177"/>
        <v>0</v>
      </c>
      <c r="AU144" s="655">
        <f t="shared" si="177"/>
        <v>0</v>
      </c>
      <c r="AV144" s="655">
        <f t="shared" si="177"/>
        <v>0</v>
      </c>
      <c r="AW144" s="655">
        <f t="shared" si="177"/>
        <v>0</v>
      </c>
      <c r="AX144" s="655">
        <f t="shared" si="177"/>
        <v>0</v>
      </c>
      <c r="AY144" s="655">
        <f t="shared" si="177"/>
        <v>0</v>
      </c>
      <c r="AZ144" s="655">
        <f t="shared" si="177"/>
        <v>0</v>
      </c>
      <c r="BA144" s="655">
        <f t="shared" ref="BA144:BP144" si="178">IF(BA5="착공",1,IF(BA5="준공",1,IF(BA143=0,1,)))*BA114</f>
        <v>0</v>
      </c>
      <c r="BB144" s="655">
        <f t="shared" si="178"/>
        <v>0</v>
      </c>
      <c r="BC144" s="655">
        <f t="shared" si="178"/>
        <v>0</v>
      </c>
      <c r="BD144" s="655">
        <f t="shared" si="178"/>
        <v>0</v>
      </c>
      <c r="BE144" s="655">
        <f t="shared" si="178"/>
        <v>0</v>
      </c>
      <c r="BF144" s="655">
        <f t="shared" si="178"/>
        <v>0</v>
      </c>
      <c r="BG144" s="655">
        <f t="shared" si="178"/>
        <v>0</v>
      </c>
      <c r="BH144" s="655">
        <f t="shared" si="178"/>
        <v>0</v>
      </c>
      <c r="BI144" s="655">
        <f t="shared" si="178"/>
        <v>0</v>
      </c>
      <c r="BJ144" s="655">
        <f t="shared" si="178"/>
        <v>0</v>
      </c>
      <c r="BK144" s="655">
        <f t="shared" si="178"/>
        <v>0</v>
      </c>
      <c r="BL144" s="655">
        <f t="shared" si="178"/>
        <v>0</v>
      </c>
      <c r="BM144" s="655">
        <f t="shared" si="178"/>
        <v>0</v>
      </c>
      <c r="BN144" s="655">
        <f t="shared" si="178"/>
        <v>0</v>
      </c>
      <c r="BO144" s="655">
        <f t="shared" si="178"/>
        <v>0</v>
      </c>
      <c r="BP144" s="655">
        <f t="shared" si="178"/>
        <v>0</v>
      </c>
      <c r="BQ144" s="655">
        <f t="shared" ref="BQ144:BS144" si="179">IF(BQ5="착공",1,IF(BQ5="준공",1,IF(BQ143=0,1,)))*BQ114</f>
        <v>0</v>
      </c>
      <c r="BR144" s="655">
        <f t="shared" si="179"/>
        <v>0</v>
      </c>
      <c r="BS144" s="655">
        <f t="shared" si="179"/>
        <v>0</v>
      </c>
    </row>
    <row r="146" spans="2:3">
      <c r="B146" s="655" t="s">
        <v>1472</v>
      </c>
      <c r="C146" s="1803">
        <f>총괄장!W11</f>
        <v>0.9</v>
      </c>
    </row>
    <row r="147" spans="2:3">
      <c r="B147" s="655" t="s">
        <v>1473</v>
      </c>
      <c r="C147" s="1803">
        <f>총괄장!W12</f>
        <v>9.9999999999999978E-2</v>
      </c>
    </row>
    <row r="148" spans="2:3">
      <c r="B148" s="655" t="s">
        <v>1474</v>
      </c>
      <c r="C148" s="1803">
        <f>1-C147</f>
        <v>0.9</v>
      </c>
    </row>
    <row r="150" spans="2:3">
      <c r="B150" s="655" t="s">
        <v>1600</v>
      </c>
      <c r="C150" s="1803">
        <f>총괄장!S6</f>
        <v>0</v>
      </c>
    </row>
  </sheetData>
  <mergeCells count="2">
    <mergeCell ref="B32:K33"/>
    <mergeCell ref="B1:K2"/>
  </mergeCells>
  <phoneticPr fontId="4" type="noConversion"/>
  <conditionalFormatting sqref="F8:H8 F25:H26 F10:H11 F16:H17 F19:H20 F28:H29 F13:H14">
    <cfRule type="cellIs" dxfId="28" priority="9" operator="greaterThan">
      <formula>0</formula>
    </cfRule>
  </conditionalFormatting>
  <conditionalFormatting sqref="I11:AN11">
    <cfRule type="cellIs" dxfId="27" priority="4" operator="greaterThan">
      <formula>0</formula>
    </cfRule>
  </conditionalFormatting>
  <conditionalFormatting sqref="I17:AM17">
    <cfRule type="cellIs" dxfId="26" priority="3" operator="greaterThan">
      <formula>0</formula>
    </cfRule>
  </conditionalFormatting>
  <conditionalFormatting sqref="F22:H23">
    <cfRule type="cellIs" dxfId="25" priority="2" operator="greaterThan">
      <formula>0</formula>
    </cfRule>
  </conditionalFormatting>
  <pageMargins left="0.7" right="0.7" top="0.75" bottom="0.75" header="0.3" footer="0.3"/>
  <pageSetup paperSize="9" scale="1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4929" r:id="rId4" name="Button 1">
              <controlPr defaultSize="0" print="0" autoFill="0" autoPict="0" macro="[0]!비용계획초기화">
                <anchor moveWithCells="1">
                  <from>
                    <xdr:col>3</xdr:col>
                    <xdr:colOff>259080</xdr:colOff>
                    <xdr:row>0</xdr:row>
                    <xdr:rowOff>0</xdr:rowOff>
                  </from>
                  <to>
                    <xdr:col>9</xdr:col>
                    <xdr:colOff>304800</xdr:colOff>
                    <xdr:row>1</xdr:row>
                    <xdr:rowOff>114300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8" operator="greaterThan" id="{3F27F562-FF98-4A3F-A2A9-DECF3F78486F}">
            <xm:f>총괄장!$P$6</xm:f>
            <x14:dxf>
              <font>
                <color rgb="FF9C0006"/>
              </font>
              <fill>
                <patternFill>
                  <bgColor rgb="FFFFC7CE"/>
                </patternFill>
              </fill>
            </x14:dxf>
          </x14:cfRule>
          <xm:sqref>I4:BS4</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tabColor rgb="FFFF0000"/>
    <pageSetUpPr fitToPage="1"/>
  </sheetPr>
  <dimension ref="A1:AP122"/>
  <sheetViews>
    <sheetView showGridLines="0" view="pageBreakPreview" topLeftCell="I21" zoomScale="85" zoomScaleNormal="85" zoomScaleSheetLayoutView="85" workbookViewId="0">
      <selection activeCell="M78" sqref="M78:O78"/>
    </sheetView>
  </sheetViews>
  <sheetFormatPr defaultColWidth="8.69921875" defaultRowHeight="17.399999999999999"/>
  <cols>
    <col min="1" max="1" width="5.5" customWidth="1"/>
    <col min="2" max="2" width="13.5" customWidth="1"/>
    <col min="3" max="3" width="19.59765625" customWidth="1"/>
    <col min="4" max="4" width="14.19921875" customWidth="1"/>
    <col min="5" max="5" width="15" customWidth="1"/>
    <col min="6" max="6" width="12.8984375" bestFit="1" customWidth="1"/>
    <col min="7" max="7" width="14.5" bestFit="1" customWidth="1"/>
    <col min="8" max="8" width="8.59765625" customWidth="1"/>
    <col min="9" max="9" width="9.09765625" customWidth="1"/>
    <col min="10" max="10" width="13.3984375" customWidth="1"/>
    <col min="11" max="11" width="12.69921875" customWidth="1"/>
    <col min="12" max="12" width="11.69921875" customWidth="1"/>
    <col min="13" max="13" width="12.59765625" customWidth="1"/>
    <col min="14" max="14" width="10" customWidth="1"/>
    <col min="15" max="15" width="17.5" customWidth="1"/>
    <col min="16" max="16" width="4.5" customWidth="1"/>
    <col min="17" max="17" width="14" customWidth="1"/>
    <col min="18" max="18" width="14.8984375" customWidth="1"/>
    <col min="19" max="19" width="18.19921875" style="7" customWidth="1"/>
    <col min="20" max="20" width="14.09765625" customWidth="1"/>
    <col min="21" max="21" width="18.3984375" customWidth="1"/>
    <col min="22" max="22" width="16.19921875" customWidth="1"/>
    <col min="23" max="23" width="15.19921875" customWidth="1"/>
    <col min="24" max="24" width="4.3984375" customWidth="1"/>
    <col min="25" max="25" width="21" customWidth="1"/>
    <col min="26" max="26" width="12.69921875" customWidth="1"/>
    <col min="27" max="27" width="13.5" customWidth="1"/>
    <col min="29" max="29" width="14.09765625" style="398" customWidth="1"/>
    <col min="30" max="30" width="12.59765625" style="398" bestFit="1" customWidth="1"/>
    <col min="31" max="31" width="9" style="398" customWidth="1"/>
    <col min="33" max="33" width="11.69921875" customWidth="1"/>
    <col min="35" max="35" width="12.3984375" customWidth="1"/>
    <col min="37" max="38" width="14.69921875" customWidth="1"/>
    <col min="39" max="39" width="11.19921875" customWidth="1"/>
    <col min="41" max="41" width="14.8984375" customWidth="1"/>
    <col min="42" max="42" width="27.69921875" customWidth="1"/>
  </cols>
  <sheetData>
    <row r="1" spans="1:24" ht="22.5" customHeight="1">
      <c r="A1" s="374" t="str">
        <f>"○ " &amp; 총괄장!C2&amp; " 예상사업수지표"</f>
        <v>○ 밀양시 삼문동 공동주택 (분양불) 예상사업수지표</v>
      </c>
      <c r="B1" s="374"/>
      <c r="C1" s="374"/>
    </row>
    <row r="2" spans="1:24">
      <c r="A2" s="1"/>
      <c r="B2" s="2"/>
      <c r="C2" s="2"/>
      <c r="D2" s="2"/>
      <c r="E2" s="2"/>
      <c r="F2" s="2"/>
      <c r="G2" s="2"/>
      <c r="H2" s="2"/>
      <c r="I2" s="2"/>
      <c r="J2" s="1"/>
      <c r="K2" s="1"/>
      <c r="L2" s="1"/>
      <c r="M2" s="1"/>
      <c r="N2" s="1"/>
      <c r="O2" s="1"/>
      <c r="R2" s="386"/>
      <c r="S2" s="389"/>
      <c r="T2" s="386"/>
      <c r="U2" s="386"/>
      <c r="V2" s="386"/>
      <c r="W2" s="387"/>
      <c r="X2" s="387"/>
    </row>
    <row r="3" spans="1:24" ht="15.9" customHeight="1">
      <c r="A3" s="1970" t="s">
        <v>5</v>
      </c>
      <c r="B3" s="633" t="s">
        <v>1070</v>
      </c>
      <c r="C3" s="2102" t="str">
        <f>총괄장!C6</f>
        <v>러닝스푼즈</v>
      </c>
      <c r="D3" s="2103"/>
      <c r="E3" s="1979" t="s">
        <v>954</v>
      </c>
      <c r="F3" s="2151" t="s">
        <v>6</v>
      </c>
      <c r="G3" s="2152"/>
      <c r="H3" s="2139">
        <f>총괄장!H6</f>
        <v>2895</v>
      </c>
      <c r="I3" s="2140"/>
      <c r="J3" s="2132">
        <f>H3*0.3025</f>
        <v>875.73749999999995</v>
      </c>
      <c r="K3" s="2133"/>
      <c r="L3" s="2141" t="s">
        <v>7</v>
      </c>
      <c r="M3" s="2141"/>
      <c r="N3" s="2102" t="str">
        <f>총괄장!L6</f>
        <v>공동주택</v>
      </c>
      <c r="O3" s="2103"/>
      <c r="P3" s="850"/>
      <c r="Q3" s="423"/>
      <c r="R3" s="388"/>
      <c r="S3" s="4"/>
      <c r="T3" s="851"/>
      <c r="U3" s="851"/>
      <c r="V3" s="852"/>
      <c r="W3" s="852"/>
      <c r="X3" s="852"/>
    </row>
    <row r="4" spans="1:24" ht="15.9" customHeight="1">
      <c r="A4" s="1971"/>
      <c r="B4" s="632" t="s">
        <v>50</v>
      </c>
      <c r="C4" s="853">
        <f>총괄장!C7</f>
        <v>17660</v>
      </c>
      <c r="D4" s="455">
        <f>C4*0.3025</f>
        <v>5342.15</v>
      </c>
      <c r="E4" s="1980"/>
      <c r="F4" s="2153" t="s">
        <v>10</v>
      </c>
      <c r="G4" s="630" t="s">
        <v>11</v>
      </c>
      <c r="H4" s="2134">
        <f>총괄장!H7</f>
        <v>40553.46</v>
      </c>
      <c r="I4" s="2135"/>
      <c r="J4" s="2130">
        <f>H4*0.3025</f>
        <v>12267.42165</v>
      </c>
      <c r="K4" s="2131"/>
      <c r="L4" s="2144" t="s">
        <v>12</v>
      </c>
      <c r="M4" s="2144"/>
      <c r="N4" s="2104" t="str">
        <f>총괄장!L7</f>
        <v>철근콘크리트</v>
      </c>
      <c r="O4" s="2105"/>
      <c r="P4" s="850"/>
      <c r="Q4" s="423"/>
      <c r="R4" s="388"/>
      <c r="S4" s="4"/>
      <c r="T4" s="851"/>
      <c r="U4" s="851"/>
      <c r="V4" s="852"/>
      <c r="W4" s="852"/>
      <c r="X4" s="852"/>
    </row>
    <row r="5" spans="1:24" ht="15.9" customHeight="1">
      <c r="A5" s="1971"/>
      <c r="B5" s="632" t="s">
        <v>51</v>
      </c>
      <c r="C5" s="2149">
        <f>총괄장!C8</f>
        <v>16000000</v>
      </c>
      <c r="D5" s="2150"/>
      <c r="E5" s="1980"/>
      <c r="F5" s="2153"/>
      <c r="G5" s="630" t="s">
        <v>14</v>
      </c>
      <c r="H5" s="2134">
        <f>총괄장!H8</f>
        <v>15110</v>
      </c>
      <c r="I5" s="2135"/>
      <c r="J5" s="2130">
        <f>H5*0.3025</f>
        <v>4570.7749999999996</v>
      </c>
      <c r="K5" s="2131"/>
      <c r="L5" s="2144" t="s">
        <v>15</v>
      </c>
      <c r="M5" s="2144"/>
      <c r="N5" s="381">
        <f>총괄장!L8</f>
        <v>2</v>
      </c>
      <c r="O5" s="391">
        <f>총괄장!M8</f>
        <v>24</v>
      </c>
      <c r="P5" s="382"/>
      <c r="Q5" s="385"/>
      <c r="R5" s="388"/>
      <c r="S5" s="4"/>
      <c r="T5" s="851"/>
      <c r="U5" s="851"/>
      <c r="V5" s="852"/>
      <c r="W5" s="852"/>
      <c r="X5" s="852"/>
    </row>
    <row r="6" spans="1:24" ht="15.9" customHeight="1">
      <c r="A6" s="1971"/>
      <c r="B6" s="632" t="s">
        <v>52</v>
      </c>
      <c r="C6" s="2142">
        <f>C5/D4</f>
        <v>2995.0488099360746</v>
      </c>
      <c r="D6" s="2143"/>
      <c r="E6" s="1980"/>
      <c r="F6" s="2153"/>
      <c r="G6" s="630" t="s">
        <v>17</v>
      </c>
      <c r="H6" s="2134">
        <f>총괄장!H9</f>
        <v>55663.46</v>
      </c>
      <c r="I6" s="2135"/>
      <c r="J6" s="2130">
        <f>H6*0.3025</f>
        <v>16838.196649999998</v>
      </c>
      <c r="K6" s="2131"/>
      <c r="L6" s="2144" t="s">
        <v>18</v>
      </c>
      <c r="M6" s="2144"/>
      <c r="N6" s="2106">
        <f>총괄장!L9</f>
        <v>366</v>
      </c>
      <c r="O6" s="2107">
        <f>총괄장!L9</f>
        <v>366</v>
      </c>
      <c r="P6" s="854"/>
      <c r="Q6" s="855"/>
      <c r="R6" s="388"/>
      <c r="S6" s="4"/>
      <c r="T6" s="856"/>
      <c r="U6" s="856"/>
      <c r="V6" s="857"/>
      <c r="W6" s="852"/>
      <c r="X6" s="852"/>
    </row>
    <row r="7" spans="1:24" ht="15.9" customHeight="1">
      <c r="A7" s="1971"/>
      <c r="B7" s="632" t="s">
        <v>16</v>
      </c>
      <c r="C7" s="2145" t="str">
        <f>총괄장!C10</f>
        <v>제2종일반주거</v>
      </c>
      <c r="D7" s="2146"/>
      <c r="E7" s="1980"/>
      <c r="F7" s="2154" t="s">
        <v>20</v>
      </c>
      <c r="G7" s="2144"/>
      <c r="H7" s="2157">
        <f>총괄장!H10</f>
        <v>0.16392978482446205</v>
      </c>
      <c r="I7" s="2158"/>
      <c r="J7" s="2158"/>
      <c r="K7" s="2159"/>
      <c r="L7" s="371" t="s">
        <v>47</v>
      </c>
      <c r="M7" s="630" t="s">
        <v>21</v>
      </c>
      <c r="N7" s="2108">
        <f>총괄장!L10</f>
        <v>366</v>
      </c>
      <c r="O7" s="2109" t="e">
        <f>총괄장!#REF!</f>
        <v>#REF!</v>
      </c>
      <c r="P7" s="858"/>
      <c r="Q7" s="859"/>
      <c r="R7" s="388"/>
      <c r="S7" s="372"/>
      <c r="T7" s="856"/>
      <c r="U7" s="856"/>
      <c r="V7" s="857"/>
      <c r="W7" s="852"/>
      <c r="X7" s="852"/>
    </row>
    <row r="8" spans="1:24" ht="15.9" customHeight="1">
      <c r="A8" s="1972"/>
      <c r="B8" s="635" t="s">
        <v>22</v>
      </c>
      <c r="C8" s="2147">
        <f>총괄장!C11</f>
        <v>0</v>
      </c>
      <c r="D8" s="2148"/>
      <c r="E8" s="1981"/>
      <c r="F8" s="2155" t="s">
        <v>23</v>
      </c>
      <c r="G8" s="2156"/>
      <c r="H8" s="2160">
        <f>총괄장!H11</f>
        <v>2.2963454133635333</v>
      </c>
      <c r="I8" s="2161"/>
      <c r="J8" s="2161"/>
      <c r="K8" s="2162"/>
      <c r="L8" s="378">
        <f>O8/O6</f>
        <v>1</v>
      </c>
      <c r="M8" s="631" t="s">
        <v>24</v>
      </c>
      <c r="N8" s="2110">
        <f>총괄장!L10</f>
        <v>366</v>
      </c>
      <c r="O8" s="2111">
        <f>총괄장!L10</f>
        <v>366</v>
      </c>
      <c r="P8" s="858"/>
      <c r="Q8" s="859"/>
      <c r="R8" s="388"/>
      <c r="S8" s="372"/>
      <c r="T8" s="856"/>
      <c r="U8" s="856"/>
      <c r="V8" s="857"/>
      <c r="W8" s="852"/>
      <c r="X8" s="852"/>
    </row>
    <row r="9" spans="1:24" ht="15.9" customHeight="1">
      <c r="A9" s="3"/>
      <c r="B9" s="4"/>
      <c r="C9" s="860"/>
      <c r="D9" s="860"/>
      <c r="E9" s="5"/>
      <c r="F9" s="5"/>
      <c r="G9" s="5"/>
      <c r="H9" s="4"/>
      <c r="I9" s="4"/>
      <c r="J9" s="861"/>
      <c r="K9" s="861"/>
      <c r="L9" s="6"/>
      <c r="M9" s="4"/>
      <c r="N9" s="4"/>
      <c r="O9" s="8" t="s">
        <v>1170</v>
      </c>
      <c r="P9" s="862"/>
      <c r="Q9" s="862"/>
      <c r="R9" s="388"/>
      <c r="S9" s="372"/>
      <c r="T9" s="856"/>
      <c r="U9" s="856"/>
      <c r="V9" s="857"/>
      <c r="W9" s="852"/>
      <c r="X9" s="852"/>
    </row>
    <row r="10" spans="1:24" ht="15.9" customHeight="1">
      <c r="A10" s="2199" t="s">
        <v>979</v>
      </c>
      <c r="B10" s="634" t="s">
        <v>980</v>
      </c>
      <c r="C10" s="634" t="s">
        <v>1200</v>
      </c>
      <c r="D10" s="634" t="s">
        <v>1241</v>
      </c>
      <c r="E10" s="634" t="s">
        <v>983</v>
      </c>
      <c r="F10" s="1596" t="s">
        <v>1413</v>
      </c>
      <c r="G10" s="1596" t="s">
        <v>1414</v>
      </c>
      <c r="H10" s="373" t="s">
        <v>982</v>
      </c>
      <c r="I10" s="861"/>
      <c r="J10" s="2174" t="s">
        <v>8</v>
      </c>
      <c r="K10" s="624" t="s">
        <v>9</v>
      </c>
      <c r="L10" s="2192">
        <f>총괄장!P7</f>
        <v>2</v>
      </c>
      <c r="M10" s="2193"/>
      <c r="N10" s="402"/>
      <c r="O10" s="863"/>
      <c r="P10" s="862"/>
      <c r="Q10" s="862"/>
      <c r="R10" s="3"/>
      <c r="S10" s="372"/>
      <c r="T10" s="864"/>
      <c r="U10" s="864"/>
      <c r="V10" s="865"/>
      <c r="W10" s="852"/>
      <c r="X10" s="852"/>
    </row>
    <row r="11" spans="1:24" ht="15.9" customHeight="1">
      <c r="A11" s="2200"/>
      <c r="B11" s="1501" t="str">
        <f>분양개요!B7</f>
        <v>공동주택</v>
      </c>
      <c r="C11" s="1502">
        <f>VLOOKUP(B11,분양개요!$B$7:$C$15,2,0)</f>
        <v>366</v>
      </c>
      <c r="D11" s="1503">
        <f>VLOOKUP(B11,분양개요!$B$7:$D$15,3,0)</f>
        <v>12500</v>
      </c>
      <c r="E11" s="1503">
        <f>VLOOKUP(B11,분양개요!$B$7:$P$15,14,FALSE)*비용집행계획!D8</f>
        <v>152662145.62500003</v>
      </c>
      <c r="F11" s="1503">
        <f>VLOOKUP(B11,분양개요!$B$7:$P$15,13,FALSE)*비용집행계획!D8</f>
        <v>0</v>
      </c>
      <c r="G11" s="1503">
        <f>E11+F11</f>
        <v>152662145.62500003</v>
      </c>
      <c r="H11" s="1504">
        <f>IFERROR(E11/$E$20,0)</f>
        <v>0.96467711337441697</v>
      </c>
      <c r="I11" s="861"/>
      <c r="J11" s="2175"/>
      <c r="K11" s="625" t="s">
        <v>13</v>
      </c>
      <c r="L11" s="2117">
        <f>총괄장!P6</f>
        <v>30</v>
      </c>
      <c r="M11" s="2118"/>
      <c r="N11" s="403"/>
      <c r="O11" s="866"/>
      <c r="P11" s="862"/>
      <c r="Q11" s="862"/>
      <c r="R11" s="3"/>
      <c r="S11" s="372"/>
      <c r="T11" s="864"/>
      <c r="U11" s="864"/>
      <c r="V11" s="865"/>
      <c r="W11" s="852"/>
      <c r="X11" s="852"/>
    </row>
    <row r="12" spans="1:24" ht="15.9" customHeight="1">
      <c r="A12" s="2200"/>
      <c r="B12" s="1418" t="str">
        <f>분양개요!B8</f>
        <v>오피스텔</v>
      </c>
      <c r="C12" s="1505">
        <f>VLOOKUP(B12,분양개요!$B$7:$C$15,2,0)</f>
        <v>0</v>
      </c>
      <c r="D12" s="1506">
        <f>VLOOKUP(B12,분양개요!$B$7:$D$15,3,0)</f>
        <v>0</v>
      </c>
      <c r="E12" s="1506">
        <f>VLOOKUP(B12,분양개요!$B$7:$P$15,14,FALSE)*비용집행계획!D11</f>
        <v>0</v>
      </c>
      <c r="F12" s="1506">
        <f>VLOOKUP(B12,분양개요!$B$7:$P$15,13,FALSE)*비용집행계획!D11</f>
        <v>0</v>
      </c>
      <c r="G12" s="1506">
        <f t="shared" ref="G12:G19" si="0">E12+F12</f>
        <v>0</v>
      </c>
      <c r="H12" s="1507">
        <f t="shared" ref="H12:H20" si="1">IFERROR(E12/$E$20,0)</f>
        <v>0</v>
      </c>
      <c r="I12" s="861"/>
      <c r="J12" s="2175"/>
      <c r="K12" s="1645" t="s">
        <v>19</v>
      </c>
      <c r="L12" s="2180">
        <f>총괄장!P7</f>
        <v>2</v>
      </c>
      <c r="M12" s="2181"/>
      <c r="N12" s="1663"/>
      <c r="O12" s="1664"/>
      <c r="P12" s="862"/>
      <c r="Q12" s="862"/>
      <c r="R12" s="3"/>
      <c r="S12" s="372"/>
      <c r="T12" s="864"/>
      <c r="U12" s="864"/>
      <c r="V12" s="865"/>
      <c r="W12" s="852"/>
      <c r="X12" s="852"/>
    </row>
    <row r="13" spans="1:24" ht="15.9" customHeight="1">
      <c r="A13" s="2200"/>
      <c r="B13" s="1418" t="str">
        <f>분양개요!B9</f>
        <v>근린생활시설</v>
      </c>
      <c r="C13" s="1505">
        <f>VLOOKUP(B13,분양개요!$B$7:$C$15,2,0)</f>
        <v>1</v>
      </c>
      <c r="D13" s="1506">
        <f>VLOOKUP(B13,분양개요!$B$7:$D$15,3,0)</f>
        <v>12000</v>
      </c>
      <c r="E13" s="1506">
        <f>VLOOKUP(B13,분양개요!$B$7:$P$15,14,FALSE)*비용집행계획!D14</f>
        <v>1197900</v>
      </c>
      <c r="F13" s="1506">
        <f>VLOOKUP(B13,분양개요!$B$7:$P$15,13,FALSE)*비용집행계획!D14</f>
        <v>102992.19593111373</v>
      </c>
      <c r="G13" s="1506">
        <f t="shared" si="0"/>
        <v>1300892.1959311138</v>
      </c>
      <c r="H13" s="1507">
        <f t="shared" si="1"/>
        <v>7.569569452729968E-3</v>
      </c>
      <c r="I13" s="861"/>
      <c r="J13" s="2175"/>
      <c r="K13" s="625" t="s">
        <v>13</v>
      </c>
      <c r="L13" s="867">
        <f>총괄장!P8</f>
        <v>45200</v>
      </c>
      <c r="M13" s="648">
        <f>총괄장!Q8</f>
        <v>46111.5</v>
      </c>
      <c r="N13" s="868">
        <f>DATEDIF(L13,M13,"m")</f>
        <v>29</v>
      </c>
      <c r="O13" s="866"/>
      <c r="P13" s="862"/>
      <c r="Q13" s="862"/>
      <c r="R13" s="3"/>
      <c r="S13" s="372"/>
      <c r="T13" s="864"/>
      <c r="U13" s="864"/>
      <c r="V13" s="865"/>
      <c r="W13" s="852"/>
      <c r="X13" s="852"/>
    </row>
    <row r="14" spans="1:24" ht="15.9" customHeight="1">
      <c r="A14" s="2200"/>
      <c r="B14" s="1418" t="str">
        <f>분양개요!B10</f>
        <v>도시형생활주택</v>
      </c>
      <c r="C14" s="1505">
        <f>VLOOKUP(B14,분양개요!$B$7:$C$15,2,0)</f>
        <v>0</v>
      </c>
      <c r="D14" s="1506">
        <f>VLOOKUP(B14,분양개요!$B$7:$D$15,3,0)</f>
        <v>0</v>
      </c>
      <c r="E14" s="1506">
        <f>VLOOKUP(B14,분양개요!$B$7:$P$15,14,FALSE)*비용집행계획!D17</f>
        <v>0</v>
      </c>
      <c r="F14" s="1506">
        <f>VLOOKUP(B14,분양개요!$B$7:$P$15,13,FALSE)*비용집행계획!D17</f>
        <v>0</v>
      </c>
      <c r="G14" s="1506">
        <f t="shared" si="0"/>
        <v>0</v>
      </c>
      <c r="H14" s="1507">
        <f t="shared" si="1"/>
        <v>0</v>
      </c>
      <c r="I14" s="861"/>
      <c r="J14" s="2175"/>
      <c r="K14" s="626" t="s">
        <v>43</v>
      </c>
      <c r="L14" s="867">
        <f>총괄장!P9</f>
        <v>45200</v>
      </c>
      <c r="M14" s="648">
        <f>총괄장!Q9</f>
        <v>46171.333333333336</v>
      </c>
      <c r="N14" s="868">
        <f>DATEDIF(L14,M14,"m")</f>
        <v>31</v>
      </c>
      <c r="O14" s="866" t="s">
        <v>241</v>
      </c>
      <c r="P14" s="862"/>
      <c r="Q14" s="862"/>
      <c r="R14" s="3"/>
      <c r="S14" s="372"/>
      <c r="T14" s="864"/>
      <c r="U14" s="864"/>
      <c r="V14" s="865"/>
      <c r="W14" s="852"/>
      <c r="X14" s="852"/>
    </row>
    <row r="15" spans="1:24" ht="15.9" customHeight="1">
      <c r="A15" s="2200"/>
      <c r="B15" s="1418" t="str">
        <f>분양개요!B11</f>
        <v>지식산업센터</v>
      </c>
      <c r="C15" s="1505">
        <f>VLOOKUP(B15,분양개요!$B$7:$C$15,2,0)</f>
        <v>0</v>
      </c>
      <c r="D15" s="1506">
        <f>VLOOKUP(B15,분양개요!$B$7:$D$15,3,0)</f>
        <v>0</v>
      </c>
      <c r="E15" s="1506">
        <f>VLOOKUP(B15,분양개요!$B$7:$P$15,14,FALSE)*비용집행계획!D20</f>
        <v>0</v>
      </c>
      <c r="F15" s="1506">
        <f>VLOOKUP(B15,분양개요!$B$7:$P$15,13,FALSE)*비용집행계획!D20</f>
        <v>0</v>
      </c>
      <c r="G15" s="1506">
        <f t="shared" si="0"/>
        <v>0</v>
      </c>
      <c r="H15" s="1507">
        <f t="shared" si="1"/>
        <v>0</v>
      </c>
      <c r="I15" s="861"/>
      <c r="J15" s="2175"/>
      <c r="K15" s="626" t="s">
        <v>1196</v>
      </c>
      <c r="L15" s="867">
        <f>총괄장!P10</f>
        <v>45200</v>
      </c>
      <c r="M15" s="648">
        <f>총괄장!Q10</f>
        <v>46293</v>
      </c>
      <c r="N15" s="868">
        <f>DATEDIF(L15,M15,"m")</f>
        <v>35</v>
      </c>
      <c r="O15" s="866" t="s">
        <v>1197</v>
      </c>
      <c r="P15" s="862"/>
      <c r="Q15" s="862"/>
      <c r="R15" s="3"/>
      <c r="S15" s="372"/>
      <c r="T15" s="864"/>
      <c r="U15" s="864"/>
      <c r="V15" s="865"/>
      <c r="W15" s="852"/>
      <c r="X15" s="852"/>
    </row>
    <row r="16" spans="1:24" ht="15.9" customHeight="1">
      <c r="A16" s="2200"/>
      <c r="B16" s="1418" t="str">
        <f>분양개요!B12</f>
        <v>물류센터</v>
      </c>
      <c r="C16" s="1505">
        <f>VLOOKUP(B16,분양개요!$B$7:$C$15,2,0)</f>
        <v>0</v>
      </c>
      <c r="D16" s="1506">
        <f>VLOOKUP(B16,분양개요!$B$7:$D$15,3,0)</f>
        <v>0</v>
      </c>
      <c r="E16" s="1506">
        <f>VLOOKUP(B16,분양개요!$B$7:$P$15,14,FALSE)*비용집행계획!D23</f>
        <v>0</v>
      </c>
      <c r="F16" s="1506">
        <f>VLOOKUP(B16,분양개요!$B$7:$P$15,13,FALSE)*비용집행계획!D23</f>
        <v>0</v>
      </c>
      <c r="G16" s="1506">
        <f>E16+F16</f>
        <v>0</v>
      </c>
      <c r="H16" s="1507">
        <f t="shared" si="1"/>
        <v>0</v>
      </c>
      <c r="I16" s="861"/>
      <c r="J16" s="2176"/>
      <c r="K16" s="1793" t="s">
        <v>1198</v>
      </c>
      <c r="L16" s="1794">
        <f>총괄장!P11</f>
        <v>45200</v>
      </c>
      <c r="M16" s="1795">
        <f>총괄장!Q11</f>
        <v>46293</v>
      </c>
      <c r="N16" s="1796">
        <f>DATEDIF(L16,M16,"m")</f>
        <v>35</v>
      </c>
      <c r="O16" s="1797" t="s">
        <v>1199</v>
      </c>
      <c r="P16" s="862"/>
      <c r="Q16" s="862"/>
      <c r="R16" s="3"/>
      <c r="S16" s="372"/>
      <c r="T16" s="864"/>
      <c r="U16" s="864"/>
      <c r="V16" s="865"/>
      <c r="W16" s="852"/>
      <c r="X16" s="852"/>
    </row>
    <row r="17" spans="1:42" ht="15.9" customHeight="1">
      <c r="A17" s="2200"/>
      <c r="B17" s="1418" t="str">
        <f>분양개요!B13</f>
        <v>생활형숙박시설</v>
      </c>
      <c r="C17" s="1505">
        <f>VLOOKUP(B17,분양개요!$B$7:$C$15,2,0)</f>
        <v>0</v>
      </c>
      <c r="D17" s="1506">
        <f>VLOOKUP(B17,분양개요!$B$7:$D$15,3,0)</f>
        <v>0</v>
      </c>
      <c r="E17" s="1506">
        <f>VLOOKUP(B17,분양개요!$B$7:$P$15,14,FALSE)*비용집행계획!D26</f>
        <v>0</v>
      </c>
      <c r="F17" s="1506">
        <f>VLOOKUP(B17,분양개요!$B$7:$P$15,13,FALSE)*비용집행계획!D26</f>
        <v>0</v>
      </c>
      <c r="G17" s="1506">
        <f t="shared" si="0"/>
        <v>0</v>
      </c>
      <c r="H17" s="1507">
        <f t="shared" si="1"/>
        <v>0</v>
      </c>
      <c r="I17" s="861"/>
      <c r="J17" s="1798"/>
      <c r="K17" s="1798"/>
      <c r="L17" s="1798"/>
      <c r="M17" s="1798"/>
      <c r="N17" s="1798"/>
      <c r="O17" s="1798"/>
      <c r="P17" s="862"/>
      <c r="Q17" s="862"/>
      <c r="R17" s="3"/>
      <c r="S17" s="372"/>
      <c r="T17" s="864"/>
      <c r="U17" s="864"/>
      <c r="V17" s="865"/>
      <c r="W17" s="852"/>
      <c r="X17" s="852"/>
    </row>
    <row r="18" spans="1:42" ht="15.9" customHeight="1">
      <c r="A18" s="2200"/>
      <c r="B18" s="1418" t="str">
        <f>분양개요!B14</f>
        <v>분양형호텔</v>
      </c>
      <c r="C18" s="1505">
        <f>VLOOKUP(B18,분양개요!$B$7:$C$15,2,0)</f>
        <v>0</v>
      </c>
      <c r="D18" s="1506">
        <f>VLOOKUP(B18,분양개요!$B$7:$D$15,3,0)</f>
        <v>0</v>
      </c>
      <c r="E18" s="1506">
        <f>VLOOKUP(B18,분양개요!$B$7:$P$15,14,FALSE)*비용집행계획!D29</f>
        <v>0</v>
      </c>
      <c r="F18" s="1506">
        <f>VLOOKUP(B18,분양개요!$B$7:$P$15,13,FALSE)*비용집행계획!D29</f>
        <v>0</v>
      </c>
      <c r="G18" s="1506">
        <f t="shared" si="0"/>
        <v>0</v>
      </c>
      <c r="H18" s="1507">
        <f t="shared" si="1"/>
        <v>0</v>
      </c>
      <c r="I18" s="861"/>
      <c r="J18" s="388"/>
      <c r="P18" s="862"/>
      <c r="Q18" s="862"/>
      <c r="R18" s="3"/>
      <c r="S18" s="372"/>
      <c r="T18" s="864"/>
      <c r="U18" s="864"/>
      <c r="V18" s="865"/>
      <c r="W18" s="852"/>
      <c r="X18" s="852"/>
    </row>
    <row r="19" spans="1:42" ht="15.9" customHeight="1">
      <c r="A19" s="2200"/>
      <c r="B19" s="1418" t="str">
        <f>분양개요!B15</f>
        <v>발코니확장비</v>
      </c>
      <c r="C19" s="1505">
        <f>VLOOKUP(B19,분양개요!$B$7:$C$15,2,0)</f>
        <v>366</v>
      </c>
      <c r="D19" s="1506">
        <f>VLOOKUP(B19,분양개요!$B$7:$D$15,3,0)</f>
        <v>12000.000000000002</v>
      </c>
      <c r="E19" s="1506">
        <f>VLOOKUP(B19,분양개요!$B$7:$P$15,14,FALSE)*비용집행계획!D8</f>
        <v>4392019.7640000014</v>
      </c>
      <c r="F19" s="1506">
        <f>VLOOKUP(B19,분양개요!$B$7:$P$15,13,FALSE)*비용집행계획!D8</f>
        <v>439201.9764000001</v>
      </c>
      <c r="G19" s="1506">
        <f t="shared" si="0"/>
        <v>4831221.7404000014</v>
      </c>
      <c r="H19" s="1507">
        <f t="shared" si="1"/>
        <v>2.7753317172853068E-2</v>
      </c>
      <c r="I19" s="861"/>
      <c r="J19" s="388"/>
      <c r="K19" s="372"/>
      <c r="L19" s="856"/>
      <c r="M19" s="856"/>
      <c r="N19" s="857"/>
      <c r="O19" s="852"/>
      <c r="P19" s="862"/>
      <c r="Q19" s="862"/>
      <c r="R19" s="3"/>
      <c r="S19" s="372"/>
      <c r="T19" s="864"/>
      <c r="U19" s="864"/>
      <c r="V19" s="865"/>
      <c r="W19" s="852"/>
      <c r="X19" s="852"/>
    </row>
    <row r="20" spans="1:42" ht="15.9" customHeight="1">
      <c r="A20" s="2201"/>
      <c r="B20" s="1425" t="s">
        <v>27</v>
      </c>
      <c r="C20" s="1508">
        <f>SUM(C11:C19)</f>
        <v>733</v>
      </c>
      <c r="D20" s="870"/>
      <c r="E20" s="870">
        <f>SUM(E11:E19)</f>
        <v>158252065.38900003</v>
      </c>
      <c r="F20" s="870">
        <f>SUM(F11:F19)</f>
        <v>542194.17233111383</v>
      </c>
      <c r="G20" s="870">
        <f>SUM(G11:G19)</f>
        <v>158794259.56133115</v>
      </c>
      <c r="H20" s="1509">
        <f t="shared" si="1"/>
        <v>1</v>
      </c>
      <c r="I20" s="861"/>
      <c r="J20" s="388"/>
      <c r="K20" s="372"/>
      <c r="L20" s="856"/>
      <c r="M20" s="856"/>
      <c r="N20" s="857"/>
      <c r="O20" s="852"/>
      <c r="P20" s="862"/>
      <c r="Q20" s="862"/>
      <c r="R20" s="3"/>
      <c r="S20" s="372"/>
      <c r="T20" s="864"/>
      <c r="U20" s="864"/>
      <c r="V20" s="865"/>
      <c r="W20" s="852"/>
      <c r="X20" s="852"/>
      <c r="AG20" s="1631" t="s">
        <v>1461</v>
      </c>
    </row>
    <row r="21" spans="1:42" ht="15.9" customHeight="1" thickBot="1">
      <c r="A21" s="384"/>
      <c r="B21" s="383"/>
      <c r="C21" s="869"/>
      <c r="D21" s="870"/>
      <c r="E21" s="870"/>
      <c r="F21" s="870"/>
      <c r="G21" s="870"/>
      <c r="H21" s="871"/>
      <c r="I21" s="861"/>
      <c r="J21" s="872"/>
      <c r="K21" s="861"/>
      <c r="L21" s="6"/>
      <c r="M21" s="4"/>
      <c r="N21" s="4"/>
      <c r="O21" s="862"/>
      <c r="P21" s="862"/>
      <c r="Q21" s="862"/>
      <c r="R21" s="3"/>
      <c r="S21" s="372"/>
      <c r="T21" s="864"/>
      <c r="U21" s="864"/>
      <c r="V21" s="865"/>
      <c r="W21" s="852"/>
      <c r="X21" s="852"/>
      <c r="AM21" s="386" t="s">
        <v>1460</v>
      </c>
    </row>
    <row r="22" spans="1:42" ht="15.9" customHeight="1">
      <c r="A22" s="2169" t="s">
        <v>25</v>
      </c>
      <c r="B22" s="2170"/>
      <c r="C22" s="2171"/>
      <c r="D22" s="1601" t="s">
        <v>1393</v>
      </c>
      <c r="E22" s="1592" t="s">
        <v>84</v>
      </c>
      <c r="F22" s="1610" t="s">
        <v>1410</v>
      </c>
      <c r="G22" s="1610" t="s">
        <v>1414</v>
      </c>
      <c r="H22" s="2172" t="s">
        <v>92</v>
      </c>
      <c r="I22" s="2170"/>
      <c r="J22" s="873" t="s">
        <v>53</v>
      </c>
      <c r="K22" s="873" t="s">
        <v>84</v>
      </c>
      <c r="L22" s="873" t="s">
        <v>90</v>
      </c>
      <c r="M22" s="2170" t="s">
        <v>89</v>
      </c>
      <c r="N22" s="2173"/>
      <c r="O22" s="2171"/>
      <c r="P22" s="380"/>
      <c r="Q22" s="2189" t="s">
        <v>108</v>
      </c>
      <c r="R22" s="2190"/>
      <c r="S22" s="2190"/>
      <c r="T22" s="2190"/>
      <c r="U22" s="2190"/>
      <c r="V22" s="2190"/>
      <c r="W22" s="2191"/>
      <c r="X22" s="874"/>
      <c r="Y22" s="875" t="s">
        <v>978</v>
      </c>
      <c r="Z22" s="876" t="s">
        <v>973</v>
      </c>
      <c r="AA22" s="877" t="s">
        <v>974</v>
      </c>
      <c r="AB22" s="1221" t="s">
        <v>975</v>
      </c>
      <c r="AC22" s="1219" t="s">
        <v>976</v>
      </c>
      <c r="AD22" s="878" t="s">
        <v>984</v>
      </c>
      <c r="AE22" s="879" t="s">
        <v>977</v>
      </c>
      <c r="AF22">
        <f>IF(총괄장!W13="개발신탁",1,0)</f>
        <v>0</v>
      </c>
      <c r="AG22" s="2336" t="s">
        <v>1449</v>
      </c>
      <c r="AH22" s="2337"/>
      <c r="AI22" s="2337"/>
      <c r="AJ22" s="2338"/>
      <c r="AK22" s="1765" t="s">
        <v>1456</v>
      </c>
      <c r="AL22" s="1765" t="s">
        <v>1480</v>
      </c>
      <c r="AM22" s="1765" t="s">
        <v>1457</v>
      </c>
    </row>
    <row r="23" spans="1:42" ht="15.9" customHeight="1">
      <c r="A23" s="2297"/>
      <c r="B23" s="2196" t="s">
        <v>55</v>
      </c>
      <c r="C23" s="880" t="s">
        <v>31</v>
      </c>
      <c r="D23" s="1602" t="s">
        <v>1395</v>
      </c>
      <c r="E23" s="1616">
        <f>C5</f>
        <v>16000000</v>
      </c>
      <c r="F23" s="1611">
        <f>IF(OR(D23="N",D23=""),0,E23*10%)</f>
        <v>0</v>
      </c>
      <c r="G23" s="1611">
        <f>E23+F23</f>
        <v>16000000</v>
      </c>
      <c r="H23" s="2194">
        <f>IFERROR(E23/$E$96,0)</f>
        <v>0.11803707035101077</v>
      </c>
      <c r="I23" s="2195"/>
      <c r="J23" s="881"/>
      <c r="K23" s="881"/>
      <c r="L23" s="881"/>
      <c r="M23" s="2196"/>
      <c r="N23" s="2197"/>
      <c r="O23" s="2198"/>
      <c r="P23" s="7"/>
      <c r="Q23" s="2182"/>
      <c r="R23" s="2183"/>
      <c r="S23" s="2183"/>
      <c r="T23" s="2183"/>
      <c r="U23" s="2183"/>
      <c r="V23" s="2183"/>
      <c r="W23" s="2184"/>
      <c r="X23" s="882"/>
      <c r="Y23" s="1470" t="str">
        <f>C23</f>
        <v>토지비</v>
      </c>
      <c r="Z23" s="1471">
        <f>Equity!C6</f>
        <v>2000000</v>
      </c>
      <c r="AA23" s="1472">
        <f>E23-Z23</f>
        <v>14000000</v>
      </c>
      <c r="AB23" s="1473">
        <v>1</v>
      </c>
      <c r="AC23" s="1474">
        <f>AA23*AB23</f>
        <v>14000000</v>
      </c>
      <c r="AD23" s="1471">
        <f>AA23-AC23</f>
        <v>0</v>
      </c>
      <c r="AE23" s="1475"/>
      <c r="AG23" s="2342" t="s">
        <v>1458</v>
      </c>
      <c r="AH23" s="2339" t="s">
        <v>1450</v>
      </c>
      <c r="AI23" s="2340"/>
      <c r="AJ23" s="2341"/>
      <c r="AK23" s="1767">
        <f>Equity!C5</f>
        <v>2000000</v>
      </c>
      <c r="AL23" s="1767">
        <f>AK23</f>
        <v>2000000</v>
      </c>
      <c r="AM23" s="1632"/>
      <c r="AO23" t="s">
        <v>1494</v>
      </c>
      <c r="AP23" t="s">
        <v>1495</v>
      </c>
    </row>
    <row r="24" spans="1:42" ht="15.9" customHeight="1">
      <c r="A24" s="2298"/>
      <c r="B24" s="2127"/>
      <c r="C24" s="883" t="s">
        <v>54</v>
      </c>
      <c r="D24" s="1603" t="s">
        <v>1396</v>
      </c>
      <c r="E24" s="1617">
        <f>E23*4.8%</f>
        <v>768000</v>
      </c>
      <c r="F24" s="1612">
        <f>IF(OR(D24="N",D24=""),0,E24*10%)</f>
        <v>0</v>
      </c>
      <c r="G24" s="1612">
        <f>E24+F24</f>
        <v>768000</v>
      </c>
      <c r="H24" s="2115">
        <f t="shared" ref="H24:H87" si="2">IFERROR(E24/$E$96,0)</f>
        <v>5.6657793768485169E-3</v>
      </c>
      <c r="I24" s="2116"/>
      <c r="J24" s="884"/>
      <c r="K24" s="885"/>
      <c r="L24" s="884"/>
      <c r="M24" s="2127" t="s">
        <v>1463</v>
      </c>
      <c r="N24" s="2128"/>
      <c r="O24" s="2129"/>
      <c r="P24" s="7"/>
      <c r="Q24" s="2165" t="s">
        <v>57</v>
      </c>
      <c r="R24" s="2166"/>
      <c r="S24" s="2163" t="s">
        <v>96</v>
      </c>
      <c r="T24" s="2185" t="s">
        <v>97</v>
      </c>
      <c r="U24" s="2185" t="s">
        <v>107</v>
      </c>
      <c r="V24" s="2187" t="s">
        <v>98</v>
      </c>
      <c r="W24" s="886" t="s">
        <v>88</v>
      </c>
      <c r="X24" s="887"/>
      <c r="Y24" s="1476" t="str">
        <f t="shared" ref="Y24:Y95" si="3">C24</f>
        <v>취득세 등</v>
      </c>
      <c r="Z24" s="1477">
        <v>0</v>
      </c>
      <c r="AA24" s="1478">
        <f>E24-Z24</f>
        <v>768000</v>
      </c>
      <c r="AB24" s="1479">
        <v>1</v>
      </c>
      <c r="AC24" s="1480">
        <f t="shared" ref="AC24:AC94" si="4">AA24*AB24</f>
        <v>768000</v>
      </c>
      <c r="AD24" s="1477">
        <f t="shared" ref="AD24:AD90" si="5">AA24-AC24</f>
        <v>0</v>
      </c>
      <c r="AE24" s="1481"/>
      <c r="AG24" s="2343"/>
      <c r="AH24" s="2339" t="s">
        <v>1451</v>
      </c>
      <c r="AI24" s="2340"/>
      <c r="AJ24" s="2341"/>
      <c r="AK24" s="1767">
        <f>R48</f>
        <v>36000000</v>
      </c>
      <c r="AL24" s="1767">
        <f>AK24</f>
        <v>36000000</v>
      </c>
      <c r="AM24" s="1632"/>
      <c r="AO24" s="398">
        <f>민감도분석!J26</f>
        <v>86321323.131120026</v>
      </c>
      <c r="AP24" s="398">
        <f>IFERROR(AK32/AK28,0)</f>
        <v>7.0101072497190844E-2</v>
      </c>
    </row>
    <row r="25" spans="1:42" ht="15.9" customHeight="1">
      <c r="A25" s="2298"/>
      <c r="B25" s="2127"/>
      <c r="C25" s="883" t="s">
        <v>59</v>
      </c>
      <c r="D25" s="1604" t="s">
        <v>1423</v>
      </c>
      <c r="E25" s="1618">
        <f>E23*3%</f>
        <v>480000</v>
      </c>
      <c r="F25" s="1612">
        <f>IF(OR(D25="N",D25=""),0,E25*10%)</f>
        <v>0</v>
      </c>
      <c r="G25" s="1612">
        <f>E25+F25</f>
        <v>480000</v>
      </c>
      <c r="H25" s="2115">
        <f t="shared" si="2"/>
        <v>3.5411121105303231E-3</v>
      </c>
      <c r="I25" s="2116"/>
      <c r="J25" s="884"/>
      <c r="K25" s="1279"/>
      <c r="L25" s="1279"/>
      <c r="M25" s="2177" t="s">
        <v>1647</v>
      </c>
      <c r="N25" s="2178"/>
      <c r="O25" s="2179"/>
      <c r="P25" s="7"/>
      <c r="Q25" s="2167"/>
      <c r="R25" s="2168"/>
      <c r="S25" s="2164"/>
      <c r="T25" s="2186"/>
      <c r="U25" s="2186"/>
      <c r="V25" s="2188"/>
      <c r="W25" s="888" t="s">
        <v>99</v>
      </c>
      <c r="X25" s="887"/>
      <c r="Y25" s="1476" t="str">
        <f t="shared" si="3"/>
        <v>기타비용</v>
      </c>
      <c r="Z25" s="1477">
        <v>0</v>
      </c>
      <c r="AA25" s="1478">
        <f>E25-Z25</f>
        <v>480000</v>
      </c>
      <c r="AB25" s="1482">
        <v>1</v>
      </c>
      <c r="AC25" s="1480">
        <f t="shared" si="4"/>
        <v>480000</v>
      </c>
      <c r="AD25" s="1477">
        <f t="shared" si="5"/>
        <v>0</v>
      </c>
      <c r="AE25" s="1481"/>
      <c r="AG25" s="2343"/>
      <c r="AH25" s="2339" t="s">
        <v>1452</v>
      </c>
      <c r="AI25" s="2340"/>
      <c r="AJ25" s="2341"/>
      <c r="AK25" s="1767">
        <f>E26</f>
        <v>17248000</v>
      </c>
      <c r="AL25" s="1767">
        <f>AK25</f>
        <v>17248000</v>
      </c>
      <c r="AM25" s="1632"/>
      <c r="AO25" t="s">
        <v>1492</v>
      </c>
      <c r="AP25" t="s">
        <v>1493</v>
      </c>
    </row>
    <row r="26" spans="1:42" ht="15.9" customHeight="1">
      <c r="A26" s="2298"/>
      <c r="B26" s="2127"/>
      <c r="C26" s="889" t="s">
        <v>46</v>
      </c>
      <c r="D26" s="1605"/>
      <c r="E26" s="1619">
        <f>SUBTOTAL(9,E23:E25)</f>
        <v>17248000</v>
      </c>
      <c r="F26" s="1613">
        <f>SUBTOTAL(9,F23:F25)</f>
        <v>0</v>
      </c>
      <c r="G26" s="1613">
        <f>SUBTOTAL(9,G23:G25)</f>
        <v>17248000</v>
      </c>
      <c r="H26" s="2122">
        <f t="shared" si="2"/>
        <v>0.12724396183838962</v>
      </c>
      <c r="I26" s="2123"/>
      <c r="J26" s="890"/>
      <c r="K26" s="890"/>
      <c r="L26" s="890"/>
      <c r="M26" s="2202"/>
      <c r="N26" s="2203"/>
      <c r="O26" s="2204"/>
      <c r="P26" s="7"/>
      <c r="Q26" s="1746" t="s">
        <v>100</v>
      </c>
      <c r="R26" s="1407" t="s">
        <v>34</v>
      </c>
      <c r="S26" s="1412">
        <f>Z23+AA23</f>
        <v>16000000</v>
      </c>
      <c r="T26" s="1409">
        <f>Z23</f>
        <v>2000000</v>
      </c>
      <c r="U26" s="1414">
        <f>AC23</f>
        <v>14000000</v>
      </c>
      <c r="V26" s="1403">
        <f t="shared" ref="V26:V39" si="6">S26-T26-U26</f>
        <v>0</v>
      </c>
      <c r="W26" s="1404"/>
      <c r="X26" s="891"/>
      <c r="Y26" s="1483" t="str">
        <f t="shared" si="3"/>
        <v>소계</v>
      </c>
      <c r="Z26" s="1484">
        <f>SUBTOTAL(9,Z23:Z25)</f>
        <v>2000000</v>
      </c>
      <c r="AA26" s="1485">
        <f>SUBTOTAL(9,AA23:AA25)</f>
        <v>15248000</v>
      </c>
      <c r="AB26" s="1486">
        <v>1</v>
      </c>
      <c r="AC26" s="1487">
        <f>SUBTOTAL(9,AC23:AC25)</f>
        <v>15248000</v>
      </c>
      <c r="AD26" s="1484">
        <f>SUBTOTAL(9,AD23:AD25)</f>
        <v>0</v>
      </c>
      <c r="AE26" s="1488"/>
      <c r="AG26" s="2343"/>
      <c r="AH26" s="2332" t="s">
        <v>1479</v>
      </c>
      <c r="AI26" s="2333"/>
      <c r="AJ26" s="2334"/>
      <c r="AK26" s="1768"/>
      <c r="AL26" s="1768">
        <f>AO26</f>
        <v>80270105.800251946</v>
      </c>
      <c r="AM26" s="1764"/>
      <c r="AO26" s="398">
        <f>AO24*(1-AP24)</f>
        <v>80270105.800251946</v>
      </c>
      <c r="AP26" s="942">
        <f>IFERROR(AK36/(AO24*(1-AP24)),0)</f>
        <v>1.0540614498639269</v>
      </c>
    </row>
    <row r="27" spans="1:42" ht="15.9" customHeight="1">
      <c r="A27" s="2298"/>
      <c r="B27" s="2127" t="s">
        <v>60</v>
      </c>
      <c r="C27" s="883" t="s">
        <v>32</v>
      </c>
      <c r="D27" s="1606" t="s">
        <v>1397</v>
      </c>
      <c r="E27" s="1620">
        <f>J27*K27*L27</f>
        <v>84190983.249999985</v>
      </c>
      <c r="F27" s="1614">
        <f>IFERROR(E27/(E27+E34),0)*매입세율!E19</f>
        <v>49913.916799971536</v>
      </c>
      <c r="G27" s="1614">
        <f t="shared" ref="G27:G32" si="7">E27+F27</f>
        <v>84240897.166799963</v>
      </c>
      <c r="H27" s="2115">
        <f t="shared" si="2"/>
        <v>0.62110356330006367</v>
      </c>
      <c r="I27" s="2116"/>
      <c r="J27" s="892">
        <f>총괄장!I9</f>
        <v>16838.196649999998</v>
      </c>
      <c r="K27" s="893">
        <f>총괄장!W10</f>
        <v>5000</v>
      </c>
      <c r="L27" s="894">
        <v>1</v>
      </c>
      <c r="M27" s="2127"/>
      <c r="N27" s="2128"/>
      <c r="O27" s="2129"/>
      <c r="P27" s="7"/>
      <c r="Q27" s="1826" t="s">
        <v>102</v>
      </c>
      <c r="R27" s="1728" t="s">
        <v>41</v>
      </c>
      <c r="S27" s="1729">
        <f>Z24+AA24+Z25+AA25</f>
        <v>1248000</v>
      </c>
      <c r="T27" s="1730">
        <f>Z24+Z25</f>
        <v>0</v>
      </c>
      <c r="U27" s="1731">
        <f>AC24+AC25</f>
        <v>1248000</v>
      </c>
      <c r="V27" s="1732">
        <f t="shared" si="6"/>
        <v>0</v>
      </c>
      <c r="W27" s="1733"/>
      <c r="X27" s="891"/>
      <c r="Y27" s="1476" t="str">
        <f t="shared" si="3"/>
        <v>공사비</v>
      </c>
      <c r="Z27" s="1477">
        <v>0</v>
      </c>
      <c r="AA27" s="1478">
        <f t="shared" ref="AA27:AA32" si="8">E27-Z27</f>
        <v>84190983.249999985</v>
      </c>
      <c r="AB27" s="1489">
        <f>IF(총괄장!Y13=1,0,R41)</f>
        <v>0</v>
      </c>
      <c r="AC27" s="1480">
        <f>AA27*AB27</f>
        <v>0</v>
      </c>
      <c r="AD27" s="1477">
        <f t="shared" si="5"/>
        <v>84190983.249999985</v>
      </c>
      <c r="AE27" s="1481"/>
      <c r="AG27" s="2344"/>
      <c r="AH27" s="2332" t="s">
        <v>1482</v>
      </c>
      <c r="AI27" s="2333"/>
      <c r="AJ27" s="2334"/>
      <c r="AK27" s="1768">
        <f>AK23+AK24-AK25+AK26</f>
        <v>20752000</v>
      </c>
      <c r="AL27" s="1768">
        <f>AL23+AL24-AL25+AL26</f>
        <v>101022105.80025195</v>
      </c>
      <c r="AM27" s="1764" t="s">
        <v>1483</v>
      </c>
    </row>
    <row r="28" spans="1:42" ht="15.9" customHeight="1" thickBot="1">
      <c r="A28" s="2298"/>
      <c r="B28" s="2127"/>
      <c r="C28" s="883" t="s">
        <v>997</v>
      </c>
      <c r="D28" s="1604" t="s">
        <v>1399</v>
      </c>
      <c r="E28" s="1618"/>
      <c r="F28" s="1612">
        <f>IF(OR(D28="N",D28=""),0,E28*10%)</f>
        <v>0</v>
      </c>
      <c r="G28" s="1612">
        <f t="shared" si="7"/>
        <v>0</v>
      </c>
      <c r="H28" s="2115">
        <f t="shared" si="2"/>
        <v>0</v>
      </c>
      <c r="I28" s="2116"/>
      <c r="J28" s="892">
        <f>D4</f>
        <v>5342.15</v>
      </c>
      <c r="K28" s="1255">
        <v>200</v>
      </c>
      <c r="L28" s="894"/>
      <c r="M28" s="2127"/>
      <c r="N28" s="2128"/>
      <c r="O28" s="2129"/>
      <c r="P28" s="7"/>
      <c r="Q28" s="2215" t="s">
        <v>38</v>
      </c>
      <c r="R28" s="1734" t="s">
        <v>35</v>
      </c>
      <c r="S28" s="1735">
        <f>Z27+AA27</f>
        <v>84190983.249999985</v>
      </c>
      <c r="T28" s="1736">
        <f>Z27</f>
        <v>0</v>
      </c>
      <c r="U28" s="1737">
        <f>AC27</f>
        <v>0</v>
      </c>
      <c r="V28" s="1738">
        <f t="shared" si="6"/>
        <v>84190983.249999985</v>
      </c>
      <c r="W28" s="1739"/>
      <c r="X28" s="891"/>
      <c r="Y28" s="1476" t="str">
        <f t="shared" si="3"/>
        <v>철거비</v>
      </c>
      <c r="Z28" s="1477">
        <v>0</v>
      </c>
      <c r="AA28" s="1478">
        <f t="shared" si="8"/>
        <v>0</v>
      </c>
      <c r="AB28" s="1479">
        <f>IF($AF$22=1,0,100%)</f>
        <v>1</v>
      </c>
      <c r="AC28" s="1480">
        <f t="shared" si="4"/>
        <v>0</v>
      </c>
      <c r="AD28" s="1477">
        <f t="shared" si="5"/>
        <v>0</v>
      </c>
      <c r="AE28" s="1481"/>
      <c r="AG28" s="2342" t="s">
        <v>1459</v>
      </c>
      <c r="AH28" s="2339" t="s">
        <v>1484</v>
      </c>
      <c r="AI28" s="2340"/>
      <c r="AJ28" s="2341"/>
      <c r="AK28" s="1767">
        <f>E96</f>
        <v>135550636.35873261</v>
      </c>
      <c r="AL28" s="1767">
        <f>AK28</f>
        <v>135550636.35873261</v>
      </c>
      <c r="AM28" s="1632"/>
    </row>
    <row r="29" spans="1:42" ht="15.9" customHeight="1">
      <c r="A29" s="2298"/>
      <c r="B29" s="2127"/>
      <c r="C29" s="883" t="s">
        <v>85</v>
      </c>
      <c r="D29" s="1603" t="s">
        <v>1400</v>
      </c>
      <c r="E29" s="1621">
        <f>J29*K29*L29</f>
        <v>505145.89949999994</v>
      </c>
      <c r="F29" s="1612">
        <f>IF(OR(D29="N",D29=""),0,E29*10%)</f>
        <v>50514.589949999994</v>
      </c>
      <c r="G29" s="1612">
        <f t="shared" si="7"/>
        <v>555660.48944999999</v>
      </c>
      <c r="H29" s="2115">
        <f t="shared" si="2"/>
        <v>3.726621379800382E-3</v>
      </c>
      <c r="I29" s="2116"/>
      <c r="J29" s="892">
        <f>J27</f>
        <v>16838.196649999998</v>
      </c>
      <c r="K29" s="1280">
        <v>30</v>
      </c>
      <c r="L29" s="894">
        <v>1</v>
      </c>
      <c r="M29" s="1382"/>
      <c r="N29" s="1378">
        <f>분양개요!E7+분양개요!F7+분양개요!E10+분양개요!F10</f>
        <v>40373.46</v>
      </c>
      <c r="O29" s="1379">
        <f>SUM(분양개요!E8:F15)-분양개요!E10-분양개요!F10</f>
        <v>330</v>
      </c>
      <c r="P29" s="7"/>
      <c r="Q29" s="2216"/>
      <c r="R29" s="1408" t="s">
        <v>65</v>
      </c>
      <c r="S29" s="1413">
        <f>Z34+AA34</f>
        <v>1683819.6649999998</v>
      </c>
      <c r="T29" s="1411">
        <f>Z34</f>
        <v>0</v>
      </c>
      <c r="U29" s="1415">
        <f>AC34</f>
        <v>1515437.6984999999</v>
      </c>
      <c r="V29" s="1405">
        <f t="shared" si="6"/>
        <v>168381.96649999986</v>
      </c>
      <c r="W29" s="1406"/>
      <c r="X29" s="891"/>
      <c r="Y29" s="1476" t="str">
        <f t="shared" si="3"/>
        <v>인입공사비</v>
      </c>
      <c r="Z29" s="1477">
        <v>0</v>
      </c>
      <c r="AA29" s="1478">
        <f t="shared" si="8"/>
        <v>505145.89949999994</v>
      </c>
      <c r="AB29" s="1479">
        <f t="shared" ref="AB29:AB31" si="9">IF($AF$22=1,0,100%)</f>
        <v>1</v>
      </c>
      <c r="AC29" s="1480">
        <f t="shared" si="4"/>
        <v>505145.89949999994</v>
      </c>
      <c r="AD29" s="1477">
        <f t="shared" si="5"/>
        <v>0</v>
      </c>
      <c r="AE29" s="1481"/>
      <c r="AG29" s="2343"/>
      <c r="AH29" s="2339" t="s">
        <v>1452</v>
      </c>
      <c r="AI29" s="2340"/>
      <c r="AJ29" s="2341"/>
      <c r="AK29" s="1767">
        <f>AK25</f>
        <v>17248000</v>
      </c>
      <c r="AL29" s="1767">
        <f>AK29</f>
        <v>17248000</v>
      </c>
      <c r="AM29" s="1632"/>
    </row>
    <row r="30" spans="1:42" ht="15.9" customHeight="1" thickBot="1">
      <c r="A30" s="2298"/>
      <c r="B30" s="2127"/>
      <c r="C30" s="883" t="s">
        <v>86</v>
      </c>
      <c r="D30" s="1603" t="s">
        <v>1399</v>
      </c>
      <c r="E30" s="1621">
        <f>M30*(K$30*N29*N30+K30*O29*O30)</f>
        <v>90104.601759000012</v>
      </c>
      <c r="F30" s="1612">
        <f>IF(OR(D30="N",D30=""),0,E30*10%)</f>
        <v>9010.4601759000016</v>
      </c>
      <c r="G30" s="1612">
        <f t="shared" si="7"/>
        <v>99115.061934900019</v>
      </c>
      <c r="H30" s="2115">
        <f t="shared" si="2"/>
        <v>6.6473020104855583E-4</v>
      </c>
      <c r="I30" s="2116"/>
      <c r="J30" s="1258">
        <f>H4</f>
        <v>40553.46</v>
      </c>
      <c r="K30" s="1280">
        <v>2257</v>
      </c>
      <c r="L30" s="1282">
        <v>1</v>
      </c>
      <c r="M30" s="1383">
        <v>0.95</v>
      </c>
      <c r="N30" s="1380">
        <v>1E-3</v>
      </c>
      <c r="O30" s="1381">
        <v>5.0000000000000001E-3</v>
      </c>
      <c r="P30" s="1384" t="s">
        <v>1339</v>
      </c>
      <c r="Q30" s="2216"/>
      <c r="R30" s="1408" t="s">
        <v>1245</v>
      </c>
      <c r="S30" s="1413">
        <f>Z35+AA35</f>
        <v>1683819.6649999998</v>
      </c>
      <c r="T30" s="1410">
        <f>Z35</f>
        <v>0</v>
      </c>
      <c r="U30" s="1415">
        <f>AC35</f>
        <v>1515437.6984999999</v>
      </c>
      <c r="V30" s="1405">
        <f t="shared" si="6"/>
        <v>168381.96649999986</v>
      </c>
      <c r="W30" s="1406"/>
      <c r="X30" s="891"/>
      <c r="Y30" s="1476" t="str">
        <f t="shared" si="3"/>
        <v>미술장식품설치</v>
      </c>
      <c r="Z30" s="1477">
        <v>0</v>
      </c>
      <c r="AA30" s="1478">
        <f t="shared" si="8"/>
        <v>90104.601759000012</v>
      </c>
      <c r="AB30" s="1479">
        <f t="shared" si="9"/>
        <v>1</v>
      </c>
      <c r="AC30" s="1480">
        <f t="shared" si="4"/>
        <v>90104.601759000012</v>
      </c>
      <c r="AD30" s="1477">
        <f t="shared" si="5"/>
        <v>0</v>
      </c>
      <c r="AE30" s="1481"/>
      <c r="AG30" s="2343"/>
      <c r="AH30" s="2346"/>
      <c r="AI30" s="1632" t="s">
        <v>1453</v>
      </c>
      <c r="AJ30" s="1766">
        <v>1</v>
      </c>
      <c r="AK30" s="1767">
        <f>SUM(E64:E68)</f>
        <v>2291832</v>
      </c>
      <c r="AL30" s="1767">
        <f>AK30</f>
        <v>2291832</v>
      </c>
      <c r="AM30" s="1632"/>
    </row>
    <row r="31" spans="1:42" ht="15.9" customHeight="1">
      <c r="A31" s="2298"/>
      <c r="B31" s="2127"/>
      <c r="C31" s="883" t="s">
        <v>996</v>
      </c>
      <c r="D31" s="1604" t="s">
        <v>1401</v>
      </c>
      <c r="E31" s="1618">
        <v>500000</v>
      </c>
      <c r="F31" s="1612">
        <f>IF(OR(D31="N",D31=""),0,E31*10%)</f>
        <v>50000</v>
      </c>
      <c r="G31" s="1612">
        <f t="shared" si="7"/>
        <v>550000</v>
      </c>
      <c r="H31" s="2115">
        <f t="shared" si="2"/>
        <v>3.6886584484690866E-3</v>
      </c>
      <c r="I31" s="2116"/>
      <c r="J31" s="884" t="s">
        <v>91</v>
      </c>
      <c r="K31" s="1281"/>
      <c r="L31" s="1281"/>
      <c r="M31" s="2136"/>
      <c r="N31" s="2137"/>
      <c r="O31" s="2138"/>
      <c r="P31" s="7"/>
      <c r="Q31" s="2216"/>
      <c r="R31" s="1408" t="s">
        <v>106</v>
      </c>
      <c r="S31" s="1413">
        <f>Z38+AA38</f>
        <v>0</v>
      </c>
      <c r="T31" s="1410">
        <f>Z38</f>
        <v>0</v>
      </c>
      <c r="U31" s="1415">
        <f>+AC38</f>
        <v>0</v>
      </c>
      <c r="V31" s="1405">
        <f t="shared" si="6"/>
        <v>0</v>
      </c>
      <c r="W31" s="1406"/>
      <c r="X31" s="891"/>
      <c r="Y31" s="1476" t="str">
        <f t="shared" si="3"/>
        <v>허가조건부이행공사비</v>
      </c>
      <c r="Z31" s="1477">
        <v>0</v>
      </c>
      <c r="AA31" s="1478">
        <f t="shared" si="8"/>
        <v>500000</v>
      </c>
      <c r="AB31" s="1479">
        <f t="shared" si="9"/>
        <v>1</v>
      </c>
      <c r="AC31" s="1480">
        <f t="shared" si="4"/>
        <v>500000</v>
      </c>
      <c r="AD31" s="1477">
        <f t="shared" si="5"/>
        <v>0</v>
      </c>
      <c r="AE31" s="1481"/>
      <c r="AG31" s="2343"/>
      <c r="AH31" s="2347"/>
      <c r="AI31" s="1632" t="s">
        <v>1481</v>
      </c>
      <c r="AJ31" s="1766">
        <v>1</v>
      </c>
      <c r="AK31" s="1767">
        <f>E91+E92</f>
        <v>7210412.9864238678</v>
      </c>
      <c r="AL31" s="1767">
        <f>AK31</f>
        <v>7210412.9864238678</v>
      </c>
      <c r="AM31" s="1632"/>
    </row>
    <row r="32" spans="1:42" ht="15.9" customHeight="1">
      <c r="A32" s="2298"/>
      <c r="B32" s="2127"/>
      <c r="C32" s="883" t="s">
        <v>1445</v>
      </c>
      <c r="D32" s="1604" t="s">
        <v>1399</v>
      </c>
      <c r="E32" s="1618"/>
      <c r="F32" s="1612">
        <f>IF(OR(D32="N",D32=""),0,E32*10%)</f>
        <v>0</v>
      </c>
      <c r="G32" s="1612">
        <f t="shared" si="7"/>
        <v>0</v>
      </c>
      <c r="H32" s="2115">
        <f t="shared" si="2"/>
        <v>0</v>
      </c>
      <c r="I32" s="2116"/>
      <c r="J32" s="884"/>
      <c r="K32" s="1281"/>
      <c r="L32" s="1281"/>
      <c r="M32" s="2234"/>
      <c r="N32" s="2137"/>
      <c r="O32" s="2138"/>
      <c r="P32" s="7"/>
      <c r="Q32" s="2216"/>
      <c r="R32" s="1408" t="s">
        <v>1174</v>
      </c>
      <c r="S32" s="1413">
        <f>Z29+AA29+Z30+AA30+Z36+AA36+Z37+AA37+Z28+AA28+Z31+AA31+Z39+AA39+Z40+AA40+Z32+AA32</f>
        <v>1125250.501259</v>
      </c>
      <c r="T32" s="1410">
        <f>SUM(Z28:Z32,Z36:Z37,Z39,Z40)</f>
        <v>0</v>
      </c>
      <c r="U32" s="1415">
        <f>SUM(AC28:AC32,AC36:AC37,AC39:AC40)</f>
        <v>1125250.501259</v>
      </c>
      <c r="V32" s="1405">
        <f t="shared" si="6"/>
        <v>0</v>
      </c>
      <c r="W32" s="1406"/>
      <c r="X32" s="891"/>
      <c r="Y32" s="1476" t="str">
        <f t="shared" si="3"/>
        <v>기타</v>
      </c>
      <c r="Z32" s="1477"/>
      <c r="AA32" s="1478">
        <f t="shared" si="8"/>
        <v>0</v>
      </c>
      <c r="AB32" s="1479">
        <f>IF($AF$22=1,0,90%)</f>
        <v>0.9</v>
      </c>
      <c r="AC32" s="1480">
        <f>AA32*AB32</f>
        <v>0</v>
      </c>
      <c r="AD32" s="1477">
        <f>AA32-AC32</f>
        <v>0</v>
      </c>
      <c r="AE32" s="1481"/>
      <c r="AG32" s="2343"/>
      <c r="AH32" s="2348"/>
      <c r="AI32" s="2345" t="s">
        <v>1485</v>
      </c>
      <c r="AJ32" s="2345"/>
      <c r="AK32" s="1767">
        <f>AK30+AK31</f>
        <v>9502244.9864238687</v>
      </c>
      <c r="AL32" s="1767">
        <f>AL30+AL31</f>
        <v>9502244.9864238687</v>
      </c>
      <c r="AM32" s="1632"/>
    </row>
    <row r="33" spans="1:39" ht="15.9" customHeight="1">
      <c r="A33" s="2298"/>
      <c r="B33" s="2127"/>
      <c r="C33" s="889" t="s">
        <v>46</v>
      </c>
      <c r="D33" s="1605"/>
      <c r="E33" s="1619">
        <f>SUBTOTAL(9,E27:E32)</f>
        <v>85286233.751258984</v>
      </c>
      <c r="F33" s="1613">
        <f>SUBTOTAL(9,F27:F32)</f>
        <v>159438.96692587156</v>
      </c>
      <c r="G33" s="1613">
        <f>SUBTOTAL(9,G27:G32)</f>
        <v>85445672.718184859</v>
      </c>
      <c r="H33" s="2122">
        <f t="shared" si="2"/>
        <v>0.62918357332938168</v>
      </c>
      <c r="I33" s="2123"/>
      <c r="J33" s="1254"/>
      <c r="K33" s="1254"/>
      <c r="L33" s="1254"/>
      <c r="M33" s="2124"/>
      <c r="N33" s="2125"/>
      <c r="O33" s="2126"/>
      <c r="P33" s="7"/>
      <c r="Q33" s="2217"/>
      <c r="R33" s="1728"/>
      <c r="S33" s="1729"/>
      <c r="T33" s="1730">
        <f>Z29+Z30+Z36+Z37</f>
        <v>0</v>
      </c>
      <c r="U33" s="1731"/>
      <c r="V33" s="1732">
        <f t="shared" si="6"/>
        <v>0</v>
      </c>
      <c r="W33" s="1733"/>
      <c r="X33" s="891"/>
      <c r="Y33" s="1483" t="str">
        <f t="shared" si="3"/>
        <v>소계</v>
      </c>
      <c r="Z33" s="1484">
        <f>SUBTOTAL(9,Z27:Z32)</f>
        <v>0</v>
      </c>
      <c r="AA33" s="1485">
        <f>SUBTOTAL(9,AA27:AA32)</f>
        <v>85286233.751258984</v>
      </c>
      <c r="AB33" s="1486"/>
      <c r="AC33" s="1487">
        <f>SUBTOTAL(9,AC27:AC32)</f>
        <v>1095250.501259</v>
      </c>
      <c r="AD33" s="1484">
        <f>SUBTOTAL(9,AD27:AD32)</f>
        <v>84190983.249999985</v>
      </c>
      <c r="AE33" s="1488"/>
      <c r="AG33" s="2343"/>
      <c r="AH33" s="2339" t="s">
        <v>1486</v>
      </c>
      <c r="AI33" s="2340"/>
      <c r="AJ33" s="2341"/>
      <c r="AK33" s="1767">
        <f>E53</f>
        <v>3038767.2717643613</v>
      </c>
      <c r="AL33" s="1767">
        <f>AK33</f>
        <v>3038767.2717643613</v>
      </c>
      <c r="AM33" s="1632"/>
    </row>
    <row r="34" spans="1:39" ht="15.9" customHeight="1">
      <c r="A34" s="2298"/>
      <c r="B34" s="896" t="s">
        <v>61</v>
      </c>
      <c r="C34" s="883" t="s">
        <v>61</v>
      </c>
      <c r="D34" s="1603" t="s">
        <v>1402</v>
      </c>
      <c r="E34" s="1621">
        <f>J34*K34*L34</f>
        <v>1683819.6649999998</v>
      </c>
      <c r="F34" s="1612">
        <f>IFERROR(E34/(E27+E34),0)*매입세율!E19</f>
        <v>998.27833599943074</v>
      </c>
      <c r="G34" s="1612">
        <f t="shared" ref="G34:G40" si="10">E34+F34</f>
        <v>1684817.9433359993</v>
      </c>
      <c r="H34" s="2115">
        <f t="shared" si="2"/>
        <v>1.2422071266001273E-2</v>
      </c>
      <c r="I34" s="2116"/>
      <c r="J34" s="1259">
        <f>J29</f>
        <v>16838.196649999998</v>
      </c>
      <c r="K34" s="1283">
        <v>100</v>
      </c>
      <c r="L34" s="894">
        <v>1</v>
      </c>
      <c r="M34" s="2119" t="s">
        <v>1268</v>
      </c>
      <c r="N34" s="2120"/>
      <c r="O34" s="2121"/>
      <c r="P34" s="7"/>
      <c r="Q34" s="2211" t="s">
        <v>103</v>
      </c>
      <c r="R34" s="2212"/>
      <c r="S34" s="1740">
        <f>Z52+AA52</f>
        <v>1587297.1650000003</v>
      </c>
      <c r="T34" s="1741">
        <f>Z52</f>
        <v>0</v>
      </c>
      <c r="U34" s="1742">
        <f>AC52</f>
        <v>366000</v>
      </c>
      <c r="V34" s="1743">
        <f t="shared" si="6"/>
        <v>1221297.1650000003</v>
      </c>
      <c r="W34" s="1744"/>
      <c r="X34" s="891"/>
      <c r="Y34" s="1476" t="str">
        <f t="shared" si="3"/>
        <v>설계비</v>
      </c>
      <c r="Z34" s="1477">
        <v>0</v>
      </c>
      <c r="AA34" s="1478">
        <f t="shared" ref="AA34:AA40" si="11">E34-Z34</f>
        <v>1683819.6649999998</v>
      </c>
      <c r="AB34" s="1490">
        <v>0.9</v>
      </c>
      <c r="AC34" s="1480">
        <f t="shared" si="4"/>
        <v>1515437.6984999999</v>
      </c>
      <c r="AD34" s="1477">
        <f t="shared" si="5"/>
        <v>168381.96649999986</v>
      </c>
      <c r="AE34" s="1481"/>
      <c r="AG34" s="2343"/>
      <c r="AH34" s="2339" t="s">
        <v>1487</v>
      </c>
      <c r="AI34" s="2340"/>
      <c r="AJ34" s="2341"/>
      <c r="AK34" s="1767">
        <f>E74</f>
        <v>400000</v>
      </c>
      <c r="AL34" s="1767">
        <f>AK34</f>
        <v>400000</v>
      </c>
      <c r="AM34" s="1632"/>
    </row>
    <row r="35" spans="1:39" ht="15.9" customHeight="1">
      <c r="A35" s="2298"/>
      <c r="B35" s="896" t="s">
        <v>62</v>
      </c>
      <c r="C35" s="883" t="s">
        <v>62</v>
      </c>
      <c r="D35" s="1603" t="s">
        <v>1399</v>
      </c>
      <c r="E35" s="1621">
        <f>J35*K35*L35</f>
        <v>1683819.6649999998</v>
      </c>
      <c r="F35" s="1612">
        <f t="shared" ref="F35:F40" si="12">IF(OR(D35="N",D35=""),0,E35*10%)</f>
        <v>168381.96649999998</v>
      </c>
      <c r="G35" s="1612">
        <f t="shared" si="10"/>
        <v>1852201.6314999997</v>
      </c>
      <c r="H35" s="2115">
        <f t="shared" si="2"/>
        <v>1.2422071266001273E-2</v>
      </c>
      <c r="I35" s="2116"/>
      <c r="J35" s="1259">
        <f>J34</f>
        <v>16838.196649999998</v>
      </c>
      <c r="K35" s="1283">
        <v>100</v>
      </c>
      <c r="L35" s="894">
        <v>1</v>
      </c>
      <c r="M35" s="2119" t="s">
        <v>1269</v>
      </c>
      <c r="N35" s="2120"/>
      <c r="O35" s="2121"/>
      <c r="P35" s="7"/>
      <c r="Q35" s="2211" t="s">
        <v>40</v>
      </c>
      <c r="R35" s="2212"/>
      <c r="S35" s="1740">
        <f>Z60+AA60</f>
        <v>3109980.8406925122</v>
      </c>
      <c r="T35" s="1741">
        <f>Z60</f>
        <v>0</v>
      </c>
      <c r="U35" s="1742">
        <f>AC60</f>
        <v>3109980.8406925122</v>
      </c>
      <c r="V35" s="1743">
        <f t="shared" si="6"/>
        <v>0</v>
      </c>
      <c r="W35" s="1744"/>
      <c r="X35" s="891"/>
      <c r="Y35" s="1476" t="str">
        <f t="shared" si="3"/>
        <v>감리비</v>
      </c>
      <c r="Z35" s="1477">
        <v>0</v>
      </c>
      <c r="AA35" s="1478">
        <f t="shared" si="11"/>
        <v>1683819.6649999998</v>
      </c>
      <c r="AB35" s="1490">
        <v>0.9</v>
      </c>
      <c r="AC35" s="1480">
        <f t="shared" si="4"/>
        <v>1515437.6984999999</v>
      </c>
      <c r="AD35" s="1477">
        <f t="shared" si="5"/>
        <v>168381.96649999986</v>
      </c>
      <c r="AE35" s="1481"/>
      <c r="AG35" s="2344"/>
      <c r="AH35" s="2332" t="s">
        <v>1488</v>
      </c>
      <c r="AI35" s="2333"/>
      <c r="AJ35" s="2334"/>
      <c r="AK35" s="1768">
        <f>AK28-AK29-AK32-AK33-AK34</f>
        <v>105361624.10054438</v>
      </c>
      <c r="AL35" s="1768">
        <f>AL28-AL29-AL32-AL33-AL34</f>
        <v>105361624.10054438</v>
      </c>
      <c r="AM35" s="1764"/>
    </row>
    <row r="36" spans="1:39" ht="15.9" customHeight="1">
      <c r="A36" s="2298"/>
      <c r="B36" s="2127" t="s">
        <v>66</v>
      </c>
      <c r="C36" s="883" t="s">
        <v>63</v>
      </c>
      <c r="D36" s="1604" t="s">
        <v>1403</v>
      </c>
      <c r="E36" s="1618"/>
      <c r="F36" s="1612">
        <f t="shared" si="12"/>
        <v>0</v>
      </c>
      <c r="G36" s="1612">
        <f t="shared" si="10"/>
        <v>0</v>
      </c>
      <c r="H36" s="2115">
        <f t="shared" si="2"/>
        <v>0</v>
      </c>
      <c r="I36" s="2116"/>
      <c r="J36" s="884" t="s">
        <v>91</v>
      </c>
      <c r="K36" s="884"/>
      <c r="L36" s="884"/>
      <c r="M36" s="2127" t="s">
        <v>1087</v>
      </c>
      <c r="N36" s="2128"/>
      <c r="O36" s="2129"/>
      <c r="P36" s="7"/>
      <c r="Q36" s="2211" t="s">
        <v>74</v>
      </c>
      <c r="R36" s="2212"/>
      <c r="S36" s="1740">
        <f>Z73+AA73</f>
        <v>7321797.8990987511</v>
      </c>
      <c r="T36" s="1741">
        <f>Z73</f>
        <v>0</v>
      </c>
      <c r="U36" s="1742">
        <f>AC73</f>
        <v>2679705.5721537503</v>
      </c>
      <c r="V36" s="1743">
        <f t="shared" si="6"/>
        <v>4642092.3269450013</v>
      </c>
      <c r="W36" s="1744"/>
      <c r="X36" s="891"/>
      <c r="Y36" s="1476" t="str">
        <f t="shared" si="3"/>
        <v>지구단위</v>
      </c>
      <c r="Z36" s="1477">
        <v>0</v>
      </c>
      <c r="AA36" s="1478">
        <f t="shared" si="11"/>
        <v>0</v>
      </c>
      <c r="AB36" s="1479">
        <f t="shared" ref="AB36:AB40" si="13">IF($AF$22=1,0,100%)</f>
        <v>1</v>
      </c>
      <c r="AC36" s="1480">
        <f t="shared" si="4"/>
        <v>0</v>
      </c>
      <c r="AD36" s="1477">
        <f t="shared" si="5"/>
        <v>0</v>
      </c>
      <c r="AE36" s="1481"/>
      <c r="AG36" s="2335" t="s">
        <v>1454</v>
      </c>
      <c r="AH36" s="2335"/>
      <c r="AI36" s="2335"/>
      <c r="AJ36" s="2335"/>
      <c r="AK36" s="1769">
        <f>AK35-AK27</f>
        <v>84609624.100544378</v>
      </c>
      <c r="AL36" s="1769">
        <f>AL35-AL27</f>
        <v>4339518.3002924323</v>
      </c>
      <c r="AM36" s="1770" t="s">
        <v>1489</v>
      </c>
    </row>
    <row r="37" spans="1:39" ht="15.9" customHeight="1">
      <c r="A37" s="2298"/>
      <c r="B37" s="2127"/>
      <c r="C37" s="883" t="s">
        <v>64</v>
      </c>
      <c r="D37" s="1604" t="s">
        <v>1398</v>
      </c>
      <c r="E37" s="1618"/>
      <c r="F37" s="1612">
        <f t="shared" si="12"/>
        <v>0</v>
      </c>
      <c r="G37" s="1612">
        <f t="shared" si="10"/>
        <v>0</v>
      </c>
      <c r="H37" s="2115">
        <f t="shared" si="2"/>
        <v>0</v>
      </c>
      <c r="I37" s="2116"/>
      <c r="J37" s="884" t="s">
        <v>91</v>
      </c>
      <c r="K37" s="884"/>
      <c r="L37" s="884"/>
      <c r="M37" s="2127" t="s">
        <v>1090</v>
      </c>
      <c r="N37" s="2128"/>
      <c r="O37" s="2129"/>
      <c r="P37" s="7"/>
      <c r="Q37" s="2211" t="s">
        <v>1249</v>
      </c>
      <c r="R37" s="2212"/>
      <c r="S37" s="1740">
        <f>Z74+AA74</f>
        <v>400000</v>
      </c>
      <c r="T37" s="1741">
        <f>Z74</f>
        <v>0</v>
      </c>
      <c r="U37" s="1742">
        <f>AC74</f>
        <v>240000</v>
      </c>
      <c r="V37" s="1743">
        <f t="shared" si="6"/>
        <v>160000</v>
      </c>
      <c r="W37" s="1744"/>
      <c r="X37" s="891"/>
      <c r="Y37" s="1476" t="str">
        <f t="shared" si="3"/>
        <v>교통영향평가</v>
      </c>
      <c r="Z37" s="1477">
        <v>0</v>
      </c>
      <c r="AA37" s="1478">
        <f t="shared" si="11"/>
        <v>0</v>
      </c>
      <c r="AB37" s="1479">
        <f t="shared" si="13"/>
        <v>1</v>
      </c>
      <c r="AC37" s="1480">
        <f t="shared" si="4"/>
        <v>0</v>
      </c>
      <c r="AD37" s="1477">
        <f t="shared" si="5"/>
        <v>0</v>
      </c>
      <c r="AE37" s="1481"/>
      <c r="AG37" s="2329" t="s">
        <v>1455</v>
      </c>
      <c r="AH37" s="2330"/>
      <c r="AI37" s="2330"/>
      <c r="AJ37" s="2331"/>
      <c r="AK37" s="1771">
        <f>IFERROR(AK27/AK35,0)</f>
        <v>0.19695975813923297</v>
      </c>
      <c r="AL37" s="1771">
        <f>IFERROR(AL27/AL35,0)</f>
        <v>0.95881310356272298</v>
      </c>
      <c r="AM37" s="1770" t="s">
        <v>1490</v>
      </c>
    </row>
    <row r="38" spans="1:39" ht="15.9" customHeight="1">
      <c r="A38" s="2298"/>
      <c r="B38" s="2127"/>
      <c r="C38" s="883" t="s">
        <v>67</v>
      </c>
      <c r="D38" s="1604" t="s">
        <v>1398</v>
      </c>
      <c r="E38" s="1618"/>
      <c r="F38" s="1612">
        <f t="shared" si="12"/>
        <v>0</v>
      </c>
      <c r="G38" s="1612">
        <f t="shared" si="10"/>
        <v>0</v>
      </c>
      <c r="H38" s="2115">
        <f t="shared" si="2"/>
        <v>0</v>
      </c>
      <c r="I38" s="2116"/>
      <c r="J38" s="884" t="s">
        <v>91</v>
      </c>
      <c r="K38" s="884"/>
      <c r="L38" s="884"/>
      <c r="M38" s="2127"/>
      <c r="N38" s="2128"/>
      <c r="O38" s="2129"/>
      <c r="P38" s="7"/>
      <c r="Q38" s="2211" t="s">
        <v>58</v>
      </c>
      <c r="R38" s="2212"/>
      <c r="S38" s="1740">
        <f>Z81+AA81-Z74-AA74</f>
        <v>3142320.6538900007</v>
      </c>
      <c r="T38" s="1741">
        <f>Z81-Z74</f>
        <v>0</v>
      </c>
      <c r="U38" s="1742">
        <f>AC81-AC74</f>
        <v>2825816.5231120004</v>
      </c>
      <c r="V38" s="1743">
        <f t="shared" si="6"/>
        <v>316504.13077800022</v>
      </c>
      <c r="W38" s="1744"/>
      <c r="X38" s="891"/>
      <c r="Y38" s="1476" t="str">
        <f t="shared" si="3"/>
        <v>CM용역</v>
      </c>
      <c r="Z38" s="1477">
        <v>0</v>
      </c>
      <c r="AA38" s="1478">
        <f t="shared" si="11"/>
        <v>0</v>
      </c>
      <c r="AB38" s="1479">
        <f t="shared" si="13"/>
        <v>1</v>
      </c>
      <c r="AC38" s="1480">
        <f t="shared" si="4"/>
        <v>0</v>
      </c>
      <c r="AD38" s="1477">
        <f t="shared" si="5"/>
        <v>0</v>
      </c>
      <c r="AE38" s="1481"/>
    </row>
    <row r="39" spans="1:39" ht="15.9" customHeight="1" thickBot="1">
      <c r="A39" s="2298"/>
      <c r="B39" s="2127"/>
      <c r="C39" s="883" t="s">
        <v>998</v>
      </c>
      <c r="D39" s="1604" t="s">
        <v>1398</v>
      </c>
      <c r="E39" s="1618">
        <v>30000</v>
      </c>
      <c r="F39" s="1612">
        <f t="shared" si="12"/>
        <v>3000</v>
      </c>
      <c r="G39" s="1612">
        <f t="shared" si="10"/>
        <v>33000</v>
      </c>
      <c r="H39" s="2115">
        <f t="shared" si="2"/>
        <v>2.2131950690814519E-4</v>
      </c>
      <c r="I39" s="2116"/>
      <c r="J39" s="884" t="s">
        <v>91</v>
      </c>
      <c r="K39" s="884"/>
      <c r="L39" s="884"/>
      <c r="M39" s="2127" t="s">
        <v>1091</v>
      </c>
      <c r="N39" s="2128"/>
      <c r="O39" s="2129"/>
      <c r="P39" s="7"/>
      <c r="Q39" s="2211" t="s">
        <v>104</v>
      </c>
      <c r="R39" s="2212"/>
      <c r="S39" s="1740">
        <f>Z95+AA95</f>
        <v>14057366.718792336</v>
      </c>
      <c r="T39" s="1741">
        <f>Z95</f>
        <v>0</v>
      </c>
      <c r="U39" s="1737">
        <f>AC95</f>
        <v>6846953.7323684683</v>
      </c>
      <c r="V39" s="1743">
        <f t="shared" si="6"/>
        <v>7210412.9864238678</v>
      </c>
      <c r="W39" s="1744"/>
      <c r="X39" s="891"/>
      <c r="Y39" s="1476" t="str">
        <f t="shared" si="3"/>
        <v>지질측량</v>
      </c>
      <c r="Z39" s="1477">
        <v>0</v>
      </c>
      <c r="AA39" s="1478">
        <f t="shared" si="11"/>
        <v>30000</v>
      </c>
      <c r="AB39" s="1479">
        <f t="shared" si="13"/>
        <v>1</v>
      </c>
      <c r="AC39" s="1480">
        <f t="shared" si="4"/>
        <v>30000</v>
      </c>
      <c r="AD39" s="1477">
        <f t="shared" si="5"/>
        <v>0</v>
      </c>
      <c r="AE39" s="1481"/>
      <c r="AK39">
        <f>AK34/AK36</f>
        <v>4.7275945762939092E-3</v>
      </c>
    </row>
    <row r="40" spans="1:39" ht="15.9" customHeight="1" thickTop="1" thickBot="1">
      <c r="A40" s="2298"/>
      <c r="B40" s="2127"/>
      <c r="C40" s="883" t="s">
        <v>999</v>
      </c>
      <c r="D40" s="1604" t="s">
        <v>1398</v>
      </c>
      <c r="E40" s="1618"/>
      <c r="F40" s="1612">
        <f t="shared" si="12"/>
        <v>0</v>
      </c>
      <c r="G40" s="1612">
        <f t="shared" si="10"/>
        <v>0</v>
      </c>
      <c r="H40" s="2115">
        <f t="shared" si="2"/>
        <v>0</v>
      </c>
      <c r="I40" s="2116"/>
      <c r="J40" s="884" t="s">
        <v>91</v>
      </c>
      <c r="K40" s="1279"/>
      <c r="L40" s="1279"/>
      <c r="M40" s="2177" t="s">
        <v>1275</v>
      </c>
      <c r="N40" s="2178"/>
      <c r="O40" s="2179"/>
      <c r="P40" s="7"/>
      <c r="Q40" s="2218" t="s">
        <v>105</v>
      </c>
      <c r="R40" s="2219"/>
      <c r="S40" s="1745">
        <f>SUM(S26:S39)</f>
        <v>135550636.35873261</v>
      </c>
      <c r="T40" s="1736">
        <f>SUM(T26:T39)</f>
        <v>2000000</v>
      </c>
      <c r="U40" s="1698">
        <f>SUM(U26:U39)</f>
        <v>35472582.566585727</v>
      </c>
      <c r="V40" s="1738">
        <f>SUM(V26:V39)</f>
        <v>98078053.792146862</v>
      </c>
      <c r="W40" s="1739"/>
      <c r="X40" s="891"/>
      <c r="Y40" s="1476" t="str">
        <f t="shared" si="3"/>
        <v>기타인허가비용</v>
      </c>
      <c r="Z40" s="1477">
        <v>0</v>
      </c>
      <c r="AA40" s="1478">
        <f t="shared" si="11"/>
        <v>0</v>
      </c>
      <c r="AB40" s="1479">
        <f t="shared" si="13"/>
        <v>1</v>
      </c>
      <c r="AC40" s="1480">
        <f t="shared" si="4"/>
        <v>0</v>
      </c>
      <c r="AD40" s="1477">
        <f t="shared" si="5"/>
        <v>0</v>
      </c>
      <c r="AE40" s="1481"/>
    </row>
    <row r="41" spans="1:39" ht="15.9" customHeight="1" thickTop="1" thickBot="1">
      <c r="A41" s="2298"/>
      <c r="B41" s="2127"/>
      <c r="C41" s="889" t="s">
        <v>46</v>
      </c>
      <c r="D41" s="1605"/>
      <c r="E41" s="1619">
        <f>SUBTOTAL(9,E34:E40)</f>
        <v>3397639.3299999996</v>
      </c>
      <c r="F41" s="1613">
        <f>SUBTOTAL(9,F34:F40)</f>
        <v>172380.24483599942</v>
      </c>
      <c r="G41" s="1613">
        <f>SUBTOTAL(9,G34:G40)</f>
        <v>3570019.5748359989</v>
      </c>
      <c r="H41" s="2122">
        <f t="shared" si="2"/>
        <v>2.5065462038910691E-2</v>
      </c>
      <c r="I41" s="2123"/>
      <c r="J41" s="890"/>
      <c r="K41" s="890"/>
      <c r="L41" s="890"/>
      <c r="M41" s="2202"/>
      <c r="N41" s="2203"/>
      <c r="O41" s="2204"/>
      <c r="P41" s="7"/>
      <c r="Q41" s="1402" t="s">
        <v>137</v>
      </c>
      <c r="R41" s="1557">
        <f>IF(총괄장!W13="기성불",총괄장!W11,0)</f>
        <v>0</v>
      </c>
      <c r="S41" s="1553" t="s">
        <v>995</v>
      </c>
      <c r="T41" s="1554" t="s">
        <v>1018</v>
      </c>
      <c r="U41" s="1697"/>
      <c r="V41" s="1555" t="s">
        <v>1019</v>
      </c>
      <c r="W41" s="1556" t="s">
        <v>1020</v>
      </c>
      <c r="X41" s="882"/>
      <c r="Y41" s="1483" t="str">
        <f t="shared" si="3"/>
        <v>소계</v>
      </c>
      <c r="Z41" s="1484">
        <f>SUBTOTAL(9,Z34:Z40)</f>
        <v>0</v>
      </c>
      <c r="AA41" s="1485">
        <f>SUBTOTAL(9,AA34:AA40)</f>
        <v>3397639.3299999996</v>
      </c>
      <c r="AB41" s="1486"/>
      <c r="AC41" s="1487">
        <f>SUBTOTAL(9,AC34:AC40)</f>
        <v>3060875.3969999999</v>
      </c>
      <c r="AD41" s="1484">
        <f>SUBTOTAL(9,AD34:AD40)</f>
        <v>336763.93299999973</v>
      </c>
      <c r="AE41" s="1488"/>
    </row>
    <row r="42" spans="1:39" ht="15.9" customHeight="1">
      <c r="A42" s="2298"/>
      <c r="B42" s="2127" t="s">
        <v>953</v>
      </c>
      <c r="C42" s="883" t="s">
        <v>68</v>
      </c>
      <c r="D42" s="1603" t="s">
        <v>1396</v>
      </c>
      <c r="E42" s="1621">
        <f>J42*K42*L42</f>
        <v>1221297.1650000003</v>
      </c>
      <c r="F42" s="1612">
        <f t="shared" ref="F42:F51" si="14">IF(OR(D42="N",D42=""),0,E42*10%)</f>
        <v>0</v>
      </c>
      <c r="G42" s="1612">
        <f t="shared" ref="G42:G51" si="15">E42+F42</f>
        <v>1221297.1650000003</v>
      </c>
      <c r="H42" s="2115">
        <f t="shared" si="2"/>
        <v>9.0098962115371904E-3</v>
      </c>
      <c r="I42" s="2116"/>
      <c r="J42" s="899">
        <f>E11+E14+분양개요!U15</f>
        <v>152662145.62500003</v>
      </c>
      <c r="K42" s="900">
        <v>8.0000000000000002E-3</v>
      </c>
      <c r="L42" s="1282">
        <v>1</v>
      </c>
      <c r="M42" s="2127"/>
      <c r="N42" s="2128"/>
      <c r="O42" s="2129"/>
      <c r="P42" s="7"/>
      <c r="Q42" s="1678" t="s">
        <v>1428</v>
      </c>
      <c r="R42" s="1693">
        <v>22000000</v>
      </c>
      <c r="S42" s="2209">
        <f>IFERROR((R42+R43)/$E$20,0)</f>
        <v>0.22748518265153922</v>
      </c>
      <c r="T42" s="2228">
        <f>민감도분석!I18</f>
        <v>0.50048141962633774</v>
      </c>
      <c r="U42" s="1501" t="s">
        <v>1015</v>
      </c>
      <c r="V42" s="1416">
        <f>E82</f>
        <v>540000</v>
      </c>
      <c r="W42" s="1417">
        <f>E82</f>
        <v>540000</v>
      </c>
      <c r="X42" s="901"/>
      <c r="Y42" s="1476" t="str">
        <f t="shared" si="3"/>
        <v>학교용지부담금</v>
      </c>
      <c r="Z42" s="1477">
        <v>0</v>
      </c>
      <c r="AA42" s="1478">
        <f t="shared" ref="AA42:AA51" si="16">E42-Z42</f>
        <v>1221297.1650000003</v>
      </c>
      <c r="AB42" s="1490">
        <v>0</v>
      </c>
      <c r="AC42" s="1480">
        <f t="shared" si="4"/>
        <v>0</v>
      </c>
      <c r="AD42" s="1477">
        <f t="shared" si="5"/>
        <v>1221297.1650000003</v>
      </c>
      <c r="AE42" s="1481"/>
    </row>
    <row r="43" spans="1:39" ht="15.9" customHeight="1">
      <c r="A43" s="2298"/>
      <c r="B43" s="2127"/>
      <c r="C43" s="883" t="s">
        <v>69</v>
      </c>
      <c r="D43" s="1604" t="s">
        <v>1394</v>
      </c>
      <c r="E43" s="1618">
        <v>0</v>
      </c>
      <c r="F43" s="1612">
        <f t="shared" si="14"/>
        <v>0</v>
      </c>
      <c r="G43" s="1612">
        <f t="shared" si="15"/>
        <v>0</v>
      </c>
      <c r="H43" s="2115">
        <f t="shared" si="2"/>
        <v>0</v>
      </c>
      <c r="I43" s="2116"/>
      <c r="J43" s="884" t="s">
        <v>1004</v>
      </c>
      <c r="K43" s="884"/>
      <c r="L43" s="894"/>
      <c r="M43" s="2229" t="s">
        <v>1014</v>
      </c>
      <c r="N43" s="2112"/>
      <c r="O43" s="2230"/>
      <c r="P43" s="902"/>
      <c r="Q43" s="1679" t="s">
        <v>1429</v>
      </c>
      <c r="R43" s="1694">
        <v>14000000</v>
      </c>
      <c r="S43" s="2210"/>
      <c r="T43" s="2223"/>
      <c r="U43" s="1418" t="s">
        <v>1021</v>
      </c>
      <c r="V43" s="1419">
        <f>E84</f>
        <v>720000</v>
      </c>
      <c r="W43" s="1420">
        <f>E86</f>
        <v>0</v>
      </c>
      <c r="X43" s="903"/>
      <c r="Y43" s="1476" t="str">
        <f t="shared" si="3"/>
        <v>농지보전부담금</v>
      </c>
      <c r="Z43" s="1477">
        <v>0</v>
      </c>
      <c r="AA43" s="1478">
        <f t="shared" si="16"/>
        <v>0</v>
      </c>
      <c r="AB43" s="1479">
        <f t="shared" ref="AB43:AB51" si="17">IF($AF$22=1,0,100%)</f>
        <v>1</v>
      </c>
      <c r="AC43" s="1480">
        <f t="shared" si="4"/>
        <v>0</v>
      </c>
      <c r="AD43" s="1477">
        <f t="shared" si="5"/>
        <v>0</v>
      </c>
      <c r="AE43" s="1481"/>
    </row>
    <row r="44" spans="1:39" ht="15.9" customHeight="1">
      <c r="A44" s="2298"/>
      <c r="B44" s="2127"/>
      <c r="C44" s="883" t="s">
        <v>70</v>
      </c>
      <c r="D44" s="1603" t="s">
        <v>1394</v>
      </c>
      <c r="E44" s="1621">
        <f>J44*K44</f>
        <v>366000</v>
      </c>
      <c r="F44" s="1612">
        <f t="shared" si="14"/>
        <v>0</v>
      </c>
      <c r="G44" s="1612">
        <f t="shared" si="15"/>
        <v>366000</v>
      </c>
      <c r="H44" s="2115">
        <f t="shared" si="2"/>
        <v>2.7000979842793714E-3</v>
      </c>
      <c r="I44" s="2116"/>
      <c r="J44" s="1800">
        <f>N6</f>
        <v>366</v>
      </c>
      <c r="K44" s="1280">
        <v>1000</v>
      </c>
      <c r="L44" s="894">
        <v>1</v>
      </c>
      <c r="M44" s="2229"/>
      <c r="N44" s="2112"/>
      <c r="O44" s="2230"/>
      <c r="P44" s="902"/>
      <c r="Q44" s="1668" t="s">
        <v>1430</v>
      </c>
      <c r="R44" s="1695"/>
      <c r="S44" s="2213">
        <f>IFERROR((R42+R43+R44+R45)/E20,0)</f>
        <v>0.22748518265153922</v>
      </c>
      <c r="T44" s="2222">
        <f>민감도분석!I19</f>
        <v>0.50048141962633774</v>
      </c>
      <c r="U44" s="1418" t="s">
        <v>1129</v>
      </c>
      <c r="V44" s="1421">
        <f>E85</f>
        <v>5518090.7186698383</v>
      </c>
      <c r="W44" s="1422">
        <f>E87</f>
        <v>0</v>
      </c>
      <c r="X44" s="904"/>
      <c r="Y44" s="1476" t="str">
        <f t="shared" si="3"/>
        <v>상하수도분담금</v>
      </c>
      <c r="Z44" s="1477">
        <v>0</v>
      </c>
      <c r="AA44" s="1478">
        <f t="shared" si="16"/>
        <v>366000</v>
      </c>
      <c r="AB44" s="1479">
        <f t="shared" si="17"/>
        <v>1</v>
      </c>
      <c r="AC44" s="1480">
        <f t="shared" si="4"/>
        <v>366000</v>
      </c>
      <c r="AD44" s="1477">
        <f t="shared" si="5"/>
        <v>0</v>
      </c>
      <c r="AE44" s="1481"/>
    </row>
    <row r="45" spans="1:39" ht="15.9" customHeight="1">
      <c r="A45" s="2298"/>
      <c r="B45" s="2127"/>
      <c r="C45" s="883" t="s">
        <v>1008</v>
      </c>
      <c r="D45" s="1603" t="s">
        <v>1394</v>
      </c>
      <c r="E45" s="1621">
        <f>J45*K45*L45</f>
        <v>0</v>
      </c>
      <c r="F45" s="1612">
        <f t="shared" si="14"/>
        <v>0</v>
      </c>
      <c r="G45" s="1612">
        <f t="shared" si="15"/>
        <v>0</v>
      </c>
      <c r="H45" s="2115">
        <f t="shared" si="2"/>
        <v>0</v>
      </c>
      <c r="I45" s="2116"/>
      <c r="J45" s="884">
        <v>0</v>
      </c>
      <c r="K45" s="884">
        <v>0</v>
      </c>
      <c r="L45" s="1282">
        <v>1</v>
      </c>
      <c r="M45" s="2229" t="s">
        <v>1092</v>
      </c>
      <c r="N45" s="2231"/>
      <c r="O45" s="2236"/>
      <c r="P45" s="902"/>
      <c r="Q45" s="1668" t="s">
        <v>1433</v>
      </c>
      <c r="R45" s="1763"/>
      <c r="S45" s="2210"/>
      <c r="T45" s="2223"/>
      <c r="U45" s="1558" t="s">
        <v>1132</v>
      </c>
      <c r="V45" s="1559">
        <f>V43+V44</f>
        <v>6238090.7186698383</v>
      </c>
      <c r="W45" s="1560">
        <f>W43+W44</f>
        <v>0</v>
      </c>
      <c r="X45" s="905"/>
      <c r="Y45" s="1476" t="str">
        <f t="shared" si="3"/>
        <v>과밀부담금</v>
      </c>
      <c r="Z45" s="1477">
        <v>0</v>
      </c>
      <c r="AA45" s="1478">
        <f t="shared" si="16"/>
        <v>0</v>
      </c>
      <c r="AB45" s="1479">
        <f t="shared" si="17"/>
        <v>1</v>
      </c>
      <c r="AC45" s="1480">
        <f t="shared" si="4"/>
        <v>0</v>
      </c>
      <c r="AD45" s="1477">
        <f t="shared" si="5"/>
        <v>0</v>
      </c>
      <c r="AE45" s="1481"/>
    </row>
    <row r="46" spans="1:39" ht="15.9" customHeight="1">
      <c r="A46" s="2298"/>
      <c r="B46" s="2127"/>
      <c r="C46" s="883" t="s">
        <v>1005</v>
      </c>
      <c r="D46" s="1603" t="s">
        <v>1394</v>
      </c>
      <c r="E46" s="1621">
        <f>J46*K46*L46*2%</f>
        <v>0</v>
      </c>
      <c r="F46" s="1612">
        <f t="shared" si="14"/>
        <v>0</v>
      </c>
      <c r="G46" s="1612">
        <f t="shared" si="15"/>
        <v>0</v>
      </c>
      <c r="H46" s="2115">
        <f t="shared" si="2"/>
        <v>0</v>
      </c>
      <c r="I46" s="2116"/>
      <c r="J46" s="906">
        <f>J30</f>
        <v>40553.46</v>
      </c>
      <c r="K46" s="1283">
        <v>2257</v>
      </c>
      <c r="L46" s="1284">
        <v>0</v>
      </c>
      <c r="M46" s="2235" t="s">
        <v>1270</v>
      </c>
      <c r="N46" s="2231"/>
      <c r="O46" s="2236"/>
      <c r="P46" s="902"/>
      <c r="Q46" s="1680" t="s">
        <v>1431</v>
      </c>
      <c r="R46" s="1726"/>
      <c r="S46" s="2213">
        <f>IFERROR((R42+R43+R44+R45+R46+R47)/E20,0)</f>
        <v>0.22748518265153922</v>
      </c>
      <c r="T46" s="2222">
        <f>민감도분석!I20</f>
        <v>0.50048141962633774</v>
      </c>
      <c r="U46" s="1558" t="s">
        <v>1133</v>
      </c>
      <c r="V46" s="1559">
        <f>V42+V43+V44</f>
        <v>6778090.7186698383</v>
      </c>
      <c r="W46" s="1560">
        <f>W42+W43+W44</f>
        <v>540000</v>
      </c>
      <c r="X46" s="905"/>
      <c r="Y46" s="1476" t="str">
        <f t="shared" si="3"/>
        <v>광역교통시설부담금</v>
      </c>
      <c r="Z46" s="1477">
        <v>0</v>
      </c>
      <c r="AA46" s="1478">
        <f t="shared" si="16"/>
        <v>0</v>
      </c>
      <c r="AB46" s="1479">
        <f t="shared" si="17"/>
        <v>1</v>
      </c>
      <c r="AC46" s="1480">
        <f t="shared" si="4"/>
        <v>0</v>
      </c>
      <c r="AD46" s="1477">
        <f t="shared" si="5"/>
        <v>0</v>
      </c>
      <c r="AE46" s="1481"/>
    </row>
    <row r="47" spans="1:39" ht="15.9" customHeight="1">
      <c r="A47" s="2298"/>
      <c r="B47" s="2127"/>
      <c r="C47" s="883" t="s">
        <v>1006</v>
      </c>
      <c r="D47" s="1603" t="s">
        <v>1394</v>
      </c>
      <c r="E47" s="1617">
        <f>J47*K47*L47*1.2</f>
        <v>0</v>
      </c>
      <c r="F47" s="1612">
        <f t="shared" si="14"/>
        <v>0</v>
      </c>
      <c r="G47" s="1612">
        <f t="shared" si="15"/>
        <v>0</v>
      </c>
      <c r="H47" s="2115">
        <f t="shared" si="2"/>
        <v>0</v>
      </c>
      <c r="I47" s="2116"/>
      <c r="J47" s="906">
        <f>H6</f>
        <v>55663.46</v>
      </c>
      <c r="K47" s="1285"/>
      <c r="L47" s="1282">
        <v>1</v>
      </c>
      <c r="M47" s="2231" t="s">
        <v>1012</v>
      </c>
      <c r="N47" s="2232"/>
      <c r="O47" s="2233"/>
      <c r="P47" s="902"/>
      <c r="Q47" s="1680" t="s">
        <v>1432</v>
      </c>
      <c r="R47" s="1727"/>
      <c r="S47" s="2214"/>
      <c r="T47" s="2223"/>
      <c r="U47" s="1418" t="s">
        <v>1130</v>
      </c>
      <c r="V47" s="1423">
        <f>V63</f>
        <v>9.6666666666666665E-2</v>
      </c>
      <c r="W47" s="1424">
        <f>V64</f>
        <v>0</v>
      </c>
      <c r="X47" s="907"/>
      <c r="Y47" s="1476" t="str">
        <f t="shared" si="3"/>
        <v>교통유발부담금</v>
      </c>
      <c r="Z47" s="1477">
        <v>0</v>
      </c>
      <c r="AA47" s="1478">
        <f t="shared" si="16"/>
        <v>0</v>
      </c>
      <c r="AB47" s="1479">
        <f t="shared" si="17"/>
        <v>1</v>
      </c>
      <c r="AC47" s="1480">
        <f t="shared" si="4"/>
        <v>0</v>
      </c>
      <c r="AD47" s="1477">
        <f t="shared" si="5"/>
        <v>0</v>
      </c>
      <c r="AE47" s="1481"/>
    </row>
    <row r="48" spans="1:39" ht="15.9" customHeight="1" thickBot="1">
      <c r="A48" s="2298"/>
      <c r="B48" s="2127"/>
      <c r="C48" s="883" t="s">
        <v>1009</v>
      </c>
      <c r="D48" s="1604" t="s">
        <v>1394</v>
      </c>
      <c r="E48" s="1622"/>
      <c r="F48" s="1612">
        <f t="shared" si="14"/>
        <v>0</v>
      </c>
      <c r="G48" s="1612">
        <f t="shared" si="15"/>
        <v>0</v>
      </c>
      <c r="H48" s="2115">
        <f t="shared" si="2"/>
        <v>0</v>
      </c>
      <c r="I48" s="2116"/>
      <c r="J48" s="1287"/>
      <c r="K48" s="1286">
        <v>3.74</v>
      </c>
      <c r="L48" s="1282">
        <v>1</v>
      </c>
      <c r="M48" s="2231" t="s">
        <v>1013</v>
      </c>
      <c r="N48" s="2232"/>
      <c r="O48" s="2233"/>
      <c r="P48" s="902"/>
      <c r="Q48" s="1681" t="s">
        <v>27</v>
      </c>
      <c r="R48" s="1696">
        <f>SUM(R42:R47)</f>
        <v>36000000</v>
      </c>
      <c r="S48" s="1692"/>
      <c r="T48" s="1682"/>
      <c r="U48" s="1425" t="s">
        <v>1131</v>
      </c>
      <c r="V48" s="908">
        <f>W63</f>
        <v>0.10166666666666667</v>
      </c>
      <c r="W48" s="1426">
        <f>W64</f>
        <v>0</v>
      </c>
      <c r="X48" s="907"/>
      <c r="Y48" s="1476" t="str">
        <f t="shared" si="3"/>
        <v>대체산림조원조성비</v>
      </c>
      <c r="Z48" s="1477">
        <v>0</v>
      </c>
      <c r="AA48" s="1478">
        <f t="shared" si="16"/>
        <v>0</v>
      </c>
      <c r="AB48" s="1479">
        <f t="shared" si="17"/>
        <v>1</v>
      </c>
      <c r="AC48" s="1480">
        <f t="shared" si="4"/>
        <v>0</v>
      </c>
      <c r="AD48" s="1477">
        <f t="shared" si="5"/>
        <v>0</v>
      </c>
      <c r="AE48" s="1481"/>
    </row>
    <row r="49" spans="1:31" ht="15.9" customHeight="1">
      <c r="A49" s="2298"/>
      <c r="B49" s="2127"/>
      <c r="C49" s="883" t="s">
        <v>1007</v>
      </c>
      <c r="D49" s="1604" t="s">
        <v>1394</v>
      </c>
      <c r="E49" s="1622"/>
      <c r="F49" s="1612">
        <f t="shared" si="14"/>
        <v>0</v>
      </c>
      <c r="G49" s="1612">
        <f t="shared" si="15"/>
        <v>0</v>
      </c>
      <c r="H49" s="2115">
        <f t="shared" si="2"/>
        <v>0</v>
      </c>
      <c r="I49" s="2116"/>
      <c r="J49" s="884" t="s">
        <v>1004</v>
      </c>
      <c r="K49" s="884"/>
      <c r="L49" s="884"/>
      <c r="M49" s="2112"/>
      <c r="N49" s="2113"/>
      <c r="O49" s="2114"/>
      <c r="P49" s="902"/>
      <c r="Q49" s="2220"/>
      <c r="R49" s="2221"/>
      <c r="S49" s="2221"/>
      <c r="T49" s="2221"/>
      <c r="U49" s="2221"/>
      <c r="V49" s="2221"/>
      <c r="W49" s="2221"/>
      <c r="X49" s="909"/>
      <c r="Y49" s="1476" t="str">
        <f t="shared" si="3"/>
        <v>개발부담금</v>
      </c>
      <c r="Z49" s="1477">
        <v>0</v>
      </c>
      <c r="AA49" s="1478">
        <f t="shared" si="16"/>
        <v>0</v>
      </c>
      <c r="AB49" s="1479">
        <f t="shared" si="17"/>
        <v>1</v>
      </c>
      <c r="AC49" s="1480">
        <f t="shared" si="4"/>
        <v>0</v>
      </c>
      <c r="AD49" s="1477">
        <f t="shared" si="5"/>
        <v>0</v>
      </c>
      <c r="AE49" s="1481"/>
    </row>
    <row r="50" spans="1:31" ht="15.9" customHeight="1">
      <c r="A50" s="2298"/>
      <c r="B50" s="2127"/>
      <c r="C50" s="883" t="s">
        <v>1011</v>
      </c>
      <c r="D50" s="1604" t="s">
        <v>1394</v>
      </c>
      <c r="E50" s="1618"/>
      <c r="F50" s="1612">
        <f t="shared" si="14"/>
        <v>0</v>
      </c>
      <c r="G50" s="1612">
        <f t="shared" si="15"/>
        <v>0</v>
      </c>
      <c r="H50" s="2115">
        <f t="shared" si="2"/>
        <v>0</v>
      </c>
      <c r="I50" s="2116"/>
      <c r="J50" s="884" t="s">
        <v>1004</v>
      </c>
      <c r="K50" s="884"/>
      <c r="L50" s="884"/>
      <c r="M50" s="2229"/>
      <c r="N50" s="2112"/>
      <c r="O50" s="2230"/>
      <c r="P50" s="902"/>
      <c r="Q50" s="2251" t="s">
        <v>141</v>
      </c>
      <c r="R50" s="2255"/>
      <c r="S50" s="2205" t="s">
        <v>142</v>
      </c>
      <c r="T50" s="2205"/>
      <c r="U50" s="2237" t="s">
        <v>147</v>
      </c>
      <c r="V50" s="2205" t="s">
        <v>148</v>
      </c>
      <c r="W50" s="2207" t="s">
        <v>1171</v>
      </c>
      <c r="X50" s="910"/>
      <c r="Y50" s="1476" t="str">
        <f t="shared" si="3"/>
        <v xml:space="preserve">통학차량제공 </v>
      </c>
      <c r="Z50" s="1477">
        <v>0</v>
      </c>
      <c r="AA50" s="1478">
        <f t="shared" si="16"/>
        <v>0</v>
      </c>
      <c r="AB50" s="1479">
        <f t="shared" si="17"/>
        <v>1</v>
      </c>
      <c r="AC50" s="1480">
        <f t="shared" si="4"/>
        <v>0</v>
      </c>
      <c r="AD50" s="1477">
        <f t="shared" si="5"/>
        <v>0</v>
      </c>
      <c r="AE50" s="1481"/>
    </row>
    <row r="51" spans="1:31" ht="15.9" customHeight="1">
      <c r="A51" s="2298"/>
      <c r="B51" s="2127"/>
      <c r="C51" s="883" t="s">
        <v>1010</v>
      </c>
      <c r="D51" s="1604" t="s">
        <v>1394</v>
      </c>
      <c r="E51" s="1618"/>
      <c r="F51" s="1612">
        <f t="shared" si="14"/>
        <v>0</v>
      </c>
      <c r="G51" s="1612">
        <f t="shared" si="15"/>
        <v>0</v>
      </c>
      <c r="H51" s="2115">
        <f t="shared" si="2"/>
        <v>0</v>
      </c>
      <c r="I51" s="2116"/>
      <c r="J51" s="1279" t="s">
        <v>91</v>
      </c>
      <c r="K51" s="1279"/>
      <c r="L51" s="1279"/>
      <c r="M51" s="2177" t="s">
        <v>1470</v>
      </c>
      <c r="N51" s="2178"/>
      <c r="O51" s="2179"/>
      <c r="P51" s="7"/>
      <c r="Q51" s="2252"/>
      <c r="R51" s="2256"/>
      <c r="S51" s="2206"/>
      <c r="T51" s="2206"/>
      <c r="U51" s="2238"/>
      <c r="V51" s="2206"/>
      <c r="W51" s="2208"/>
      <c r="X51" s="910"/>
      <c r="Y51" s="1476" t="str">
        <f t="shared" si="3"/>
        <v>기타부담금</v>
      </c>
      <c r="Z51" s="1477">
        <v>0</v>
      </c>
      <c r="AA51" s="1478">
        <f t="shared" si="16"/>
        <v>0</v>
      </c>
      <c r="AB51" s="1479">
        <f t="shared" si="17"/>
        <v>1</v>
      </c>
      <c r="AC51" s="1480">
        <f t="shared" si="4"/>
        <v>0</v>
      </c>
      <c r="AD51" s="1477">
        <f t="shared" si="5"/>
        <v>0</v>
      </c>
      <c r="AE51" s="1481"/>
    </row>
    <row r="52" spans="1:31" ht="15.9" customHeight="1">
      <c r="A52" s="2298"/>
      <c r="B52" s="2127"/>
      <c r="C52" s="889" t="s">
        <v>46</v>
      </c>
      <c r="D52" s="1605"/>
      <c r="E52" s="1619">
        <f>SUBTOTAL(9,E42:E51)</f>
        <v>1587297.1650000003</v>
      </c>
      <c r="F52" s="1613">
        <f>SUBTOTAL(9,F42:F51)</f>
        <v>0</v>
      </c>
      <c r="G52" s="1613">
        <f>SUBTOTAL(9,G42:G51)</f>
        <v>1587297.1650000003</v>
      </c>
      <c r="H52" s="2122">
        <f t="shared" si="2"/>
        <v>1.1709994195816562E-2</v>
      </c>
      <c r="I52" s="2123"/>
      <c r="J52" s="890"/>
      <c r="K52" s="890"/>
      <c r="L52" s="890"/>
      <c r="M52" s="2202"/>
      <c r="N52" s="2203"/>
      <c r="O52" s="2204"/>
      <c r="P52" s="7"/>
      <c r="Q52" s="1427" t="s">
        <v>134</v>
      </c>
      <c r="R52" s="1428">
        <f>R48</f>
        <v>36000000</v>
      </c>
      <c r="S52" s="1429" t="s">
        <v>1422</v>
      </c>
      <c r="T52" s="1430">
        <f>T40+U40</f>
        <v>37472582.566585727</v>
      </c>
      <c r="U52" s="2257">
        <f>IFERROR(R54/T54,0)</f>
        <v>0.28033804208365065</v>
      </c>
      <c r="V52" s="2259">
        <f>IFERROR(R54/T52,0)</f>
        <v>1.0140747553888791</v>
      </c>
      <c r="W52" s="2253">
        <f>IFERROR((T52-R54)/E20,0)</f>
        <v>-3.3327680881625531E-3</v>
      </c>
      <c r="X52" s="911"/>
      <c r="Y52" s="1483" t="str">
        <f t="shared" si="3"/>
        <v>소계</v>
      </c>
      <c r="Z52" s="1484">
        <f>SUBTOTAL(9,Z42:Z51)</f>
        <v>0</v>
      </c>
      <c r="AA52" s="1485">
        <f>SUBTOTAL(9,AA42:AA51)</f>
        <v>1587297.1650000003</v>
      </c>
      <c r="AB52" s="1486"/>
      <c r="AC52" s="1487">
        <f>SUBTOTAL(9,AC42:AC51)</f>
        <v>366000</v>
      </c>
      <c r="AD52" s="1484">
        <f>SUBTOTAL(9,AD42:AD51)</f>
        <v>1221297.1650000003</v>
      </c>
      <c r="AE52" s="1488"/>
    </row>
    <row r="53" spans="1:31" ht="15.9" customHeight="1">
      <c r="A53" s="2298"/>
      <c r="B53" s="2127" t="s">
        <v>56</v>
      </c>
      <c r="C53" s="883" t="s">
        <v>83</v>
      </c>
      <c r="D53" s="1603" t="s">
        <v>1394</v>
      </c>
      <c r="E53" s="1621">
        <f>J53*K53</f>
        <v>3038767.2717643613</v>
      </c>
      <c r="F53" s="1612">
        <f t="shared" ref="F53:F59" si="18">IF(OR(D53="N",D53=""),0,E53*10%)</f>
        <v>0</v>
      </c>
      <c r="G53" s="1612">
        <f t="shared" ref="G53:G59" si="19">E53+F53</f>
        <v>3038767.2717643613</v>
      </c>
      <c r="H53" s="2115">
        <f t="shared" si="2"/>
        <v>2.2417949139849937E-2</v>
      </c>
      <c r="I53" s="2116"/>
      <c r="J53" s="1245">
        <f>SUM(E33,E34,E35,E40,IF(IFERROR(R48,0),SUM(E84:E92)*(R48-E23)/R48),0)</f>
        <v>96163521.258365855</v>
      </c>
      <c r="K53" s="900">
        <v>3.1600000000000003E-2</v>
      </c>
      <c r="L53" s="884"/>
      <c r="M53" s="2127" t="s">
        <v>1508</v>
      </c>
      <c r="N53" s="2128"/>
      <c r="O53" s="2129"/>
      <c r="P53" s="7"/>
      <c r="Q53" s="1431" t="s">
        <v>97</v>
      </c>
      <c r="R53" s="1432">
        <f>T40</f>
        <v>2000000</v>
      </c>
      <c r="S53" s="1433" t="s">
        <v>136</v>
      </c>
      <c r="T53" s="1434">
        <f>V40</f>
        <v>98078053.792146862</v>
      </c>
      <c r="U53" s="2258"/>
      <c r="V53" s="2260"/>
      <c r="W53" s="2254"/>
      <c r="X53" s="911"/>
      <c r="Y53" s="1476" t="str">
        <f t="shared" si="3"/>
        <v>보존등기비</v>
      </c>
      <c r="Z53" s="1477">
        <v>0</v>
      </c>
      <c r="AA53" s="1478">
        <f t="shared" ref="AA53:AA59" si="20">E53-Z53</f>
        <v>3038767.2717643613</v>
      </c>
      <c r="AB53" s="1490">
        <v>1</v>
      </c>
      <c r="AC53" s="1480">
        <f t="shared" si="4"/>
        <v>3038767.2717643613</v>
      </c>
      <c r="AD53" s="1477">
        <f t="shared" si="5"/>
        <v>0</v>
      </c>
      <c r="AE53" s="1481"/>
    </row>
    <row r="54" spans="1:31" ht="15.9" customHeight="1">
      <c r="A54" s="2298"/>
      <c r="B54" s="2127"/>
      <c r="C54" s="883" t="s">
        <v>71</v>
      </c>
      <c r="D54" s="1603" t="s">
        <v>1394</v>
      </c>
      <c r="E54" s="1621"/>
      <c r="F54" s="1612"/>
      <c r="G54" s="1612">
        <f t="shared" si="19"/>
        <v>0</v>
      </c>
      <c r="H54" s="2115">
        <f t="shared" si="2"/>
        <v>0</v>
      </c>
      <c r="I54" s="2116"/>
      <c r="J54" s="884"/>
      <c r="K54" s="884"/>
      <c r="L54" s="884"/>
      <c r="M54" s="2127"/>
      <c r="N54" s="2128"/>
      <c r="O54" s="2129"/>
      <c r="P54" s="7"/>
      <c r="Q54" s="675" t="s">
        <v>143</v>
      </c>
      <c r="R54" s="1435">
        <f>SUM(R52:R53)</f>
        <v>38000000</v>
      </c>
      <c r="S54" s="1436" t="s">
        <v>144</v>
      </c>
      <c r="T54" s="917">
        <f>SUM(T52:T53)</f>
        <v>135550636.35873258</v>
      </c>
      <c r="U54" s="1437" t="s">
        <v>145</v>
      </c>
      <c r="V54" s="1436" t="s">
        <v>146</v>
      </c>
      <c r="W54" s="1438" t="s">
        <v>242</v>
      </c>
      <c r="X54" s="882"/>
      <c r="Y54" s="1476" t="str">
        <f t="shared" si="3"/>
        <v>매입부가세</v>
      </c>
      <c r="Z54" s="1477">
        <v>0</v>
      </c>
      <c r="AA54" s="1478">
        <f t="shared" si="20"/>
        <v>0</v>
      </c>
      <c r="AB54" s="1479">
        <f t="shared" ref="AB54:AB56" si="21">IF($AF$22=1,0,100%)</f>
        <v>1</v>
      </c>
      <c r="AC54" s="1480">
        <f t="shared" si="4"/>
        <v>0</v>
      </c>
      <c r="AD54" s="1477">
        <f t="shared" si="5"/>
        <v>0</v>
      </c>
      <c r="AE54" s="1481"/>
    </row>
    <row r="55" spans="1:31" ht="15.9" customHeight="1">
      <c r="A55" s="2298"/>
      <c r="B55" s="2127"/>
      <c r="C55" s="883" t="s">
        <v>72</v>
      </c>
      <c r="D55" s="1603" t="s">
        <v>1394</v>
      </c>
      <c r="E55" s="1621">
        <v>0</v>
      </c>
      <c r="F55" s="1612">
        <f t="shared" si="18"/>
        <v>0</v>
      </c>
      <c r="G55" s="1612">
        <f t="shared" si="19"/>
        <v>0</v>
      </c>
      <c r="H55" s="2115">
        <f t="shared" si="2"/>
        <v>0</v>
      </c>
      <c r="I55" s="2116"/>
      <c r="J55" s="884"/>
      <c r="K55" s="884"/>
      <c r="L55" s="884"/>
      <c r="M55" s="2127"/>
      <c r="N55" s="2128"/>
      <c r="O55" s="2129"/>
      <c r="P55" s="7"/>
      <c r="Q55" s="662"/>
      <c r="R55" s="486"/>
      <c r="S55" s="4"/>
      <c r="T55" s="912"/>
      <c r="U55" s="486"/>
      <c r="V55" s="4"/>
      <c r="W55" s="913"/>
      <c r="X55" s="914"/>
      <c r="Y55" s="1476" t="str">
        <f t="shared" si="3"/>
        <v>부가세납부</v>
      </c>
      <c r="Z55" s="1477">
        <v>0</v>
      </c>
      <c r="AA55" s="1478">
        <f t="shared" si="20"/>
        <v>0</v>
      </c>
      <c r="AB55" s="1479">
        <f t="shared" si="21"/>
        <v>1</v>
      </c>
      <c r="AC55" s="1480">
        <f t="shared" si="4"/>
        <v>0</v>
      </c>
      <c r="AD55" s="1477">
        <f t="shared" si="5"/>
        <v>0</v>
      </c>
      <c r="AE55" s="1481"/>
    </row>
    <row r="56" spans="1:31" ht="15.9" customHeight="1">
      <c r="A56" s="2298"/>
      <c r="B56" s="2127"/>
      <c r="C56" s="883" t="s">
        <v>73</v>
      </c>
      <c r="D56" s="1604" t="s">
        <v>1394</v>
      </c>
      <c r="E56" s="1618">
        <f>IFERROR(세금관련!I11*1000,0)</f>
        <v>71213.568928150868</v>
      </c>
      <c r="F56" s="1612">
        <f t="shared" si="18"/>
        <v>0</v>
      </c>
      <c r="G56" s="1612">
        <f t="shared" si="19"/>
        <v>71213.568928150868</v>
      </c>
      <c r="H56" s="2115">
        <f t="shared" si="2"/>
        <v>5.2536506534491868E-4</v>
      </c>
      <c r="I56" s="2116"/>
      <c r="J56" s="1245"/>
      <c r="K56" s="1238">
        <f>N15/12</f>
        <v>2.9166666666666665</v>
      </c>
      <c r="L56" s="894"/>
      <c r="M56" s="2224" t="s">
        <v>1271</v>
      </c>
      <c r="N56" s="2120"/>
      <c r="O56" s="2121"/>
      <c r="P56" s="7"/>
      <c r="Q56" s="2221" t="s">
        <v>1172</v>
      </c>
      <c r="R56" s="2221"/>
      <c r="S56" s="2221"/>
      <c r="T56" s="2221"/>
      <c r="U56" s="2221"/>
      <c r="V56" s="2221"/>
      <c r="W56" s="2221"/>
      <c r="X56" s="909"/>
      <c r="Y56" s="1476" t="str">
        <f t="shared" si="3"/>
        <v>재산세</v>
      </c>
      <c r="Z56" s="1477">
        <v>0</v>
      </c>
      <c r="AA56" s="1478">
        <f t="shared" si="20"/>
        <v>71213.568928150868</v>
      </c>
      <c r="AB56" s="1479">
        <f t="shared" si="21"/>
        <v>1</v>
      </c>
      <c r="AC56" s="1480">
        <f t="shared" si="4"/>
        <v>71213.568928150868</v>
      </c>
      <c r="AD56" s="1477">
        <f t="shared" si="5"/>
        <v>0</v>
      </c>
      <c r="AE56" s="1481"/>
    </row>
    <row r="57" spans="1:31" ht="15.9" customHeight="1">
      <c r="A57" s="2298"/>
      <c r="B57" s="2127"/>
      <c r="C57" s="883" t="s">
        <v>1211</v>
      </c>
      <c r="D57" s="1607" t="s">
        <v>1394</v>
      </c>
      <c r="E57" s="1623">
        <f>IFERROR(세금관련!I23*1000,0)</f>
        <v>0</v>
      </c>
      <c r="F57" s="1615">
        <f t="shared" si="18"/>
        <v>0</v>
      </c>
      <c r="G57" s="1615">
        <f t="shared" si="19"/>
        <v>0</v>
      </c>
      <c r="H57" s="2115">
        <f t="shared" si="2"/>
        <v>0</v>
      </c>
      <c r="I57" s="2116"/>
      <c r="J57" s="1245" t="s">
        <v>1214</v>
      </c>
      <c r="K57" s="893"/>
      <c r="L57" s="884"/>
      <c r="M57" s="2127" t="s">
        <v>1272</v>
      </c>
      <c r="N57" s="2128"/>
      <c r="O57" s="2129" t="s">
        <v>1273</v>
      </c>
      <c r="P57" s="7"/>
      <c r="Q57" s="2251" t="s">
        <v>57</v>
      </c>
      <c r="R57" s="915" t="s">
        <v>243</v>
      </c>
      <c r="S57" s="2205" t="s">
        <v>244</v>
      </c>
      <c r="T57" s="2205" t="s">
        <v>245</v>
      </c>
      <c r="U57" s="2205"/>
      <c r="V57" s="2205"/>
      <c r="W57" s="2248" t="s">
        <v>248</v>
      </c>
      <c r="X57" s="910"/>
      <c r="Y57" s="1476" t="str">
        <f t="shared" si="3"/>
        <v>종부세</v>
      </c>
      <c r="Z57" s="1477">
        <v>0</v>
      </c>
      <c r="AA57" s="1478">
        <f t="shared" si="20"/>
        <v>0</v>
      </c>
      <c r="AB57" s="1479">
        <v>0</v>
      </c>
      <c r="AC57" s="1480">
        <f t="shared" si="4"/>
        <v>0</v>
      </c>
      <c r="AD57" s="1477">
        <f t="shared" si="5"/>
        <v>0</v>
      </c>
      <c r="AE57" s="1481"/>
    </row>
    <row r="58" spans="1:31" ht="15.9" customHeight="1">
      <c r="A58" s="2298"/>
      <c r="B58" s="2127"/>
      <c r="C58" s="883" t="s">
        <v>1248</v>
      </c>
      <c r="D58" s="1604" t="s">
        <v>1394</v>
      </c>
      <c r="E58" s="1618"/>
      <c r="F58" s="1612">
        <f t="shared" si="18"/>
        <v>0</v>
      </c>
      <c r="G58" s="1612">
        <f t="shared" si="19"/>
        <v>0</v>
      </c>
      <c r="H58" s="2115">
        <f t="shared" si="2"/>
        <v>0</v>
      </c>
      <c r="I58" s="2116"/>
      <c r="J58" s="884"/>
      <c r="K58" s="884"/>
      <c r="L58" s="884"/>
      <c r="M58" s="2127" t="s">
        <v>1340</v>
      </c>
      <c r="N58" s="2128"/>
      <c r="O58" s="2129"/>
      <c r="P58" s="7"/>
      <c r="Q58" s="2252"/>
      <c r="R58" s="916" t="s">
        <v>246</v>
      </c>
      <c r="S58" s="2206"/>
      <c r="T58" s="2206"/>
      <c r="U58" s="2206"/>
      <c r="V58" s="2206"/>
      <c r="W58" s="2249"/>
      <c r="X58" s="910"/>
      <c r="Y58" s="1476" t="str">
        <f t="shared" si="3"/>
        <v>기타비용</v>
      </c>
      <c r="Z58" s="1477">
        <v>0</v>
      </c>
      <c r="AA58" s="1478">
        <f t="shared" si="20"/>
        <v>0</v>
      </c>
      <c r="AB58" s="1479">
        <v>0</v>
      </c>
      <c r="AC58" s="1480">
        <f t="shared" si="4"/>
        <v>0</v>
      </c>
      <c r="AD58" s="1477">
        <f t="shared" si="5"/>
        <v>0</v>
      </c>
      <c r="AE58" s="1481"/>
    </row>
    <row r="59" spans="1:31" ht="15.9" customHeight="1">
      <c r="A59" s="2298"/>
      <c r="B59" s="2127"/>
      <c r="C59" s="883"/>
      <c r="D59" s="1603"/>
      <c r="E59" s="1621">
        <v>0</v>
      </c>
      <c r="F59" s="1612">
        <f t="shared" si="18"/>
        <v>0</v>
      </c>
      <c r="G59" s="1612">
        <f t="shared" si="19"/>
        <v>0</v>
      </c>
      <c r="H59" s="2115">
        <f t="shared" si="2"/>
        <v>0</v>
      </c>
      <c r="I59" s="2116"/>
      <c r="J59" s="884"/>
      <c r="K59" s="884"/>
      <c r="L59" s="884"/>
      <c r="M59" s="2127"/>
      <c r="N59" s="2128"/>
      <c r="O59" s="2129"/>
      <c r="P59" s="7"/>
      <c r="Q59" s="675" t="s">
        <v>247</v>
      </c>
      <c r="R59" s="917">
        <f>R52</f>
        <v>36000000</v>
      </c>
      <c r="S59" s="917">
        <f>U40</f>
        <v>35472582.566585727</v>
      </c>
      <c r="T59" s="2250">
        <f>R59-S59</f>
        <v>527417.43341427296</v>
      </c>
      <c r="U59" s="2250"/>
      <c r="V59" s="2250"/>
      <c r="W59" s="918"/>
      <c r="X59" s="882"/>
      <c r="Y59" s="1476">
        <f t="shared" si="3"/>
        <v>0</v>
      </c>
      <c r="Z59" s="1477">
        <v>0</v>
      </c>
      <c r="AA59" s="1478">
        <f t="shared" si="20"/>
        <v>0</v>
      </c>
      <c r="AB59" s="1479">
        <v>0</v>
      </c>
      <c r="AC59" s="1480">
        <f t="shared" si="4"/>
        <v>0</v>
      </c>
      <c r="AD59" s="1477">
        <f t="shared" si="5"/>
        <v>0</v>
      </c>
      <c r="AE59" s="1481"/>
    </row>
    <row r="60" spans="1:31" ht="15.9" customHeight="1">
      <c r="A60" s="2298"/>
      <c r="B60" s="2127"/>
      <c r="C60" s="889" t="s">
        <v>46</v>
      </c>
      <c r="D60" s="1605"/>
      <c r="E60" s="1619">
        <f>SUBTOTAL(9,E53:E59)</f>
        <v>3109980.8406925122</v>
      </c>
      <c r="F60" s="1613">
        <f>SUBTOTAL(9,F53:F59)</f>
        <v>0</v>
      </c>
      <c r="G60" s="1613">
        <f>SUBTOTAL(9,G53:G59)</f>
        <v>3109980.8406925122</v>
      </c>
      <c r="H60" s="2122">
        <f t="shared" si="2"/>
        <v>2.2943314205194857E-2</v>
      </c>
      <c r="I60" s="2123"/>
      <c r="J60" s="890"/>
      <c r="K60" s="890"/>
      <c r="L60" s="890"/>
      <c r="M60" s="2202"/>
      <c r="N60" s="2203"/>
      <c r="O60" s="2204"/>
      <c r="P60" s="7"/>
      <c r="Q60" s="486"/>
      <c r="R60" s="486"/>
      <c r="S60" s="4"/>
      <c r="T60" s="486"/>
      <c r="U60" s="486"/>
      <c r="V60" s="4"/>
      <c r="W60" s="4"/>
      <c r="X60" s="882"/>
      <c r="Y60" s="1483" t="str">
        <f t="shared" si="3"/>
        <v>소계</v>
      </c>
      <c r="Z60" s="1484">
        <f>SUBTOTAL(9,Z53:Z59)</f>
        <v>0</v>
      </c>
      <c r="AA60" s="1485">
        <f>SUBTOTAL(9,AA53:AA59)</f>
        <v>3109980.8406925122</v>
      </c>
      <c r="AB60" s="1486"/>
      <c r="AC60" s="1487">
        <f>SUBTOTAL(9,AC53:AC59)</f>
        <v>3109980.8406925122</v>
      </c>
      <c r="AD60" s="1484">
        <f>SUBTOTAL(9,AD53:AD59)</f>
        <v>0</v>
      </c>
      <c r="AE60" s="1488"/>
    </row>
    <row r="61" spans="1:31" ht="15.9" customHeight="1">
      <c r="A61" s="2298"/>
      <c r="B61" s="2127" t="s">
        <v>75</v>
      </c>
      <c r="C61" s="883" t="s">
        <v>76</v>
      </c>
      <c r="D61" s="1603" t="s">
        <v>1401</v>
      </c>
      <c r="E61" s="1621">
        <f>J61*K61</f>
        <v>1200000</v>
      </c>
      <c r="F61" s="1612">
        <f t="shared" ref="F61:F72" si="22">IF(OR(D61="N",D61=""),0,E61*10%)</f>
        <v>120000</v>
      </c>
      <c r="G61" s="1612">
        <f t="shared" ref="G61:G72" si="23">E61+F61</f>
        <v>1320000</v>
      </c>
      <c r="H61" s="2115">
        <f t="shared" si="2"/>
        <v>8.8527802763258088E-3</v>
      </c>
      <c r="I61" s="2116"/>
      <c r="J61" s="1288">
        <v>300</v>
      </c>
      <c r="K61" s="1289">
        <v>4000</v>
      </c>
      <c r="L61" s="894"/>
      <c r="M61" s="2288"/>
      <c r="N61" s="2289"/>
      <c r="O61" s="2290"/>
      <c r="P61" s="7"/>
      <c r="Q61" s="2221" t="s">
        <v>1134</v>
      </c>
      <c r="R61" s="2221"/>
      <c r="S61" s="2221"/>
      <c r="T61" s="2221"/>
      <c r="U61" s="2221"/>
      <c r="V61" s="2221"/>
      <c r="W61" s="2221"/>
      <c r="X61" s="909"/>
      <c r="Y61" s="1476" t="str">
        <f t="shared" si="3"/>
        <v>M/H설치비</v>
      </c>
      <c r="Z61" s="1477">
        <v>0</v>
      </c>
      <c r="AA61" s="1478">
        <f t="shared" ref="AA61:AA72" si="24">E61-Z61</f>
        <v>1200000</v>
      </c>
      <c r="AB61" s="1491">
        <f t="shared" ref="AB61" si="25">IF($AF$22=1,0,100%)</f>
        <v>1</v>
      </c>
      <c r="AC61" s="1480">
        <f t="shared" si="4"/>
        <v>1200000</v>
      </c>
      <c r="AD61" s="1477">
        <f t="shared" si="5"/>
        <v>0</v>
      </c>
      <c r="AE61" s="1481"/>
    </row>
    <row r="62" spans="1:31" ht="15.9" customHeight="1">
      <c r="A62" s="2298"/>
      <c r="B62" s="2127"/>
      <c r="C62" s="883" t="s">
        <v>77</v>
      </c>
      <c r="D62" s="1603" t="s">
        <v>1398</v>
      </c>
      <c r="E62" s="1621">
        <f>K62*L62</f>
        <v>120000</v>
      </c>
      <c r="F62" s="1612">
        <f t="shared" si="22"/>
        <v>12000</v>
      </c>
      <c r="G62" s="1612">
        <f t="shared" si="23"/>
        <v>132000</v>
      </c>
      <c r="H62" s="2115">
        <f t="shared" si="2"/>
        <v>8.8527802763258077E-4</v>
      </c>
      <c r="I62" s="2116"/>
      <c r="J62" s="884"/>
      <c r="K62" s="1289">
        <v>10000</v>
      </c>
      <c r="L62" s="1290">
        <v>12</v>
      </c>
      <c r="M62" s="2127"/>
      <c r="N62" s="2128"/>
      <c r="O62" s="2129"/>
      <c r="P62" s="7"/>
      <c r="Q62" s="919" t="s">
        <v>1152</v>
      </c>
      <c r="R62" s="920" t="s">
        <v>1158</v>
      </c>
      <c r="S62" s="920" t="s">
        <v>1159</v>
      </c>
      <c r="T62" s="920" t="s">
        <v>1160</v>
      </c>
      <c r="U62" s="920" t="s">
        <v>1161</v>
      </c>
      <c r="V62" s="920" t="s">
        <v>1162</v>
      </c>
      <c r="W62" s="921" t="s">
        <v>1163</v>
      </c>
      <c r="X62" s="910"/>
      <c r="Y62" s="1476" t="str">
        <f t="shared" si="3"/>
        <v>M/H운영비</v>
      </c>
      <c r="Z62" s="1477">
        <v>0</v>
      </c>
      <c r="AA62" s="1478">
        <f t="shared" si="24"/>
        <v>120000</v>
      </c>
      <c r="AB62" s="1491">
        <f>IF($AF$22=1,0,50%)</f>
        <v>0.5</v>
      </c>
      <c r="AC62" s="1480">
        <f t="shared" si="4"/>
        <v>60000</v>
      </c>
      <c r="AD62" s="1477">
        <f t="shared" si="5"/>
        <v>60000</v>
      </c>
      <c r="AE62" s="1481"/>
    </row>
    <row r="63" spans="1:31" ht="15.9" customHeight="1">
      <c r="A63" s="2298"/>
      <c r="B63" s="2127"/>
      <c r="C63" s="883" t="s">
        <v>78</v>
      </c>
      <c r="D63" s="1603" t="s">
        <v>1398</v>
      </c>
      <c r="E63" s="1621">
        <f>K63*L63</f>
        <v>70000</v>
      </c>
      <c r="F63" s="1612">
        <f t="shared" si="22"/>
        <v>7000</v>
      </c>
      <c r="G63" s="1612">
        <f t="shared" si="23"/>
        <v>77000</v>
      </c>
      <c r="H63" s="2115">
        <f t="shared" si="2"/>
        <v>5.1641218278567218E-4</v>
      </c>
      <c r="I63" s="2116"/>
      <c r="J63" s="884"/>
      <c r="K63" s="1289">
        <v>5000</v>
      </c>
      <c r="L63" s="1290">
        <f>L62+2</f>
        <v>14</v>
      </c>
      <c r="M63" s="2127" t="s">
        <v>1464</v>
      </c>
      <c r="N63" s="2128"/>
      <c r="O63" s="2129"/>
      <c r="P63" s="7"/>
      <c r="Q63" s="1683" t="s">
        <v>138</v>
      </c>
      <c r="R63" s="1439">
        <f>R42+R43</f>
        <v>36000000</v>
      </c>
      <c r="S63" s="1440">
        <f>K82</f>
        <v>1.4999999999999999E-2</v>
      </c>
      <c r="T63" s="1441">
        <f>K84</f>
        <v>0.02</v>
      </c>
      <c r="U63" s="1441">
        <f>K85</f>
        <v>0.09</v>
      </c>
      <c r="V63" s="1442">
        <f>IF((R63=0),0,(R63*U63*(총괄장!$R$10)/12+R63*T63)/R63/((총괄장!$R$10)/12))</f>
        <v>9.6666666666666665E-2</v>
      </c>
      <c r="W63" s="1443">
        <f>IF((R63=0),0,(R63*U63*(총괄장!$R$10)/12+R63*T63+R48*S63)/R63/((총괄장!$R$10)/12))</f>
        <v>0.10166666666666667</v>
      </c>
      <c r="X63" s="922"/>
      <c r="Y63" s="1476" t="str">
        <f t="shared" si="3"/>
        <v>M/H임차료</v>
      </c>
      <c r="Z63" s="1477">
        <v>0</v>
      </c>
      <c r="AA63" s="1478">
        <f t="shared" si="24"/>
        <v>70000</v>
      </c>
      <c r="AB63" s="1491">
        <f>IF($AF$22=1,0,50%)</f>
        <v>0.5</v>
      </c>
      <c r="AC63" s="1480">
        <f t="shared" si="4"/>
        <v>35000</v>
      </c>
      <c r="AD63" s="1477">
        <f t="shared" si="5"/>
        <v>35000</v>
      </c>
      <c r="AE63" s="1481"/>
    </row>
    <row r="64" spans="1:31" ht="15.9" customHeight="1">
      <c r="A64" s="2298"/>
      <c r="B64" s="2127"/>
      <c r="C64" s="883" t="s">
        <v>1215</v>
      </c>
      <c r="D64" s="1603" t="s">
        <v>1398</v>
      </c>
      <c r="E64" s="1621">
        <f>J64*K64</f>
        <v>2196000</v>
      </c>
      <c r="F64" s="1612">
        <f t="shared" si="22"/>
        <v>219600</v>
      </c>
      <c r="G64" s="1612">
        <f t="shared" si="23"/>
        <v>2415600</v>
      </c>
      <c r="H64" s="2115">
        <f t="shared" si="2"/>
        <v>1.6200587905676227E-2</v>
      </c>
      <c r="I64" s="2116"/>
      <c r="J64" s="923">
        <f>분양개요!C7</f>
        <v>366</v>
      </c>
      <c r="K64" s="1289">
        <v>6000</v>
      </c>
      <c r="L64" s="884"/>
      <c r="M64" s="2127"/>
      <c r="N64" s="2128"/>
      <c r="O64" s="2129"/>
      <c r="P64" s="7"/>
      <c r="Q64" s="1684" t="s">
        <v>139</v>
      </c>
      <c r="R64" s="1444">
        <f>R44+R45</f>
        <v>0</v>
      </c>
      <c r="S64" s="1445">
        <f>S63</f>
        <v>1.4999999999999999E-2</v>
      </c>
      <c r="T64" s="1446">
        <f>K86</f>
        <v>0.04</v>
      </c>
      <c r="U64" s="1446">
        <f>K87</f>
        <v>0.12</v>
      </c>
      <c r="V64" s="1447">
        <f>IF((R64=0),0,(R64*U64*(총괄장!$R$10)/12+R64*T64)/R64/((총괄장!$R$10)/12))</f>
        <v>0</v>
      </c>
      <c r="W64" s="1448">
        <f>IF((R64=0),0,(R64*U64*(총괄장!$R$10)/12+R64*T64+R48*S64)/R64/((총괄장!$R$10)/12))</f>
        <v>0</v>
      </c>
      <c r="X64" s="924"/>
      <c r="Y64" s="1476" t="str">
        <f t="shared" si="3"/>
        <v>분양수수료(공동주택)</v>
      </c>
      <c r="Z64" s="1477">
        <v>0</v>
      </c>
      <c r="AA64" s="1478">
        <f t="shared" si="24"/>
        <v>2196000</v>
      </c>
      <c r="AB64" s="1490">
        <v>0</v>
      </c>
      <c r="AC64" s="1480">
        <f t="shared" si="4"/>
        <v>0</v>
      </c>
      <c r="AD64" s="1477">
        <f t="shared" si="5"/>
        <v>2196000</v>
      </c>
      <c r="AE64" s="1481"/>
    </row>
    <row r="65" spans="1:31" ht="15.9" customHeight="1">
      <c r="A65" s="2298"/>
      <c r="B65" s="2127"/>
      <c r="C65" s="883" t="s">
        <v>1218</v>
      </c>
      <c r="D65" s="1603" t="s">
        <v>1398</v>
      </c>
      <c r="E65" s="1621">
        <f>J65*K65</f>
        <v>0</v>
      </c>
      <c r="F65" s="1612">
        <f t="shared" si="22"/>
        <v>0</v>
      </c>
      <c r="G65" s="1612">
        <f t="shared" si="23"/>
        <v>0</v>
      </c>
      <c r="H65" s="2115">
        <f t="shared" si="2"/>
        <v>0</v>
      </c>
      <c r="I65" s="2116"/>
      <c r="J65" s="925">
        <f>C14</f>
        <v>0</v>
      </c>
      <c r="K65" s="1289">
        <v>5000</v>
      </c>
      <c r="L65" s="884"/>
      <c r="M65" s="2127"/>
      <c r="N65" s="2128"/>
      <c r="O65" s="2129"/>
      <c r="P65" s="7"/>
      <c r="Q65" s="1449" t="s">
        <v>140</v>
      </c>
      <c r="R65" s="1450">
        <f>R46+R47</f>
        <v>0</v>
      </c>
      <c r="S65" s="1451">
        <f>S64</f>
        <v>1.4999999999999999E-2</v>
      </c>
      <c r="T65" s="1452">
        <f>K88</f>
        <v>0.08</v>
      </c>
      <c r="U65" s="1452">
        <f>K89</f>
        <v>0.15</v>
      </c>
      <c r="V65" s="1453">
        <f>IF((R65=0),0,(R65*U65*(총괄장!$R$10)/12+R65*T65)/R65/((총괄장!$R$10)/12))</f>
        <v>0</v>
      </c>
      <c r="W65" s="1454">
        <f>IF((R65=0),0,(R65*U65*(총괄장!$R$10)/12+R65*T65+R48*S65)/R65/((총괄장!$R$10)/12))</f>
        <v>0</v>
      </c>
      <c r="X65" s="924"/>
      <c r="Y65" s="1476" t="str">
        <f t="shared" si="3"/>
        <v>분양수수료(도생)</v>
      </c>
      <c r="Z65" s="1477">
        <v>0</v>
      </c>
      <c r="AA65" s="1478">
        <f t="shared" si="24"/>
        <v>0</v>
      </c>
      <c r="AB65" s="1490">
        <v>0</v>
      </c>
      <c r="AC65" s="1480">
        <f t="shared" si="4"/>
        <v>0</v>
      </c>
      <c r="AD65" s="1477">
        <f t="shared" si="5"/>
        <v>0</v>
      </c>
      <c r="AE65" s="1481"/>
    </row>
    <row r="66" spans="1:31" ht="15.9" customHeight="1">
      <c r="A66" s="2298"/>
      <c r="B66" s="2127"/>
      <c r="C66" s="883" t="s">
        <v>1216</v>
      </c>
      <c r="D66" s="1603" t="s">
        <v>1398</v>
      </c>
      <c r="E66" s="1621">
        <f>J66*K66</f>
        <v>0</v>
      </c>
      <c r="F66" s="1612">
        <f t="shared" si="22"/>
        <v>0</v>
      </c>
      <c r="G66" s="1612">
        <f t="shared" si="23"/>
        <v>0</v>
      </c>
      <c r="H66" s="2115">
        <f t="shared" si="2"/>
        <v>0</v>
      </c>
      <c r="I66" s="2116"/>
      <c r="J66" s="925">
        <f>분양개요!C8</f>
        <v>0</v>
      </c>
      <c r="K66" s="1280">
        <v>15000</v>
      </c>
      <c r="L66" s="884"/>
      <c r="M66" s="2127"/>
      <c r="N66" s="2128"/>
      <c r="O66" s="2129"/>
      <c r="P66" s="7"/>
      <c r="Q66" s="7"/>
      <c r="R66" s="7"/>
      <c r="T66" s="7"/>
      <c r="U66" s="7"/>
      <c r="V66" s="1250">
        <f>IFERROR(((R63*U63+R64*U64+R65*U65)*(총괄장!$R$10)/12+R63*T63+R64*T64+R65*T65)/(R63+R64+R65)/((총괄장!$R$10)/12),0)</f>
        <v>9.6666666666666665E-2</v>
      </c>
      <c r="W66" s="1250">
        <f>IFERROR(((R63*U63+R64*U64+R65*U65)*(총괄장!$R$10)/12+R63*T63+R64*T64+R65*T65+R63*S63+R64*S64+R65*S65)/(R63+R64+R65)/((총괄장!$R$10)/12),0)</f>
        <v>0.10166666666666667</v>
      </c>
      <c r="X66" s="882"/>
      <c r="Y66" s="1476" t="str">
        <f t="shared" si="3"/>
        <v>분양수수료(오피스텔)</v>
      </c>
      <c r="Z66" s="1477">
        <v>0</v>
      </c>
      <c r="AA66" s="1478">
        <f t="shared" si="24"/>
        <v>0</v>
      </c>
      <c r="AB66" s="1490">
        <v>0</v>
      </c>
      <c r="AC66" s="1480">
        <f t="shared" si="4"/>
        <v>0</v>
      </c>
      <c r="AD66" s="1477">
        <f t="shared" si="5"/>
        <v>0</v>
      </c>
      <c r="AE66" s="1481"/>
    </row>
    <row r="67" spans="1:31" ht="15.9" customHeight="1">
      <c r="A67" s="2298"/>
      <c r="B67" s="2127"/>
      <c r="C67" s="883" t="s">
        <v>1217</v>
      </c>
      <c r="D67" s="1603" t="s">
        <v>1398</v>
      </c>
      <c r="E67" s="1621">
        <f>J67*K67</f>
        <v>0</v>
      </c>
      <c r="F67" s="1612">
        <f t="shared" si="22"/>
        <v>0</v>
      </c>
      <c r="G67" s="1612">
        <f t="shared" si="23"/>
        <v>0</v>
      </c>
      <c r="H67" s="2115">
        <f t="shared" si="2"/>
        <v>0</v>
      </c>
      <c r="I67" s="2116"/>
      <c r="J67" s="1801">
        <f>E15</f>
        <v>0</v>
      </c>
      <c r="K67" s="1291">
        <v>0.02</v>
      </c>
      <c r="L67" s="884"/>
      <c r="M67" s="2128"/>
      <c r="N67" s="2225"/>
      <c r="O67" s="2226"/>
      <c r="P67" s="7"/>
      <c r="Q67" s="7"/>
      <c r="R67" s="7"/>
      <c r="T67" s="7"/>
      <c r="U67" s="2244" t="s">
        <v>1274</v>
      </c>
      <c r="V67" s="2245"/>
      <c r="W67" s="1226" t="s">
        <v>1247</v>
      </c>
      <c r="X67" s="882"/>
      <c r="Y67" s="1476" t="str">
        <f t="shared" si="3"/>
        <v>분양수수료(기타분양)</v>
      </c>
      <c r="Z67" s="1477">
        <v>0</v>
      </c>
      <c r="AA67" s="1478">
        <f t="shared" si="24"/>
        <v>0</v>
      </c>
      <c r="AB67" s="1490">
        <v>0</v>
      </c>
      <c r="AC67" s="1480">
        <f t="shared" si="4"/>
        <v>0</v>
      </c>
      <c r="AD67" s="1477">
        <f t="shared" si="5"/>
        <v>0</v>
      </c>
      <c r="AE67" s="1481"/>
    </row>
    <row r="68" spans="1:31" ht="15.9" customHeight="1">
      <c r="A68" s="2298"/>
      <c r="B68" s="2127"/>
      <c r="C68" s="883" t="s">
        <v>93</v>
      </c>
      <c r="D68" s="1603" t="s">
        <v>1398</v>
      </c>
      <c r="E68" s="1617">
        <f>J68*K68</f>
        <v>95832</v>
      </c>
      <c r="F68" s="1612">
        <f t="shared" si="22"/>
        <v>9583.2000000000007</v>
      </c>
      <c r="G68" s="1612">
        <f t="shared" si="23"/>
        <v>105415.2</v>
      </c>
      <c r="H68" s="2227">
        <f t="shared" si="2"/>
        <v>7.0698303286737907E-4</v>
      </c>
      <c r="I68" s="2115"/>
      <c r="J68" s="927">
        <f>E13</f>
        <v>1197900</v>
      </c>
      <c r="K68" s="1291">
        <v>0.08</v>
      </c>
      <c r="L68" s="884"/>
      <c r="M68" s="2128"/>
      <c r="N68" s="2225"/>
      <c r="O68" s="2226"/>
      <c r="P68" s="7"/>
      <c r="Q68" s="7"/>
      <c r="R68" s="7"/>
      <c r="T68" s="7"/>
      <c r="U68" s="2246"/>
      <c r="V68" s="2247"/>
      <c r="W68" s="1387">
        <f>CF분석!J118</f>
        <v>1296050.5371416707</v>
      </c>
      <c r="X68" s="882"/>
      <c r="Y68" s="1476" t="str">
        <f t="shared" si="3"/>
        <v>분양수수료(상가)</v>
      </c>
      <c r="Z68" s="1477">
        <v>0</v>
      </c>
      <c r="AA68" s="1478">
        <f t="shared" si="24"/>
        <v>95832</v>
      </c>
      <c r="AB68" s="1490">
        <v>0</v>
      </c>
      <c r="AC68" s="1480">
        <f t="shared" si="4"/>
        <v>0</v>
      </c>
      <c r="AD68" s="1477">
        <f t="shared" si="5"/>
        <v>95832</v>
      </c>
      <c r="AE68" s="1481"/>
    </row>
    <row r="69" spans="1:31" ht="15.9" customHeight="1">
      <c r="A69" s="2298"/>
      <c r="B69" s="2127"/>
      <c r="C69" s="883" t="s">
        <v>1000</v>
      </c>
      <c r="D69" s="1603" t="s">
        <v>1395</v>
      </c>
      <c r="E69" s="1621">
        <f>J69*K69*L69*M69</f>
        <v>593445.24520875013</v>
      </c>
      <c r="F69" s="1612">
        <f t="shared" si="22"/>
        <v>0</v>
      </c>
      <c r="G69" s="1612">
        <f t="shared" si="23"/>
        <v>593445.24520875013</v>
      </c>
      <c r="H69" s="2115">
        <f t="shared" si="2"/>
        <v>4.3780336348861297E-3</v>
      </c>
      <c r="I69" s="2116"/>
      <c r="J69" s="928">
        <f>E20</f>
        <v>158252065.38900003</v>
      </c>
      <c r="K69" s="1292">
        <v>0.5</v>
      </c>
      <c r="L69" s="1292">
        <v>3.0000000000000001E-3</v>
      </c>
      <c r="M69" s="1293">
        <f>총괄장!P6/12</f>
        <v>2.5</v>
      </c>
      <c r="N69" s="1253"/>
      <c r="O69" s="1257"/>
      <c r="P69" s="929"/>
      <c r="Q69" s="7"/>
      <c r="R69" s="7"/>
      <c r="S69" s="930"/>
      <c r="T69" s="7"/>
      <c r="U69" s="926"/>
      <c r="V69" s="926"/>
      <c r="W69" s="7"/>
      <c r="X69" s="924"/>
      <c r="Y69" s="1476" t="str">
        <f t="shared" si="3"/>
        <v>분양보증수수료</v>
      </c>
      <c r="Z69" s="1477">
        <v>0</v>
      </c>
      <c r="AA69" s="1478">
        <f t="shared" si="24"/>
        <v>593445.24520875013</v>
      </c>
      <c r="AB69" s="1491">
        <f t="shared" ref="AB69" si="26">IF($AF$22=1,0,100%)</f>
        <v>1</v>
      </c>
      <c r="AC69" s="1480">
        <f t="shared" si="4"/>
        <v>593445.24520875013</v>
      </c>
      <c r="AD69" s="1477">
        <f t="shared" si="5"/>
        <v>0</v>
      </c>
      <c r="AE69" s="1481"/>
    </row>
    <row r="70" spans="1:31" ht="15.9" customHeight="1">
      <c r="A70" s="2298"/>
      <c r="B70" s="2127"/>
      <c r="C70" s="883" t="s">
        <v>1242</v>
      </c>
      <c r="D70" s="1603" t="s">
        <v>1398</v>
      </c>
      <c r="E70" s="1617">
        <f>J70*K70</f>
        <v>1582520.6538900004</v>
      </c>
      <c r="F70" s="1612">
        <f t="shared" si="22"/>
        <v>158252.06538900005</v>
      </c>
      <c r="G70" s="1612">
        <f t="shared" si="23"/>
        <v>1740772.7192790005</v>
      </c>
      <c r="H70" s="2115">
        <f t="shared" si="2"/>
        <v>1.1674756359696347E-2</v>
      </c>
      <c r="I70" s="2116"/>
      <c r="J70" s="928">
        <f>E20</f>
        <v>158252065.38900003</v>
      </c>
      <c r="K70" s="1282">
        <v>0.01</v>
      </c>
      <c r="L70" s="1292" t="s">
        <v>1448</v>
      </c>
      <c r="M70" s="2127" t="s">
        <v>1243</v>
      </c>
      <c r="N70" s="2120"/>
      <c r="O70" s="2121"/>
      <c r="P70" s="929"/>
      <c r="Q70" s="1227" t="s">
        <v>1250</v>
      </c>
      <c r="R70" s="1227"/>
      <c r="S70" s="1227"/>
      <c r="T70" s="1227"/>
      <c r="X70" s="924"/>
      <c r="Y70" s="1476" t="str">
        <f t="shared" si="3"/>
        <v>광고비용</v>
      </c>
      <c r="Z70" s="1477">
        <v>0</v>
      </c>
      <c r="AA70" s="1478">
        <f t="shared" si="24"/>
        <v>1582520.6538900004</v>
      </c>
      <c r="AB70" s="1491">
        <f>IF($AF$22=1,0,50%)</f>
        <v>0.5</v>
      </c>
      <c r="AC70" s="1480">
        <f t="shared" si="4"/>
        <v>791260.32694500021</v>
      </c>
      <c r="AD70" s="1477">
        <f t="shared" si="5"/>
        <v>791260.32694500021</v>
      </c>
      <c r="AE70" s="1481"/>
    </row>
    <row r="71" spans="1:31" ht="15.9" customHeight="1">
      <c r="A71" s="2298"/>
      <c r="B71" s="2127"/>
      <c r="C71" s="883"/>
      <c r="D71" s="1604"/>
      <c r="E71" s="1618"/>
      <c r="F71" s="1612">
        <f t="shared" si="22"/>
        <v>0</v>
      </c>
      <c r="G71" s="1612">
        <f t="shared" si="23"/>
        <v>0</v>
      </c>
      <c r="H71" s="2115">
        <f t="shared" si="2"/>
        <v>0</v>
      </c>
      <c r="I71" s="2116"/>
      <c r="J71" s="884" t="s">
        <v>1080</v>
      </c>
      <c r="K71" s="1281"/>
      <c r="L71" s="1281"/>
      <c r="M71" s="2136"/>
      <c r="N71" s="2137"/>
      <c r="O71" s="2138"/>
      <c r="P71" s="7"/>
      <c r="Q71" s="2242" t="s">
        <v>1252</v>
      </c>
      <c r="R71" s="1386" t="s">
        <v>1253</v>
      </c>
      <c r="S71" s="1386" t="s">
        <v>139</v>
      </c>
      <c r="T71" s="898" t="s">
        <v>140</v>
      </c>
      <c r="U71" s="897" t="s">
        <v>1253</v>
      </c>
      <c r="V71" s="1386" t="s">
        <v>139</v>
      </c>
      <c r="W71" s="898" t="s">
        <v>140</v>
      </c>
      <c r="X71" s="882"/>
      <c r="Y71" s="1476">
        <f t="shared" si="3"/>
        <v>0</v>
      </c>
      <c r="Z71" s="1477">
        <v>0</v>
      </c>
      <c r="AA71" s="1478">
        <f t="shared" si="24"/>
        <v>0</v>
      </c>
      <c r="AB71" s="1491">
        <v>0</v>
      </c>
      <c r="AC71" s="1480">
        <f t="shared" si="4"/>
        <v>0</v>
      </c>
      <c r="AD71" s="1477">
        <f t="shared" si="5"/>
        <v>0</v>
      </c>
      <c r="AE71" s="1481"/>
    </row>
    <row r="72" spans="1:31" ht="15.9" customHeight="1">
      <c r="A72" s="2298"/>
      <c r="B72" s="2127"/>
      <c r="C72" s="883" t="s">
        <v>59</v>
      </c>
      <c r="D72" s="1604" t="s">
        <v>1398</v>
      </c>
      <c r="E72" s="1618">
        <f>4000*J64</f>
        <v>1464000</v>
      </c>
      <c r="F72" s="1612">
        <f t="shared" si="22"/>
        <v>146400</v>
      </c>
      <c r="G72" s="1612">
        <f t="shared" si="23"/>
        <v>1610400</v>
      </c>
      <c r="H72" s="2115">
        <f t="shared" si="2"/>
        <v>1.0800391937117486E-2</v>
      </c>
      <c r="I72" s="2116"/>
      <c r="J72" s="1245">
        <f>J70</f>
        <v>158252065.38900003</v>
      </c>
      <c r="K72" s="1281"/>
      <c r="L72" s="1799">
        <v>5.0000000000000001E-3</v>
      </c>
      <c r="M72" s="2136"/>
      <c r="N72" s="2137"/>
      <c r="O72" s="2138"/>
      <c r="P72" s="7"/>
      <c r="Q72" s="2243"/>
      <c r="R72" s="2240" t="s">
        <v>1342</v>
      </c>
      <c r="S72" s="2240"/>
      <c r="T72" s="2241"/>
      <c r="U72" s="2239" t="s">
        <v>1343</v>
      </c>
      <c r="V72" s="2240"/>
      <c r="W72" s="2241"/>
      <c r="X72" s="882"/>
      <c r="Y72" s="1476" t="str">
        <f t="shared" si="3"/>
        <v>기타비용</v>
      </c>
      <c r="Z72" s="1477">
        <v>0</v>
      </c>
      <c r="AA72" s="1478">
        <f t="shared" si="24"/>
        <v>1464000</v>
      </c>
      <c r="AB72" s="1491">
        <v>0</v>
      </c>
      <c r="AC72" s="1480">
        <f>AA72*AB72</f>
        <v>0</v>
      </c>
      <c r="AD72" s="1477">
        <f t="shared" si="5"/>
        <v>1464000</v>
      </c>
      <c r="AE72" s="1481"/>
    </row>
    <row r="73" spans="1:31" ht="15.9" customHeight="1">
      <c r="A73" s="2298"/>
      <c r="B73" s="2127"/>
      <c r="C73" s="889" t="s">
        <v>46</v>
      </c>
      <c r="D73" s="1605"/>
      <c r="E73" s="1619">
        <f>SUBTOTAL(9,E61:E72)</f>
        <v>7321797.8990987511</v>
      </c>
      <c r="F73" s="1613">
        <f>SUBTOTAL(9,F61:F72)</f>
        <v>672835.26538900007</v>
      </c>
      <c r="G73" s="1613">
        <f>SUBTOTAL(9,G61:G72)</f>
        <v>7994633.1644877512</v>
      </c>
      <c r="H73" s="2122">
        <f t="shared" si="2"/>
        <v>5.4015223356987635E-2</v>
      </c>
      <c r="I73" s="2123"/>
      <c r="J73" s="890"/>
      <c r="K73" s="1254"/>
      <c r="L73" s="1254"/>
      <c r="M73" s="2124"/>
      <c r="N73" s="2125"/>
      <c r="O73" s="2126"/>
      <c r="P73" s="7"/>
      <c r="Q73" s="1469" t="s">
        <v>1251</v>
      </c>
      <c r="R73" s="1456">
        <v>70</v>
      </c>
      <c r="S73" s="1456">
        <v>80</v>
      </c>
      <c r="T73" s="1457">
        <v>85</v>
      </c>
      <c r="U73" s="1385">
        <f>E11*R73/100</f>
        <v>106863501.93750001</v>
      </c>
      <c r="V73" s="1385">
        <f>E11*(S73-R73)/100</f>
        <v>15266214.562500002</v>
      </c>
      <c r="W73" s="1458">
        <f>E11*(T73-S73)/100</f>
        <v>7633107.2812500009</v>
      </c>
      <c r="X73" s="882"/>
      <c r="Y73" s="1483" t="str">
        <f>C73</f>
        <v>소계</v>
      </c>
      <c r="Z73" s="1484">
        <f>SUBTOTAL(9,Z61:Z72)</f>
        <v>0</v>
      </c>
      <c r="AA73" s="1485">
        <f>SUBTOTAL(9,AA61:AA72)</f>
        <v>7321797.8990987511</v>
      </c>
      <c r="AB73" s="1486"/>
      <c r="AC73" s="1487">
        <f>SUBTOTAL(9,AC61:AC72)</f>
        <v>2679705.5721537503</v>
      </c>
      <c r="AD73" s="1484">
        <f>SUBTOTAL(9,AD61:AD72)</f>
        <v>4642092.3269450003</v>
      </c>
      <c r="AE73" s="1488"/>
    </row>
    <row r="74" spans="1:31" ht="15.9" customHeight="1">
      <c r="A74" s="2298"/>
      <c r="B74" s="896" t="s">
        <v>33</v>
      </c>
      <c r="C74" s="883" t="s">
        <v>33</v>
      </c>
      <c r="D74" s="1603" t="s">
        <v>1404</v>
      </c>
      <c r="E74" s="1618">
        <v>400000</v>
      </c>
      <c r="F74" s="1612">
        <f t="shared" ref="F74:F80" si="27">IF(OR(D74="N",D74=""),0,E74*10%)</f>
        <v>0</v>
      </c>
      <c r="G74" s="1612">
        <f t="shared" ref="G74:G80" si="28">E74+F74</f>
        <v>400000</v>
      </c>
      <c r="H74" s="2115">
        <f t="shared" si="2"/>
        <v>2.9509267587752692E-3</v>
      </c>
      <c r="I74" s="2116"/>
      <c r="J74" s="1245">
        <f>E20</f>
        <v>158252065.38900003</v>
      </c>
      <c r="K74" s="1292">
        <f>E74/J74</f>
        <v>2.5276131405726578E-3</v>
      </c>
      <c r="L74" s="1284">
        <v>1</v>
      </c>
      <c r="M74" s="2127"/>
      <c r="N74" s="2120"/>
      <c r="O74" s="2121"/>
      <c r="P74" s="7"/>
      <c r="Q74" s="1459" t="s">
        <v>1344</v>
      </c>
      <c r="R74" s="1460">
        <v>60</v>
      </c>
      <c r="S74" s="1460">
        <v>70</v>
      </c>
      <c r="T74" s="1461">
        <v>75</v>
      </c>
      <c r="U74" s="1462">
        <f>(E12+E14+E17+E18)*R74/100</f>
        <v>0</v>
      </c>
      <c r="V74" s="1462">
        <f>(E12+E14+E17+E18)*(S74-R74)/100</f>
        <v>0</v>
      </c>
      <c r="W74" s="1463">
        <f>(E12+E14+E17+E18)*(T74-S74)/100</f>
        <v>0</v>
      </c>
      <c r="X74" s="882"/>
      <c r="Y74" s="1476" t="str">
        <f t="shared" si="3"/>
        <v>신탁보수</v>
      </c>
      <c r="Z74" s="1477">
        <v>0</v>
      </c>
      <c r="AA74" s="1478">
        <f t="shared" ref="AA74:AA80" si="29">E74-Z74</f>
        <v>400000</v>
      </c>
      <c r="AB74" s="1490">
        <v>0.6</v>
      </c>
      <c r="AC74" s="1480">
        <f t="shared" si="4"/>
        <v>240000</v>
      </c>
      <c r="AD74" s="1477">
        <f t="shared" si="5"/>
        <v>160000</v>
      </c>
      <c r="AE74" s="1481"/>
    </row>
    <row r="75" spans="1:31" ht="15.9" customHeight="1">
      <c r="A75" s="2298"/>
      <c r="B75" s="2127" t="s">
        <v>59</v>
      </c>
      <c r="C75" s="883" t="s">
        <v>79</v>
      </c>
      <c r="D75" s="1603" t="s">
        <v>1405</v>
      </c>
      <c r="E75" s="1621">
        <f>J75*K75</f>
        <v>1582520.6538900004</v>
      </c>
      <c r="F75" s="1612">
        <f t="shared" si="27"/>
        <v>0</v>
      </c>
      <c r="G75" s="1612">
        <f t="shared" si="28"/>
        <v>1582520.6538900004</v>
      </c>
      <c r="H75" s="2115">
        <f t="shared" si="2"/>
        <v>1.1674756359696347E-2</v>
      </c>
      <c r="I75" s="2116"/>
      <c r="J75" s="1245">
        <f>E20</f>
        <v>158252065.38900003</v>
      </c>
      <c r="K75" s="1292">
        <v>0.01</v>
      </c>
      <c r="L75" s="1256"/>
      <c r="M75" s="2127"/>
      <c r="N75" s="2120"/>
      <c r="O75" s="2121"/>
      <c r="P75" s="7"/>
      <c r="Q75" s="1459" t="s">
        <v>1341</v>
      </c>
      <c r="R75" s="1460">
        <v>50</v>
      </c>
      <c r="S75" s="1460">
        <v>60</v>
      </c>
      <c r="T75" s="1461">
        <v>70</v>
      </c>
      <c r="U75" s="1462">
        <f>E15*R75/100</f>
        <v>0</v>
      </c>
      <c r="V75" s="1462">
        <f>E15*(S75-R75)/100</f>
        <v>0</v>
      </c>
      <c r="W75" s="1463">
        <f>E15*(T75-S75)/100</f>
        <v>0</v>
      </c>
      <c r="X75" s="882"/>
      <c r="Y75" s="1476" t="str">
        <f t="shared" si="3"/>
        <v>예비비</v>
      </c>
      <c r="Z75" s="1477">
        <v>0</v>
      </c>
      <c r="AA75" s="1478">
        <f t="shared" si="29"/>
        <v>1582520.6538900004</v>
      </c>
      <c r="AB75" s="1490">
        <v>0.8</v>
      </c>
      <c r="AC75" s="1480">
        <f t="shared" si="4"/>
        <v>1266016.5231120004</v>
      </c>
      <c r="AD75" s="1477">
        <f t="shared" si="5"/>
        <v>316504.13077799999</v>
      </c>
      <c r="AE75" s="1481"/>
    </row>
    <row r="76" spans="1:31" ht="15.9" customHeight="1">
      <c r="A76" s="2298"/>
      <c r="B76" s="2127"/>
      <c r="C76" s="883" t="s">
        <v>80</v>
      </c>
      <c r="D76" s="1603" t="s">
        <v>1400</v>
      </c>
      <c r="E76" s="1621">
        <f>K76*L76</f>
        <v>1050000</v>
      </c>
      <c r="F76" s="1612">
        <f t="shared" si="27"/>
        <v>105000</v>
      </c>
      <c r="G76" s="1612">
        <f t="shared" si="28"/>
        <v>1155000</v>
      </c>
      <c r="H76" s="2115">
        <f t="shared" si="2"/>
        <v>7.746182741785082E-3</v>
      </c>
      <c r="I76" s="2116"/>
      <c r="J76" s="884"/>
      <c r="K76" s="1283">
        <v>30000</v>
      </c>
      <c r="L76" s="1260">
        <f>총괄장!$P$6+5</f>
        <v>35</v>
      </c>
      <c r="M76" s="2127"/>
      <c r="N76" s="2120"/>
      <c r="O76" s="2121"/>
      <c r="P76" s="7"/>
      <c r="Q76" s="1464" t="s">
        <v>1292</v>
      </c>
      <c r="R76" s="1465">
        <v>40</v>
      </c>
      <c r="S76" s="1465">
        <v>50</v>
      </c>
      <c r="T76" s="1466">
        <v>60</v>
      </c>
      <c r="U76" s="1467">
        <f>E13*R76/100</f>
        <v>479160</v>
      </c>
      <c r="V76" s="1467">
        <f>E13*(S76-R76)/100</f>
        <v>119790</v>
      </c>
      <c r="W76" s="1468">
        <f>E13*(T76-S76)/100</f>
        <v>119790</v>
      </c>
      <c r="X76" s="882"/>
      <c r="Y76" s="1476" t="str">
        <f t="shared" si="3"/>
        <v>시행사운영비</v>
      </c>
      <c r="Z76" s="1477">
        <v>0</v>
      </c>
      <c r="AA76" s="1478">
        <f t="shared" si="29"/>
        <v>1050000</v>
      </c>
      <c r="AB76" s="1490">
        <v>1</v>
      </c>
      <c r="AC76" s="1480">
        <f t="shared" si="4"/>
        <v>1050000</v>
      </c>
      <c r="AD76" s="1477">
        <f t="shared" si="5"/>
        <v>0</v>
      </c>
      <c r="AE76" s="1481"/>
    </row>
    <row r="77" spans="1:31" ht="15.9" customHeight="1">
      <c r="A77" s="2298"/>
      <c r="B77" s="2127"/>
      <c r="C77" s="883" t="s">
        <v>81</v>
      </c>
      <c r="D77" s="1603" t="s">
        <v>1399</v>
      </c>
      <c r="E77" s="1621">
        <f>J77*K77</f>
        <v>109800</v>
      </c>
      <c r="F77" s="1612">
        <f t="shared" si="27"/>
        <v>10980</v>
      </c>
      <c r="G77" s="1612">
        <f t="shared" si="28"/>
        <v>120780</v>
      </c>
      <c r="H77" s="2115">
        <f t="shared" si="2"/>
        <v>8.1002939528381141E-4</v>
      </c>
      <c r="I77" s="2116"/>
      <c r="J77" s="923">
        <f>O6</f>
        <v>366</v>
      </c>
      <c r="K77" s="1283">
        <v>300</v>
      </c>
      <c r="L77" s="1256"/>
      <c r="M77" s="2119"/>
      <c r="N77" s="2120"/>
      <c r="O77" s="2121"/>
      <c r="P77" s="7"/>
      <c r="Q77" s="7"/>
      <c r="R77" s="7"/>
      <c r="S77" s="931"/>
      <c r="T77" s="1455" t="s">
        <v>1345</v>
      </c>
      <c r="U77" s="1571">
        <f>SUM(U73:U76)</f>
        <v>107342661.93750001</v>
      </c>
      <c r="V77" s="1573">
        <f>SUM(V73:V76)</f>
        <v>15386004.562500002</v>
      </c>
      <c r="W77" s="1572">
        <f>SUM(W73:W76)</f>
        <v>7752897.2812500009</v>
      </c>
      <c r="X77" s="882"/>
      <c r="Y77" s="1476" t="str">
        <f t="shared" si="3"/>
        <v>입주관리비</v>
      </c>
      <c r="Z77" s="1477">
        <v>0</v>
      </c>
      <c r="AA77" s="1478">
        <f t="shared" si="29"/>
        <v>109800</v>
      </c>
      <c r="AB77" s="1479">
        <f t="shared" ref="AB77:AB80" si="30">IF($AF$22=1,0,100%)</f>
        <v>1</v>
      </c>
      <c r="AC77" s="1480">
        <f t="shared" si="4"/>
        <v>109800</v>
      </c>
      <c r="AD77" s="1477">
        <f t="shared" si="5"/>
        <v>0</v>
      </c>
      <c r="AE77" s="1481"/>
    </row>
    <row r="78" spans="1:31" ht="15.9" customHeight="1">
      <c r="A78" s="2298"/>
      <c r="B78" s="2127"/>
      <c r="C78" s="883" t="s">
        <v>1438</v>
      </c>
      <c r="D78" s="1604" t="s">
        <v>1439</v>
      </c>
      <c r="E78" s="1618">
        <v>100000</v>
      </c>
      <c r="F78" s="1612">
        <f t="shared" si="27"/>
        <v>10000</v>
      </c>
      <c r="G78" s="1612">
        <f t="shared" si="28"/>
        <v>110000</v>
      </c>
      <c r="H78" s="2115">
        <f t="shared" si="2"/>
        <v>7.3773168969381729E-4</v>
      </c>
      <c r="I78" s="2116"/>
      <c r="J78" s="906" t="s">
        <v>1435</v>
      </c>
      <c r="K78" s="933"/>
      <c r="L78" s="894"/>
      <c r="M78" s="2127" t="s">
        <v>94</v>
      </c>
      <c r="N78" s="2128"/>
      <c r="O78" s="2129" t="s">
        <v>94</v>
      </c>
      <c r="P78" s="7"/>
      <c r="Q78" s="7"/>
      <c r="R78" s="7"/>
      <c r="S78" s="930"/>
      <c r="T78" s="1464" t="s">
        <v>1346</v>
      </c>
      <c r="U78" s="2308">
        <f>SUM(U77:W77)</f>
        <v>130481563.78125001</v>
      </c>
      <c r="V78" s="2309"/>
      <c r="W78" s="2310"/>
      <c r="X78" s="882"/>
      <c r="Y78" s="1476" t="str">
        <f t="shared" si="3"/>
        <v>법률자문료/사업성평가</v>
      </c>
      <c r="Z78" s="1477">
        <v>0</v>
      </c>
      <c r="AA78" s="1478">
        <f t="shared" si="29"/>
        <v>100000</v>
      </c>
      <c r="AB78" s="1479">
        <f t="shared" si="30"/>
        <v>1</v>
      </c>
      <c r="AC78" s="1480">
        <f t="shared" si="4"/>
        <v>100000</v>
      </c>
      <c r="AD78" s="1477">
        <f t="shared" si="5"/>
        <v>0</v>
      </c>
      <c r="AE78" s="1481"/>
    </row>
    <row r="79" spans="1:31" ht="15.9" customHeight="1">
      <c r="A79" s="2298"/>
      <c r="B79" s="2127"/>
      <c r="C79" s="883" t="s">
        <v>1437</v>
      </c>
      <c r="D79" s="1604" t="s">
        <v>1398</v>
      </c>
      <c r="E79" s="1618"/>
      <c r="F79" s="1612">
        <f>IF(OR(D79="N",D79=""),0,E79*10%)</f>
        <v>0</v>
      </c>
      <c r="G79" s="1612">
        <f>E79+F79</f>
        <v>0</v>
      </c>
      <c r="H79" s="2115">
        <f t="shared" si="2"/>
        <v>0</v>
      </c>
      <c r="I79" s="2116"/>
      <c r="J79" s="884"/>
      <c r="K79" s="1292"/>
      <c r="L79" s="1282"/>
      <c r="M79" s="2286"/>
      <c r="N79" s="2287"/>
      <c r="O79" s="2129"/>
      <c r="P79" s="7"/>
      <c r="Q79" s="1567" t="s">
        <v>1276</v>
      </c>
      <c r="R79" s="1568" t="s">
        <v>1286</v>
      </c>
      <c r="S79" s="1569" t="s">
        <v>1287</v>
      </c>
      <c r="T79" s="7"/>
      <c r="U79" s="7"/>
      <c r="V79" s="7"/>
      <c r="W79" s="7"/>
      <c r="X79" s="882"/>
      <c r="Y79" s="1476" t="str">
        <f>C79</f>
        <v>PM용역비</v>
      </c>
      <c r="Z79" s="1477">
        <v>0</v>
      </c>
      <c r="AA79" s="1478">
        <f t="shared" si="29"/>
        <v>0</v>
      </c>
      <c r="AB79" s="1479">
        <f>IF($AF$22=1,0,50%)</f>
        <v>0.5</v>
      </c>
      <c r="AC79" s="1480">
        <f>AA79*AB79</f>
        <v>0</v>
      </c>
      <c r="AD79" s="1477">
        <f>AA79-AC79</f>
        <v>0</v>
      </c>
      <c r="AE79" s="1481"/>
    </row>
    <row r="80" spans="1:31" ht="15.9" customHeight="1">
      <c r="A80" s="2298"/>
      <c r="B80" s="2127"/>
      <c r="C80" s="883" t="s">
        <v>59</v>
      </c>
      <c r="D80" s="1604" t="s">
        <v>1406</v>
      </c>
      <c r="E80" s="1618">
        <v>300000</v>
      </c>
      <c r="F80" s="1612">
        <f t="shared" si="27"/>
        <v>30000</v>
      </c>
      <c r="G80" s="1612">
        <f t="shared" si="28"/>
        <v>330000</v>
      </c>
      <c r="H80" s="2115">
        <f t="shared" si="2"/>
        <v>2.2131950690814522E-3</v>
      </c>
      <c r="I80" s="2116"/>
      <c r="J80" s="1246"/>
      <c r="K80" s="1294"/>
      <c r="L80" s="1279"/>
      <c r="M80" s="2177" t="s">
        <v>1648</v>
      </c>
      <c r="N80" s="2178"/>
      <c r="O80" s="2179"/>
      <c r="P80" s="7"/>
      <c r="Q80" s="1561" t="s">
        <v>1277</v>
      </c>
      <c r="R80" s="1562">
        <f>E23</f>
        <v>16000000</v>
      </c>
      <c r="S80" s="907">
        <v>0</v>
      </c>
      <c r="T80" s="7"/>
      <c r="U80" s="7"/>
      <c r="V80" s="1227"/>
      <c r="W80" s="1227"/>
      <c r="X80" s="7"/>
      <c r="Y80" s="1476" t="str">
        <f t="shared" si="3"/>
        <v>기타비용</v>
      </c>
      <c r="Z80" s="1477">
        <v>0</v>
      </c>
      <c r="AA80" s="1478">
        <f t="shared" si="29"/>
        <v>300000</v>
      </c>
      <c r="AB80" s="1479">
        <f t="shared" si="30"/>
        <v>1</v>
      </c>
      <c r="AC80" s="1480">
        <f t="shared" si="4"/>
        <v>300000</v>
      </c>
      <c r="AD80" s="1477">
        <f t="shared" si="5"/>
        <v>0</v>
      </c>
      <c r="AE80" s="1481"/>
    </row>
    <row r="81" spans="1:33" ht="15.9" customHeight="1">
      <c r="A81" s="2298"/>
      <c r="B81" s="2127"/>
      <c r="C81" s="889" t="s">
        <v>46</v>
      </c>
      <c r="D81" s="1605"/>
      <c r="E81" s="1619">
        <f>SUBTOTAL(9,E74:E80)</f>
        <v>3542320.6538900007</v>
      </c>
      <c r="F81" s="1613">
        <f>SUBTOTAL(9,F74:F80)</f>
        <v>155980</v>
      </c>
      <c r="G81" s="1613">
        <f>SUBTOTAL(9,G74:G80)</f>
        <v>3698300.6538900007</v>
      </c>
      <c r="H81" s="2122">
        <f t="shared" si="2"/>
        <v>2.6132822014315781E-2</v>
      </c>
      <c r="I81" s="2123"/>
      <c r="J81" s="890"/>
      <c r="K81" s="934"/>
      <c r="L81" s="890"/>
      <c r="M81" s="2202"/>
      <c r="N81" s="2203"/>
      <c r="O81" s="2204"/>
      <c r="P81" s="7"/>
      <c r="Q81" s="1561" t="s">
        <v>1278</v>
      </c>
      <c r="R81" s="1562">
        <f>E24</f>
        <v>768000</v>
      </c>
      <c r="S81" s="907">
        <v>4.5999999999999999E-2</v>
      </c>
      <c r="T81" s="7"/>
      <c r="U81" s="7"/>
      <c r="V81" s="7"/>
      <c r="W81" s="7"/>
      <c r="X81" s="7"/>
      <c r="Y81" s="1483" t="str">
        <f t="shared" si="3"/>
        <v>소계</v>
      </c>
      <c r="Z81" s="1484">
        <f>SUBTOTAL(9,Z74:Z80)</f>
        <v>0</v>
      </c>
      <c r="AA81" s="1485">
        <f>SUBTOTAL(9,AA74:AA80)</f>
        <v>3542320.6538900007</v>
      </c>
      <c r="AB81" s="1486"/>
      <c r="AC81" s="1487">
        <f>SUBTOTAL(9,AC74:AC80)</f>
        <v>3065816.5231120004</v>
      </c>
      <c r="AD81" s="1484">
        <f>SUBTOTAL(9,AD74:AD80)</f>
        <v>476504.13077799999</v>
      </c>
      <c r="AE81" s="1488"/>
    </row>
    <row r="82" spans="1:33" ht="15.9" customHeight="1">
      <c r="A82" s="2298"/>
      <c r="B82" s="2295" t="s">
        <v>82</v>
      </c>
      <c r="C82" s="883" t="s">
        <v>1125</v>
      </c>
      <c r="D82" s="1603" t="s">
        <v>1399</v>
      </c>
      <c r="E82" s="1621">
        <f>(J82*K82)</f>
        <v>540000</v>
      </c>
      <c r="F82" s="1612">
        <f t="shared" ref="F82:F94" si="31">IF(OR(D82="N",D82=""),0,E82*10%)</f>
        <v>54000</v>
      </c>
      <c r="G82" s="1612">
        <f t="shared" ref="G82:G94" si="32">E82+F82</f>
        <v>594000</v>
      </c>
      <c r="H82" s="2271">
        <f t="shared" si="2"/>
        <v>3.9837511243466135E-3</v>
      </c>
      <c r="I82" s="2115"/>
      <c r="J82" s="1247">
        <f>R48</f>
        <v>36000000</v>
      </c>
      <c r="K82" s="1244">
        <f>총괄장!W2</f>
        <v>1.4999999999999999E-2</v>
      </c>
      <c r="L82" s="1223"/>
      <c r="M82" s="2272"/>
      <c r="N82" s="2273"/>
      <c r="O82" s="2274"/>
      <c r="P82" s="7"/>
      <c r="Q82" s="1563" t="s">
        <v>1279</v>
      </c>
      <c r="R82" s="1564">
        <f>SUM(R80:R81)</f>
        <v>16768000</v>
      </c>
      <c r="S82" s="1565"/>
      <c r="T82" s="7"/>
      <c r="U82" s="7"/>
      <c r="V82" s="7"/>
      <c r="W82" s="7"/>
      <c r="X82" s="7"/>
      <c r="Y82" s="1476" t="str">
        <f t="shared" si="3"/>
        <v>주간수수료</v>
      </c>
      <c r="Z82" s="1477">
        <v>0</v>
      </c>
      <c r="AA82" s="1478">
        <f t="shared" ref="AA82:AA94" si="33">E82-Z82</f>
        <v>540000</v>
      </c>
      <c r="AB82" s="1491">
        <v>1</v>
      </c>
      <c r="AC82" s="1480">
        <f t="shared" si="4"/>
        <v>540000</v>
      </c>
      <c r="AD82" s="1477">
        <f t="shared" si="5"/>
        <v>0</v>
      </c>
      <c r="AE82" s="1481"/>
    </row>
    <row r="83" spans="1:33" ht="15.9" customHeight="1">
      <c r="A83" s="2298"/>
      <c r="B83" s="2296"/>
      <c r="C83" s="1705" t="s">
        <v>1594</v>
      </c>
      <c r="D83" s="1604"/>
      <c r="E83" s="1618"/>
      <c r="F83" s="1612">
        <f t="shared" si="31"/>
        <v>0</v>
      </c>
      <c r="G83" s="1612">
        <f t="shared" si="32"/>
        <v>0</v>
      </c>
      <c r="H83" s="2271">
        <f t="shared" si="2"/>
        <v>0</v>
      </c>
      <c r="I83" s="2115"/>
      <c r="J83" s="1295" t="s">
        <v>91</v>
      </c>
      <c r="K83" s="1279"/>
      <c r="L83" s="1279"/>
      <c r="M83" s="2278"/>
      <c r="N83" s="2279"/>
      <c r="O83" s="2280"/>
      <c r="P83" s="935"/>
      <c r="Q83" s="7"/>
      <c r="R83" s="7"/>
      <c r="T83" s="7"/>
      <c r="U83" s="7"/>
      <c r="V83" s="7"/>
      <c r="W83" s="7"/>
      <c r="X83" s="7"/>
      <c r="Y83" s="1476" t="str">
        <f t="shared" si="3"/>
        <v>PI 금액</v>
      </c>
      <c r="Z83" s="1477">
        <v>0</v>
      </c>
      <c r="AA83" s="1478">
        <f t="shared" si="33"/>
        <v>0</v>
      </c>
      <c r="AB83" s="1491">
        <v>1</v>
      </c>
      <c r="AC83" s="1480">
        <f t="shared" si="4"/>
        <v>0</v>
      </c>
      <c r="AD83" s="1477">
        <f t="shared" si="5"/>
        <v>0</v>
      </c>
      <c r="AE83" s="1481"/>
    </row>
    <row r="84" spans="1:33" ht="15.9" customHeight="1">
      <c r="A84" s="2298"/>
      <c r="B84" s="2296"/>
      <c r="C84" s="1810" t="s">
        <v>1126</v>
      </c>
      <c r="D84" s="1603" t="s">
        <v>1399</v>
      </c>
      <c r="E84" s="1621">
        <f>J84*K84</f>
        <v>720000</v>
      </c>
      <c r="F84" s="1612">
        <f t="shared" si="31"/>
        <v>72000</v>
      </c>
      <c r="G84" s="1612">
        <f t="shared" si="32"/>
        <v>792000</v>
      </c>
      <c r="H84" s="2271">
        <f t="shared" si="2"/>
        <v>5.3116681657954844E-3</v>
      </c>
      <c r="I84" s="2115"/>
      <c r="J84" s="1248">
        <f>R42+R43</f>
        <v>36000000</v>
      </c>
      <c r="K84" s="1224">
        <f>총괄장!W3</f>
        <v>0.02</v>
      </c>
      <c r="L84" s="884"/>
      <c r="M84" s="2275" t="s">
        <v>1069</v>
      </c>
      <c r="N84" s="2276"/>
      <c r="O84" s="2277"/>
      <c r="P84" s="936"/>
      <c r="Q84" s="1567" t="s">
        <v>1280</v>
      </c>
      <c r="R84" s="1568" t="s">
        <v>1288</v>
      </c>
      <c r="S84" s="1570" t="s">
        <v>1287</v>
      </c>
      <c r="T84" s="1828" t="s">
        <v>1307</v>
      </c>
      <c r="U84" s="7"/>
      <c r="V84" s="7"/>
      <c r="W84" s="7"/>
      <c r="X84" s="7"/>
      <c r="Y84" s="1476" t="str">
        <f t="shared" si="3"/>
        <v>본PF Tr-A(자문)</v>
      </c>
      <c r="Z84" s="1477">
        <v>0</v>
      </c>
      <c r="AA84" s="1478">
        <f t="shared" si="33"/>
        <v>720000</v>
      </c>
      <c r="AB84" s="1491">
        <v>1</v>
      </c>
      <c r="AC84" s="1480">
        <f t="shared" si="4"/>
        <v>720000</v>
      </c>
      <c r="AD84" s="1477">
        <f t="shared" si="5"/>
        <v>0</v>
      </c>
      <c r="AE84" s="1481"/>
    </row>
    <row r="85" spans="1:33" ht="15.9" customHeight="1">
      <c r="A85" s="2298"/>
      <c r="B85" s="2296"/>
      <c r="C85" s="1810" t="s">
        <v>1082</v>
      </c>
      <c r="D85" s="1603" t="s">
        <v>1408</v>
      </c>
      <c r="E85" s="1621">
        <f>CF분석!E100</f>
        <v>5518090.7186698383</v>
      </c>
      <c r="F85" s="1612">
        <f t="shared" si="31"/>
        <v>0</v>
      </c>
      <c r="G85" s="1612">
        <f t="shared" si="32"/>
        <v>5518090.7186698383</v>
      </c>
      <c r="H85" s="2271">
        <f t="shared" si="2"/>
        <v>4.0708703897680706E-2</v>
      </c>
      <c r="I85" s="2115"/>
      <c r="J85" s="1248">
        <f>R42+R43</f>
        <v>36000000</v>
      </c>
      <c r="K85" s="1224">
        <f>총괄장!W7</f>
        <v>0.09</v>
      </c>
      <c r="L85" s="884"/>
      <c r="M85" s="2275"/>
      <c r="N85" s="2276"/>
      <c r="O85" s="2277"/>
      <c r="P85" s="936"/>
      <c r="Q85" s="1561" t="s">
        <v>1281</v>
      </c>
      <c r="R85" s="1562">
        <f>$T$85*S85</f>
        <v>0</v>
      </c>
      <c r="S85" s="1665">
        <v>0</v>
      </c>
      <c r="T85" s="1827"/>
      <c r="U85" s="7"/>
      <c r="V85" s="7"/>
      <c r="W85" s="7"/>
      <c r="X85" s="7"/>
      <c r="Y85" s="1476" t="str">
        <f t="shared" si="3"/>
        <v>본PF Tr-A(이자)</v>
      </c>
      <c r="Z85" s="1477">
        <v>0</v>
      </c>
      <c r="AA85" s="1478">
        <f t="shared" si="33"/>
        <v>5518090.7186698383</v>
      </c>
      <c r="AB85" s="1479">
        <v>1</v>
      </c>
      <c r="AC85" s="1480">
        <f t="shared" si="4"/>
        <v>5518090.7186698383</v>
      </c>
      <c r="AD85" s="1477">
        <f t="shared" si="5"/>
        <v>0</v>
      </c>
      <c r="AE85" s="1481"/>
    </row>
    <row r="86" spans="1:33" ht="15.9" customHeight="1">
      <c r="A86" s="2298"/>
      <c r="B86" s="2296"/>
      <c r="C86" s="1811" t="s">
        <v>1127</v>
      </c>
      <c r="D86" s="1603" t="s">
        <v>1401</v>
      </c>
      <c r="E86" s="1621">
        <f>J86*K86</f>
        <v>0</v>
      </c>
      <c r="F86" s="1612">
        <f t="shared" si="31"/>
        <v>0</v>
      </c>
      <c r="G86" s="1612">
        <f t="shared" si="32"/>
        <v>0</v>
      </c>
      <c r="H86" s="2271">
        <f t="shared" si="2"/>
        <v>0</v>
      </c>
      <c r="I86" s="2115"/>
      <c r="J86" s="1248">
        <f>R44+R45</f>
        <v>0</v>
      </c>
      <c r="K86" s="1224">
        <f>총괄장!W4</f>
        <v>0.04</v>
      </c>
      <c r="L86" s="884"/>
      <c r="M86" s="2275" t="s">
        <v>1069</v>
      </c>
      <c r="N86" s="2276"/>
      <c r="O86" s="2277"/>
      <c r="P86" s="936"/>
      <c r="Q86" s="1561" t="s">
        <v>1282</v>
      </c>
      <c r="R86" s="1562">
        <f>$T$85*S86</f>
        <v>0</v>
      </c>
      <c r="S86" s="1665">
        <v>0</v>
      </c>
      <c r="T86" s="882"/>
      <c r="U86" s="7"/>
      <c r="V86" s="7"/>
      <c r="W86" s="7"/>
      <c r="X86" s="7"/>
      <c r="Y86" s="1476" t="str">
        <f t="shared" si="3"/>
        <v>본PF Tr-B(자문)</v>
      </c>
      <c r="Z86" s="1477">
        <v>0</v>
      </c>
      <c r="AA86" s="1478">
        <f t="shared" si="33"/>
        <v>0</v>
      </c>
      <c r="AB86" s="1491">
        <v>1</v>
      </c>
      <c r="AC86" s="1480">
        <f t="shared" si="4"/>
        <v>0</v>
      </c>
      <c r="AD86" s="1477">
        <f t="shared" si="5"/>
        <v>0</v>
      </c>
      <c r="AE86" s="1481"/>
    </row>
    <row r="87" spans="1:33" ht="15.9" customHeight="1">
      <c r="A87" s="2298"/>
      <c r="B87" s="2296"/>
      <c r="C87" s="1811" t="s">
        <v>1083</v>
      </c>
      <c r="D87" s="1603" t="s">
        <v>1409</v>
      </c>
      <c r="E87" s="1621">
        <f>CF분석!E102</f>
        <v>0</v>
      </c>
      <c r="F87" s="1612">
        <f t="shared" si="31"/>
        <v>0</v>
      </c>
      <c r="G87" s="1612">
        <f t="shared" si="32"/>
        <v>0</v>
      </c>
      <c r="H87" s="2271">
        <f t="shared" si="2"/>
        <v>0</v>
      </c>
      <c r="I87" s="2115"/>
      <c r="J87" s="1249">
        <f>R44+R45</f>
        <v>0</v>
      </c>
      <c r="K87" s="1224">
        <f>총괄장!W8</f>
        <v>0.12</v>
      </c>
      <c r="L87" s="884"/>
      <c r="M87" s="2128"/>
      <c r="N87" s="2225"/>
      <c r="O87" s="2226"/>
      <c r="P87" s="7"/>
      <c r="Q87" s="1561" t="s">
        <v>1283</v>
      </c>
      <c r="R87" s="1562">
        <f>$T$85*S87</f>
        <v>0</v>
      </c>
      <c r="S87" s="1666">
        <v>0.06</v>
      </c>
      <c r="T87" s="882"/>
      <c r="U87" s="7"/>
      <c r="V87" s="7"/>
      <c r="W87" s="7"/>
      <c r="X87" s="7"/>
      <c r="Y87" s="1476" t="str">
        <f t="shared" si="3"/>
        <v>본PF Tr-B(이자)</v>
      </c>
      <c r="Z87" s="1477">
        <v>0</v>
      </c>
      <c r="AA87" s="1478">
        <f t="shared" si="33"/>
        <v>0</v>
      </c>
      <c r="AB87" s="1479">
        <v>1</v>
      </c>
      <c r="AC87" s="1480">
        <f t="shared" si="4"/>
        <v>0</v>
      </c>
      <c r="AD87" s="1477">
        <f t="shared" si="5"/>
        <v>0</v>
      </c>
      <c r="AE87" s="1481"/>
    </row>
    <row r="88" spans="1:33" ht="15.9" customHeight="1">
      <c r="A88" s="2298"/>
      <c r="B88" s="2296"/>
      <c r="C88" s="1239" t="s">
        <v>1128</v>
      </c>
      <c r="D88" s="1603" t="s">
        <v>1399</v>
      </c>
      <c r="E88" s="1621">
        <f>J88*K88</f>
        <v>0</v>
      </c>
      <c r="F88" s="1612">
        <f t="shared" si="31"/>
        <v>0</v>
      </c>
      <c r="G88" s="1612">
        <f t="shared" si="32"/>
        <v>0</v>
      </c>
      <c r="H88" s="2271">
        <f t="shared" ref="H88:H96" si="34">IFERROR(E88/$E$96,0)</f>
        <v>0</v>
      </c>
      <c r="I88" s="2115"/>
      <c r="J88" s="1249">
        <f>R46+R47</f>
        <v>0</v>
      </c>
      <c r="K88" s="1224">
        <f>총괄장!W5</f>
        <v>0.08</v>
      </c>
      <c r="L88" s="884"/>
      <c r="M88" s="2275" t="s">
        <v>1069</v>
      </c>
      <c r="N88" s="2276"/>
      <c r="O88" s="2277"/>
      <c r="P88" s="936"/>
      <c r="Q88" s="1563" t="s">
        <v>1279</v>
      </c>
      <c r="R88" s="1564">
        <f>SUM(R85:R87)</f>
        <v>0</v>
      </c>
      <c r="S88" s="1689"/>
      <c r="T88" s="1566"/>
      <c r="U88" s="7"/>
      <c r="W88" s="7"/>
      <c r="X88" s="7"/>
      <c r="Y88" s="1476" t="str">
        <f>C88</f>
        <v>본PF Tr-C(자문)</v>
      </c>
      <c r="Z88" s="1477">
        <v>0</v>
      </c>
      <c r="AA88" s="1478">
        <f t="shared" si="33"/>
        <v>0</v>
      </c>
      <c r="AB88" s="1491">
        <v>1</v>
      </c>
      <c r="AC88" s="1480">
        <f t="shared" si="4"/>
        <v>0</v>
      </c>
      <c r="AD88" s="1477">
        <f t="shared" si="5"/>
        <v>0</v>
      </c>
      <c r="AE88" s="1481"/>
    </row>
    <row r="89" spans="1:33" ht="15.9" customHeight="1">
      <c r="A89" s="2298"/>
      <c r="B89" s="2296"/>
      <c r="C89" s="1239" t="s">
        <v>1084</v>
      </c>
      <c r="D89" s="1603" t="s">
        <v>1405</v>
      </c>
      <c r="E89" s="1621">
        <f>CF분석!E104</f>
        <v>0</v>
      </c>
      <c r="F89" s="1612">
        <f t="shared" si="31"/>
        <v>0</v>
      </c>
      <c r="G89" s="1612">
        <f t="shared" si="32"/>
        <v>0</v>
      </c>
      <c r="H89" s="2271">
        <f t="shared" si="34"/>
        <v>0</v>
      </c>
      <c r="I89" s="2115"/>
      <c r="J89" s="1249">
        <f>R46+R47</f>
        <v>0</v>
      </c>
      <c r="K89" s="1224">
        <f>총괄장!W9</f>
        <v>0.15</v>
      </c>
      <c r="L89" s="884"/>
      <c r="M89" s="2128"/>
      <c r="N89" s="2225"/>
      <c r="O89" s="2226"/>
      <c r="P89" s="7"/>
      <c r="Q89" s="7"/>
      <c r="R89" s="7"/>
      <c r="T89" s="7"/>
      <c r="U89" s="7"/>
      <c r="V89" s="7"/>
      <c r="W89" s="7"/>
      <c r="X89" s="7"/>
      <c r="Y89" s="1476" t="str">
        <f t="shared" si="3"/>
        <v>본PF Tr-C(이자)</v>
      </c>
      <c r="Z89" s="1477">
        <v>0</v>
      </c>
      <c r="AA89" s="1478">
        <f t="shared" si="33"/>
        <v>0</v>
      </c>
      <c r="AB89" s="1479">
        <v>1</v>
      </c>
      <c r="AC89" s="1480">
        <f t="shared" si="4"/>
        <v>0</v>
      </c>
      <c r="AD89" s="1477">
        <f t="shared" si="5"/>
        <v>0</v>
      </c>
      <c r="AE89" s="1481"/>
    </row>
    <row r="90" spans="1:33" ht="15.9" customHeight="1">
      <c r="A90" s="2298"/>
      <c r="B90" s="2296"/>
      <c r="C90" s="1762" t="s">
        <v>1446</v>
      </c>
      <c r="D90" s="1608" t="s">
        <v>1407</v>
      </c>
      <c r="E90" s="1624">
        <f>CF분석!E105</f>
        <v>68863.013698630122</v>
      </c>
      <c r="F90" s="1615">
        <f t="shared" si="31"/>
        <v>0</v>
      </c>
      <c r="G90" s="1615">
        <f t="shared" si="32"/>
        <v>68863.013698630122</v>
      </c>
      <c r="H90" s="2284">
        <f t="shared" si="34"/>
        <v>5.0802427453298894E-4</v>
      </c>
      <c r="I90" s="2285"/>
      <c r="J90" s="1812">
        <v>5.0000000000000001E-3</v>
      </c>
      <c r="K90" s="1813">
        <v>5.0000000000000001E-3</v>
      </c>
      <c r="L90" s="1814">
        <v>5.0000000000000001E-3</v>
      </c>
      <c r="M90" s="2128" t="s">
        <v>1507</v>
      </c>
      <c r="N90" s="2299"/>
      <c r="O90" s="2300"/>
      <c r="P90" s="7"/>
      <c r="Q90" s="1567" t="s">
        <v>1284</v>
      </c>
      <c r="R90" s="1568" t="s">
        <v>1289</v>
      </c>
      <c r="S90" s="1570" t="s">
        <v>1290</v>
      </c>
      <c r="T90" s="1828" t="s">
        <v>1308</v>
      </c>
      <c r="U90" s="7"/>
      <c r="V90" s="7"/>
      <c r="W90" s="7"/>
      <c r="X90" s="7"/>
      <c r="Y90" s="1476" t="str">
        <f t="shared" si="3"/>
        <v>미인출수수료</v>
      </c>
      <c r="Z90" s="1477">
        <v>0</v>
      </c>
      <c r="AA90" s="1478">
        <f t="shared" si="33"/>
        <v>68863.013698630122</v>
      </c>
      <c r="AB90" s="1479">
        <v>1</v>
      </c>
      <c r="AC90" s="1480">
        <f t="shared" si="4"/>
        <v>68863.013698630122</v>
      </c>
      <c r="AD90" s="1477">
        <f t="shared" si="5"/>
        <v>0</v>
      </c>
      <c r="AE90" s="1481"/>
    </row>
    <row r="91" spans="1:33" ht="15.9" customHeight="1">
      <c r="A91" s="2298"/>
      <c r="B91" s="2296"/>
      <c r="C91" s="1804" t="s">
        <v>1520</v>
      </c>
      <c r="D91" s="1608" t="s">
        <v>1436</v>
      </c>
      <c r="E91" s="1624">
        <f>CF분석!E106*L91</f>
        <v>7210412.9864238678</v>
      </c>
      <c r="F91" s="1615">
        <f>IF(OR(D91="N",D91=""),0,E91*10%)</f>
        <v>0</v>
      </c>
      <c r="G91" s="1615">
        <f>E91+F91</f>
        <v>7210412.9864238678</v>
      </c>
      <c r="H91" s="2284">
        <f t="shared" si="34"/>
        <v>5.3193501558647237E-2</v>
      </c>
      <c r="I91" s="2285"/>
      <c r="J91" s="1262" t="s">
        <v>1435</v>
      </c>
      <c r="K91" s="1706">
        <v>0.06</v>
      </c>
      <c r="L91" s="1704">
        <f>IF(C91="중도금이자후불제(주택)",0,100%)</f>
        <v>1</v>
      </c>
      <c r="M91" s="1688"/>
      <c r="N91" s="1702"/>
      <c r="O91" s="1703"/>
      <c r="P91" s="7"/>
      <c r="Q91" s="1561" t="s">
        <v>1281</v>
      </c>
      <c r="R91" s="1562">
        <f>$T$91*S91</f>
        <v>0</v>
      </c>
      <c r="S91" s="1665">
        <v>0.02</v>
      </c>
      <c r="T91" s="1829"/>
      <c r="U91" s="7"/>
      <c r="V91" s="7"/>
      <c r="W91" s="7"/>
      <c r="X91" s="7"/>
      <c r="Y91" s="1476" t="str">
        <f t="shared" si="3"/>
        <v>중도금무이자 (주택)</v>
      </c>
      <c r="Z91" s="1477">
        <v>0</v>
      </c>
      <c r="AA91" s="1478">
        <f t="shared" si="33"/>
        <v>7210412.9864238678</v>
      </c>
      <c r="AB91" s="1479">
        <v>0</v>
      </c>
      <c r="AC91" s="1480">
        <f>AA91*AB91</f>
        <v>0</v>
      </c>
      <c r="AD91" s="1477">
        <f>AA91-AC91</f>
        <v>7210412.9864238678</v>
      </c>
      <c r="AE91" s="1481"/>
    </row>
    <row r="92" spans="1:33" ht="15.9" customHeight="1">
      <c r="A92" s="2298"/>
      <c r="B92" s="2296"/>
      <c r="C92" s="1809" t="s">
        <v>1638</v>
      </c>
      <c r="D92" s="1608" t="s">
        <v>1395</v>
      </c>
      <c r="E92" s="1624">
        <f>CF분석!E107*L92</f>
        <v>0</v>
      </c>
      <c r="F92" s="1615">
        <f>IF(OR(D92="N",D92=""),0,E92*10%)</f>
        <v>0</v>
      </c>
      <c r="G92" s="1615">
        <f>E92+F92</f>
        <v>0</v>
      </c>
      <c r="H92" s="2284">
        <f t="shared" si="34"/>
        <v>0</v>
      </c>
      <c r="I92" s="2285"/>
      <c r="J92" s="1262" t="s">
        <v>1435</v>
      </c>
      <c r="K92" s="1706">
        <v>4.4999999999999998E-2</v>
      </c>
      <c r="L92" s="1704">
        <f>IF(C92="중도금이자후불제(주택외)",0,100%)</f>
        <v>0</v>
      </c>
      <c r="M92" s="1688"/>
      <c r="N92" s="1702"/>
      <c r="O92" s="1703"/>
      <c r="P92" s="7"/>
      <c r="Q92" s="1561" t="s">
        <v>1282</v>
      </c>
      <c r="R92" s="1562">
        <f>$T$91*S92</f>
        <v>0</v>
      </c>
      <c r="S92" s="1665">
        <v>0.02</v>
      </c>
      <c r="T92" s="882" t="s">
        <v>1505</v>
      </c>
      <c r="U92" s="7"/>
      <c r="V92" s="7"/>
      <c r="W92" s="7"/>
      <c r="X92" s="7"/>
      <c r="Y92" s="1476" t="str">
        <f t="shared" si="3"/>
        <v>중도금이자후불제(주택외)</v>
      </c>
      <c r="Z92" s="1477">
        <v>0</v>
      </c>
      <c r="AA92" s="1478">
        <f t="shared" ref="AA92" si="35">E92-Z92</f>
        <v>0</v>
      </c>
      <c r="AB92" s="1479">
        <v>0</v>
      </c>
      <c r="AC92" s="1480">
        <f>AA92*AB92</f>
        <v>0</v>
      </c>
      <c r="AD92" s="1477">
        <f>AA92-AC92</f>
        <v>0</v>
      </c>
      <c r="AE92" s="1481"/>
    </row>
    <row r="93" spans="1:33" ht="15.9" customHeight="1">
      <c r="A93" s="2298"/>
      <c r="B93" s="2296"/>
      <c r="C93" s="1815" t="str">
        <f>IF(총괄장!Y13=3,"대지급이자","")</f>
        <v/>
      </c>
      <c r="D93" s="1604"/>
      <c r="E93" s="1624">
        <f>IF(C93="대지급이자",CF분석!E117,0)</f>
        <v>0</v>
      </c>
      <c r="F93" s="1615"/>
      <c r="G93" s="1615"/>
      <c r="H93" s="1868"/>
      <c r="I93" s="1869"/>
      <c r="J93" s="1262" t="s">
        <v>1597</v>
      </c>
      <c r="K93" s="1706">
        <v>0.08</v>
      </c>
      <c r="L93" s="1704"/>
      <c r="M93" s="1688"/>
      <c r="N93" s="1702"/>
      <c r="O93" s="1703"/>
      <c r="P93" s="7"/>
      <c r="Q93" s="1561" t="s">
        <v>1283</v>
      </c>
      <c r="R93" s="1562">
        <f>$T$91*S93</f>
        <v>0</v>
      </c>
      <c r="S93" s="1667">
        <v>0.06</v>
      </c>
      <c r="T93" s="1817">
        <v>1</v>
      </c>
      <c r="U93" s="7"/>
      <c r="V93" s="7"/>
      <c r="W93" s="7"/>
      <c r="X93" s="7"/>
      <c r="Y93" s="1476" t="str">
        <f t="shared" si="3"/>
        <v/>
      </c>
      <c r="Z93" s="1477"/>
      <c r="AA93" s="1478"/>
      <c r="AB93" s="1479">
        <v>0</v>
      </c>
      <c r="AC93" s="1480"/>
      <c r="AD93" s="1477"/>
      <c r="AE93" s="1481"/>
    </row>
    <row r="94" spans="1:33" ht="15.9" customHeight="1">
      <c r="A94" s="2298"/>
      <c r="B94" s="2296"/>
      <c r="C94" s="1815" t="s">
        <v>1596</v>
      </c>
      <c r="D94" s="1604"/>
      <c r="E94" s="1618">
        <f>R94+R88</f>
        <v>0</v>
      </c>
      <c r="F94" s="1612">
        <f t="shared" si="31"/>
        <v>0</v>
      </c>
      <c r="G94" s="1612">
        <f t="shared" si="32"/>
        <v>0</v>
      </c>
      <c r="H94" s="2271">
        <f t="shared" si="34"/>
        <v>0</v>
      </c>
      <c r="I94" s="2115"/>
      <c r="J94" s="1262"/>
      <c r="K94" s="1224"/>
      <c r="L94" s="884"/>
      <c r="M94" s="2128" t="s">
        <v>1285</v>
      </c>
      <c r="N94" s="2225"/>
      <c r="O94" s="2226"/>
      <c r="P94" s="7"/>
      <c r="Q94" s="1563" t="s">
        <v>1279</v>
      </c>
      <c r="R94" s="1564">
        <f>SUM(R91:R93)</f>
        <v>0</v>
      </c>
      <c r="S94" s="1816">
        <f>(S91+S92)+S93*T93</f>
        <v>0.1</v>
      </c>
      <c r="T94" s="1566" t="s">
        <v>1506</v>
      </c>
      <c r="U94" s="7"/>
      <c r="V94" s="7"/>
      <c r="W94" s="7"/>
      <c r="X94" s="7"/>
      <c r="Y94" s="1476" t="str">
        <f t="shared" si="3"/>
        <v>브릿지비용</v>
      </c>
      <c r="Z94" s="1477">
        <v>0</v>
      </c>
      <c r="AA94" s="1478">
        <f t="shared" si="33"/>
        <v>0</v>
      </c>
      <c r="AB94" s="1479">
        <v>1</v>
      </c>
      <c r="AC94" s="1480">
        <f t="shared" si="4"/>
        <v>0</v>
      </c>
      <c r="AD94" s="1477"/>
      <c r="AE94" s="1481"/>
    </row>
    <row r="95" spans="1:33" ht="15.9" customHeight="1">
      <c r="A95" s="2298"/>
      <c r="B95" s="2196"/>
      <c r="C95" s="889" t="s">
        <v>46</v>
      </c>
      <c r="D95" s="1605"/>
      <c r="E95" s="1619">
        <f>SUBTOTAL(9,E82:E94)</f>
        <v>14057366.718792336</v>
      </c>
      <c r="F95" s="1613">
        <f>SUBTOTAL(9,F82:F94)</f>
        <v>126000</v>
      </c>
      <c r="G95" s="1613">
        <f>SUBTOTAL(9,G82:G94)</f>
        <v>14183366.718792336</v>
      </c>
      <c r="H95" s="2281">
        <f t="shared" si="34"/>
        <v>0.10370564902100303</v>
      </c>
      <c r="I95" s="2122"/>
      <c r="J95" s="890"/>
      <c r="K95" s="890"/>
      <c r="L95" s="890"/>
      <c r="M95" s="2203"/>
      <c r="N95" s="2282"/>
      <c r="O95" s="2283"/>
      <c r="P95" s="7"/>
      <c r="U95" s="7"/>
      <c r="V95" s="7"/>
      <c r="W95" s="7"/>
      <c r="X95" s="7"/>
      <c r="Y95" s="1483" t="str">
        <f t="shared" si="3"/>
        <v>소계</v>
      </c>
      <c r="Z95" s="1484">
        <f>SUBTOTAL(9,Z82:Z94)</f>
        <v>0</v>
      </c>
      <c r="AA95" s="1485">
        <f>SUBTOTAL(9,AA82:AA94)</f>
        <v>14057366.718792336</v>
      </c>
      <c r="AB95" s="1486"/>
      <c r="AC95" s="1487">
        <f>SUBTOTAL(9,AC82:AC94)</f>
        <v>6846953.7323684683</v>
      </c>
      <c r="AD95" s="1484">
        <f>SUBTOTAL(9,AD82:AD94)</f>
        <v>7210412.9864238678</v>
      </c>
      <c r="AE95" s="1488"/>
      <c r="AG95" s="1805" t="s">
        <v>1498</v>
      </c>
    </row>
    <row r="96" spans="1:33" ht="15.9" customHeight="1">
      <c r="A96" s="2298"/>
      <c r="B96" s="2267" t="s">
        <v>27</v>
      </c>
      <c r="C96" s="2291"/>
      <c r="D96" s="1609"/>
      <c r="E96" s="1625">
        <f>SUBTOTAL(9,E23:E95)</f>
        <v>135550636.35873261</v>
      </c>
      <c r="F96" s="1630">
        <f>SUBTOTAL(9,F23:F95)</f>
        <v>1286634.477150871</v>
      </c>
      <c r="G96" s="1630">
        <f>SUBTOTAL(9,G23:G95)</f>
        <v>136837270.8358835</v>
      </c>
      <c r="H96" s="2264">
        <f t="shared" si="34"/>
        <v>1</v>
      </c>
      <c r="I96" s="2265"/>
      <c r="J96" s="937"/>
      <c r="K96" s="937"/>
      <c r="L96" s="937"/>
      <c r="M96" s="2266"/>
      <c r="N96" s="2267"/>
      <c r="O96" s="2268"/>
      <c r="P96" s="7"/>
      <c r="U96" s="7"/>
      <c r="V96" s="7"/>
      <c r="W96" s="7"/>
      <c r="X96" s="7"/>
      <c r="Y96" s="1492" t="str">
        <f>B96</f>
        <v>합계</v>
      </c>
      <c r="Z96" s="1493">
        <f>SUBTOTAL(9,Z23:Z95)</f>
        <v>2000000</v>
      </c>
      <c r="AA96" s="1494">
        <f>SUBTOTAL(9,AA23:AA95)</f>
        <v>133550636.35873261</v>
      </c>
      <c r="AB96" s="1495"/>
      <c r="AC96" s="1496">
        <f>SUBTOTAL(9,AC23:AC95)</f>
        <v>35472582.566585727</v>
      </c>
      <c r="AD96" s="1497">
        <f>SUBTOTAL(9,AD23:AD95)</f>
        <v>98078053.792146862</v>
      </c>
      <c r="AE96" s="1498"/>
      <c r="AG96" s="1806" t="s">
        <v>1499</v>
      </c>
    </row>
    <row r="97" spans="1:33" ht="15.9" customHeight="1">
      <c r="A97" s="2292" t="s">
        <v>87</v>
      </c>
      <c r="B97" s="2293"/>
      <c r="C97" s="2294"/>
      <c r="D97" s="2304" t="s">
        <v>1420</v>
      </c>
      <c r="E97" s="1626">
        <f>E20-E96</f>
        <v>22701429.030267417</v>
      </c>
      <c r="F97" s="2306" t="s">
        <v>1421</v>
      </c>
      <c r="G97" s="1628">
        <f>G20-G96</f>
        <v>21956988.725447655</v>
      </c>
      <c r="H97" s="2269"/>
      <c r="I97" s="2270"/>
      <c r="J97" s="895"/>
      <c r="K97" s="884"/>
      <c r="L97" s="884"/>
      <c r="M97" s="2127"/>
      <c r="N97" s="2128"/>
      <c r="O97" s="2129"/>
      <c r="P97" s="7"/>
      <c r="S97"/>
      <c r="Y97" s="1499" t="s">
        <v>1224</v>
      </c>
      <c r="Z97" s="2311">
        <f>SUM(Z96:AA96)</f>
        <v>135550636.35873261</v>
      </c>
      <c r="AA97" s="2312"/>
      <c r="AB97" s="1220" t="str">
        <f>IF(E96=Z97,"Y","N")</f>
        <v>Y</v>
      </c>
      <c r="AC97" s="2303">
        <f>AC96+AD96+Z96</f>
        <v>135550636.35873258</v>
      </c>
      <c r="AD97" s="2303"/>
      <c r="AE97" s="1500" t="str">
        <f>IF(E96=AC97,"Y","N")</f>
        <v>Y</v>
      </c>
    </row>
    <row r="98" spans="1:33" ht="15.9" customHeight="1">
      <c r="A98" s="2314" t="s">
        <v>1175</v>
      </c>
      <c r="B98" s="2315"/>
      <c r="C98" s="2316"/>
      <c r="D98" s="2305"/>
      <c r="E98" s="1627">
        <f>IFERROR(E97/분양개요!O5,0)</f>
        <v>0.14345107581670388</v>
      </c>
      <c r="F98" s="2307"/>
      <c r="G98" s="1629">
        <f>IFERROR(G97/G20,0)</f>
        <v>0.13827318938419939</v>
      </c>
      <c r="H98" s="2317"/>
      <c r="I98" s="2318"/>
      <c r="J98" s="938"/>
      <c r="K98" s="938"/>
      <c r="L98" s="938"/>
      <c r="M98" s="2261"/>
      <c r="N98" s="2262"/>
      <c r="O98" s="2263"/>
      <c r="P98" s="7"/>
      <c r="AG98" s="1805" t="s">
        <v>1501</v>
      </c>
    </row>
    <row r="99" spans="1:33" ht="15.9" customHeight="1">
      <c r="O99" s="24" t="s">
        <v>1246</v>
      </c>
      <c r="AG99" s="1806" t="s">
        <v>1500</v>
      </c>
    </row>
    <row r="100" spans="1:33" ht="15.9" customHeight="1">
      <c r="O100" s="24"/>
    </row>
    <row r="101" spans="1:33">
      <c r="A101" s="2322" t="s">
        <v>993</v>
      </c>
      <c r="B101" s="2323"/>
      <c r="C101" s="2323"/>
      <c r="D101" s="2323"/>
      <c r="E101" s="2324"/>
      <c r="F101" s="1597"/>
      <c r="G101" s="1597"/>
      <c r="T101" t="s">
        <v>1532</v>
      </c>
      <c r="U101" t="s">
        <v>1527</v>
      </c>
      <c r="V101" t="s">
        <v>1528</v>
      </c>
      <c r="W101" t="s">
        <v>1529</v>
      </c>
    </row>
    <row r="102" spans="1:33">
      <c r="A102" s="2325" t="s">
        <v>980</v>
      </c>
      <c r="B102" s="2326"/>
      <c r="C102" s="1713" t="s">
        <v>990</v>
      </c>
      <c r="D102" s="1715" t="s">
        <v>991</v>
      </c>
      <c r="E102" s="1714" t="s">
        <v>992</v>
      </c>
      <c r="F102" s="1598"/>
      <c r="G102" s="1598"/>
      <c r="T102" t="s">
        <v>1530</v>
      </c>
      <c r="U102" s="629">
        <f>R42</f>
        <v>22000000</v>
      </c>
      <c r="V102" s="629">
        <f>R44</f>
        <v>0</v>
      </c>
    </row>
    <row r="103" spans="1:33">
      <c r="A103" s="2319" t="s">
        <v>1443</v>
      </c>
      <c r="B103" s="1476" t="str">
        <f>B11</f>
        <v>공동주택</v>
      </c>
      <c r="C103" s="1546">
        <f>E11</f>
        <v>152662145.62500003</v>
      </c>
      <c r="D103" s="1716">
        <f>C103/$C$111*100</f>
        <v>96.467711337441699</v>
      </c>
      <c r="E103" s="1547">
        <f>분양개요!D7</f>
        <v>12500</v>
      </c>
      <c r="F103" s="1599"/>
      <c r="G103" s="1599"/>
      <c r="J103" s="398"/>
      <c r="S103" s="939"/>
      <c r="T103" t="s">
        <v>1531</v>
      </c>
      <c r="U103" s="397">
        <f>U104-U102</f>
        <v>21000000</v>
      </c>
      <c r="V103" s="397">
        <f>V104-V102</f>
        <v>7000000</v>
      </c>
    </row>
    <row r="104" spans="1:33">
      <c r="A104" s="2319"/>
      <c r="B104" s="1476" t="str">
        <f>B12</f>
        <v>오피스텔</v>
      </c>
      <c r="C104" s="1548">
        <f>E12</f>
        <v>0</v>
      </c>
      <c r="D104" s="1717">
        <f t="shared" ref="D104:D110" si="36">C104/$C$111*100</f>
        <v>0</v>
      </c>
      <c r="E104" s="1549">
        <f>분양개요!D8</f>
        <v>0</v>
      </c>
      <c r="F104" s="1599"/>
      <c r="G104" s="1599"/>
      <c r="J104" s="398"/>
      <c r="S104" s="939"/>
      <c r="U104" s="398">
        <f>민감도분석!K31</f>
        <v>43000000</v>
      </c>
      <c r="V104" s="398">
        <f>민감도분석!K32</f>
        <v>7000000</v>
      </c>
      <c r="W104" s="398">
        <f>ROUNDUP(U40,-6)-V104-U104</f>
        <v>-14000000</v>
      </c>
    </row>
    <row r="105" spans="1:33">
      <c r="A105" s="2319"/>
      <c r="B105" s="1476" t="str">
        <f>B14</f>
        <v>도시형생활주택</v>
      </c>
      <c r="C105" s="1548">
        <f>E14</f>
        <v>0</v>
      </c>
      <c r="D105" s="1717">
        <f t="shared" si="36"/>
        <v>0</v>
      </c>
      <c r="E105" s="1549">
        <f>분양개요!D10</f>
        <v>0</v>
      </c>
      <c r="F105" s="1599"/>
      <c r="G105" s="1599"/>
      <c r="J105" s="398"/>
      <c r="S105" s="939"/>
      <c r="U105" s="1802">
        <v>0.6</v>
      </c>
      <c r="V105" s="1802">
        <v>0.7</v>
      </c>
    </row>
    <row r="106" spans="1:33">
      <c r="A106" s="2319"/>
      <c r="B106" s="1476" t="str">
        <f>B15</f>
        <v>지식산업센터</v>
      </c>
      <c r="C106" s="1548">
        <f>E15</f>
        <v>0</v>
      </c>
      <c r="D106" s="1717">
        <f t="shared" si="36"/>
        <v>0</v>
      </c>
      <c r="E106" s="1549">
        <f>분양개요!D11</f>
        <v>0</v>
      </c>
      <c r="F106" s="1599"/>
      <c r="G106" s="1599"/>
      <c r="J106" s="398"/>
      <c r="S106" s="939"/>
    </row>
    <row r="107" spans="1:33">
      <c r="A107" s="2319"/>
      <c r="B107" s="1476" t="str">
        <f>B17</f>
        <v>생활형숙박시설</v>
      </c>
      <c r="C107" s="1548">
        <f>E17</f>
        <v>0</v>
      </c>
      <c r="D107" s="1717">
        <f t="shared" si="36"/>
        <v>0</v>
      </c>
      <c r="E107" s="1549">
        <f>분양개요!D13</f>
        <v>0</v>
      </c>
      <c r="F107" s="1599"/>
      <c r="G107" s="1599"/>
      <c r="J107" s="398"/>
      <c r="Q107" s="7" t="s">
        <v>57</v>
      </c>
      <c r="R107" s="7" t="s">
        <v>1135</v>
      </c>
      <c r="S107" s="7" t="s">
        <v>1164</v>
      </c>
      <c r="T107" s="7" t="s">
        <v>1165</v>
      </c>
      <c r="U107" s="7" t="s">
        <v>1166</v>
      </c>
      <c r="V107" s="7" t="s">
        <v>1168</v>
      </c>
      <c r="W107" s="2313" t="s">
        <v>1167</v>
      </c>
      <c r="X107" s="2313"/>
      <c r="Y107" s="7" t="s">
        <v>1157</v>
      </c>
      <c r="Z107" s="7" t="s">
        <v>1169</v>
      </c>
    </row>
    <row r="108" spans="1:33">
      <c r="A108" s="2319"/>
      <c r="B108" s="1476" t="str">
        <f>B18</f>
        <v>분양형호텔</v>
      </c>
      <c r="C108" s="1548">
        <f>E18</f>
        <v>0</v>
      </c>
      <c r="D108" s="1717">
        <f t="shared" si="36"/>
        <v>0</v>
      </c>
      <c r="E108" s="1549">
        <f>분양개요!D14</f>
        <v>0</v>
      </c>
      <c r="F108" s="1599"/>
      <c r="G108" s="1599"/>
      <c r="J108" s="398"/>
      <c r="Q108" s="7"/>
      <c r="R108" s="7"/>
      <c r="T108" s="7"/>
      <c r="U108" s="7"/>
      <c r="V108" s="7"/>
      <c r="W108" s="7"/>
      <c r="X108" s="7"/>
      <c r="Y108" s="7"/>
      <c r="Z108" s="7"/>
    </row>
    <row r="109" spans="1:33">
      <c r="A109" s="2319"/>
      <c r="B109" s="1476" t="str">
        <f>B19</f>
        <v>발코니확장비</v>
      </c>
      <c r="C109" s="1548">
        <f>E19</f>
        <v>4392019.7640000014</v>
      </c>
      <c r="D109" s="1717">
        <f t="shared" si="36"/>
        <v>2.7753317172853067</v>
      </c>
      <c r="E109" s="1549">
        <f>분양개요!D15</f>
        <v>12000.000000000002</v>
      </c>
      <c r="F109" s="1599"/>
      <c r="G109" s="1599"/>
      <c r="J109" s="398"/>
      <c r="Q109" s="7"/>
      <c r="R109" s="7"/>
      <c r="T109" s="7"/>
      <c r="U109" s="7"/>
      <c r="V109" s="7"/>
      <c r="W109" s="7"/>
      <c r="X109" s="7"/>
      <c r="Y109" s="7"/>
      <c r="Z109" s="7"/>
    </row>
    <row r="110" spans="1:33">
      <c r="A110" s="2319"/>
      <c r="B110" s="1476" t="str">
        <f>B13</f>
        <v>근린생활시설</v>
      </c>
      <c r="C110" s="1548">
        <f>E13</f>
        <v>1197900</v>
      </c>
      <c r="D110" s="1717">
        <f t="shared" si="36"/>
        <v>0.75695694527299684</v>
      </c>
      <c r="E110" s="1549">
        <f>분양개요!D9</f>
        <v>12000</v>
      </c>
      <c r="F110" s="1599"/>
      <c r="G110" s="1599"/>
      <c r="J110" s="397"/>
      <c r="Q110" s="940" t="s">
        <v>1136</v>
      </c>
      <c r="R110" s="941">
        <f>R63</f>
        <v>36000000</v>
      </c>
      <c r="S110" s="941">
        <f>$R$113*$S$103</f>
        <v>0</v>
      </c>
      <c r="T110" s="941">
        <f>R110*K84</f>
        <v>720000</v>
      </c>
      <c r="U110" s="941">
        <f>R110*(K85*총괄장!P6+1)/12</f>
        <v>11099999.999999998</v>
      </c>
      <c r="V110" s="941">
        <f>T110+U110</f>
        <v>11819999.999999998</v>
      </c>
      <c r="W110" s="398">
        <f>S110+V110</f>
        <v>11819999.999999998</v>
      </c>
      <c r="X110" s="942"/>
      <c r="Y110" s="932">
        <f>V110/R110</f>
        <v>0.32833333333333325</v>
      </c>
      <c r="Z110" s="932">
        <v>0.05</v>
      </c>
    </row>
    <row r="111" spans="1:33" ht="18" thickBot="1">
      <c r="A111" s="2320"/>
      <c r="B111" s="1707" t="s">
        <v>987</v>
      </c>
      <c r="C111" s="1708">
        <f>SUM(C103:C110)</f>
        <v>158252065.38900003</v>
      </c>
      <c r="D111" s="1718">
        <f>C111/$C$111*100</f>
        <v>100</v>
      </c>
      <c r="E111" s="1709"/>
      <c r="F111" s="1552"/>
      <c r="G111" s="1552"/>
      <c r="H111" s="943"/>
      <c r="Q111" s="940" t="s">
        <v>1137</v>
      </c>
      <c r="R111" s="941">
        <f>R64</f>
        <v>0</v>
      </c>
      <c r="S111" s="941">
        <f>$R$113*$S$103</f>
        <v>0</v>
      </c>
      <c r="T111" s="941">
        <f>R111*K86</f>
        <v>0</v>
      </c>
      <c r="U111" s="941">
        <f>R111*(K87*총괄장!P6+1)/12</f>
        <v>0</v>
      </c>
      <c r="V111" s="941">
        <f>T111+U111</f>
        <v>0</v>
      </c>
      <c r="W111" s="398">
        <f>S111+V111</f>
        <v>0</v>
      </c>
      <c r="X111" s="942"/>
      <c r="Y111" s="932">
        <v>0.03</v>
      </c>
      <c r="Z111" s="932">
        <v>0.06</v>
      </c>
    </row>
    <row r="112" spans="1:33" ht="18" thickTop="1">
      <c r="A112" s="2321" t="s">
        <v>1444</v>
      </c>
      <c r="B112" s="1710" t="str">
        <f>B23</f>
        <v>토지비 등</v>
      </c>
      <c r="C112" s="1711">
        <f>E26</f>
        <v>17248000</v>
      </c>
      <c r="D112" s="1719">
        <f>C112/$C$120*100</f>
        <v>12.724396183838962</v>
      </c>
      <c r="E112" s="1712"/>
      <c r="Q112" s="940" t="s">
        <v>1138</v>
      </c>
      <c r="R112" s="941">
        <f>R65</f>
        <v>0</v>
      </c>
      <c r="S112" s="941">
        <f>$R$113*$S$103</f>
        <v>0</v>
      </c>
      <c r="T112" s="941">
        <f>R112*K88</f>
        <v>0</v>
      </c>
      <c r="U112" s="941">
        <f>R112*(K89*총괄장!P6+1)/12</f>
        <v>0</v>
      </c>
      <c r="V112" s="941">
        <f>T112+U112</f>
        <v>0</v>
      </c>
      <c r="W112" s="398">
        <f>S112+V112</f>
        <v>0</v>
      </c>
      <c r="X112" s="942"/>
      <c r="Y112" s="932">
        <v>0.05</v>
      </c>
      <c r="Z112" s="932">
        <v>0.05</v>
      </c>
    </row>
    <row r="113" spans="1:26">
      <c r="A113" s="2319"/>
      <c r="B113" s="1476" t="str">
        <f>B27</f>
        <v xml:space="preserve"> 공사비 등 </v>
      </c>
      <c r="C113" s="1548">
        <f>E33</f>
        <v>85286233.751258984</v>
      </c>
      <c r="D113" s="1717">
        <f t="shared" ref="D113:D120" si="37">C113/$C$120*100</f>
        <v>62.918357332938172</v>
      </c>
      <c r="E113" s="1550">
        <f>K27</f>
        <v>5000</v>
      </c>
      <c r="F113" s="1600"/>
      <c r="G113" s="1600"/>
      <c r="Q113" s="7" t="s">
        <v>1139</v>
      </c>
      <c r="R113" s="941">
        <f>SUM(R110:R112)</f>
        <v>36000000</v>
      </c>
      <c r="S113" s="941">
        <f>S112</f>
        <v>0</v>
      </c>
      <c r="T113" s="629">
        <f>SUM(T110:T112)</f>
        <v>720000</v>
      </c>
      <c r="U113" s="629">
        <f>SUM(U110:U112)</f>
        <v>11099999.999999998</v>
      </c>
      <c r="V113" s="941">
        <f>T113+U113</f>
        <v>11819999.999999998</v>
      </c>
      <c r="W113" s="398">
        <f>S113+V113</f>
        <v>11819999.999999998</v>
      </c>
      <c r="X113" s="942"/>
      <c r="Y113" s="932">
        <v>0.06</v>
      </c>
      <c r="Z113" s="932">
        <v>0.06</v>
      </c>
    </row>
    <row r="114" spans="1:26">
      <c r="A114" s="2319"/>
      <c r="B114" s="1476" t="s">
        <v>1440</v>
      </c>
      <c r="C114" s="1548">
        <f>E41</f>
        <v>3397639.3299999996</v>
      </c>
      <c r="D114" s="1717">
        <f t="shared" si="37"/>
        <v>2.5065462038910691</v>
      </c>
      <c r="E114" s="1551"/>
      <c r="R114" s="629">
        <f>R110</f>
        <v>36000000</v>
      </c>
    </row>
    <row r="115" spans="1:26">
      <c r="A115" s="2319"/>
      <c r="B115" s="1476" t="str">
        <f>B42</f>
        <v xml:space="preserve">분(부담금) </v>
      </c>
      <c r="C115" s="1548">
        <f>E52</f>
        <v>1587297.1650000003</v>
      </c>
      <c r="D115" s="1717">
        <f t="shared" si="37"/>
        <v>1.1709994195816562</v>
      </c>
      <c r="E115" s="1551"/>
      <c r="R115" s="629">
        <f>R111</f>
        <v>0</v>
      </c>
    </row>
    <row r="116" spans="1:26">
      <c r="A116" s="2319"/>
      <c r="B116" s="1476" t="str">
        <f>B53</f>
        <v>제세공과금</v>
      </c>
      <c r="C116" s="1548">
        <f>E60</f>
        <v>3109980.8406925122</v>
      </c>
      <c r="D116" s="1717">
        <f t="shared" si="37"/>
        <v>2.2943314205194856</v>
      </c>
      <c r="E116" s="1551"/>
    </row>
    <row r="117" spans="1:26">
      <c r="A117" s="2319"/>
      <c r="B117" s="1476" t="s">
        <v>1441</v>
      </c>
      <c r="C117" s="1548">
        <f>E73</f>
        <v>7321797.8990987511</v>
      </c>
      <c r="D117" s="1717">
        <f t="shared" si="37"/>
        <v>5.4015223356987638</v>
      </c>
      <c r="E117" s="1551"/>
    </row>
    <row r="118" spans="1:26">
      <c r="A118" s="2319"/>
      <c r="B118" s="1476" t="s">
        <v>1442</v>
      </c>
      <c r="C118" s="1548">
        <f>E74+E81</f>
        <v>3942320.6538900007</v>
      </c>
      <c r="D118" s="1717">
        <f t="shared" si="37"/>
        <v>2.9083748773091047</v>
      </c>
      <c r="E118" s="1551"/>
    </row>
    <row r="119" spans="1:26">
      <c r="A119" s="2319"/>
      <c r="B119" s="1476" t="str">
        <f>B82</f>
        <v>금용비용</v>
      </c>
      <c r="C119" s="1548">
        <f>E95</f>
        <v>14057366.718792336</v>
      </c>
      <c r="D119" s="1717">
        <f t="shared" si="37"/>
        <v>10.370564902100304</v>
      </c>
      <c r="E119" s="1551"/>
    </row>
    <row r="120" spans="1:26" ht="18" thickBot="1">
      <c r="A120" s="2320"/>
      <c r="B120" s="1707" t="s">
        <v>986</v>
      </c>
      <c r="C120" s="1708">
        <f>E96</f>
        <v>135550636.35873261</v>
      </c>
      <c r="D120" s="1718">
        <f t="shared" si="37"/>
        <v>100</v>
      </c>
      <c r="E120" s="1709"/>
    </row>
    <row r="121" spans="1:26" ht="18" thickTop="1">
      <c r="A121" s="2327" t="s">
        <v>988</v>
      </c>
      <c r="B121" s="2328"/>
      <c r="C121" s="1720">
        <f>C111-C120</f>
        <v>22701429.030267417</v>
      </c>
      <c r="D121" s="1721"/>
      <c r="E121" s="1722"/>
    </row>
    <row r="122" spans="1:26">
      <c r="A122" s="2301" t="s">
        <v>989</v>
      </c>
      <c r="B122" s="2302"/>
      <c r="C122" s="1723">
        <f>C121/C111</f>
        <v>0.14345107581670385</v>
      </c>
      <c r="D122" s="1724"/>
      <c r="E122" s="1725"/>
    </row>
  </sheetData>
  <sheetProtection formatCells="0"/>
  <mergeCells count="265">
    <mergeCell ref="AG37:AJ37"/>
    <mergeCell ref="AH26:AJ26"/>
    <mergeCell ref="AG36:AJ36"/>
    <mergeCell ref="AG22:AJ22"/>
    <mergeCell ref="AH25:AJ25"/>
    <mergeCell ref="AH24:AJ24"/>
    <mergeCell ref="AH23:AJ23"/>
    <mergeCell ref="AH28:AJ28"/>
    <mergeCell ref="AH27:AJ27"/>
    <mergeCell ref="AG23:AG27"/>
    <mergeCell ref="AH29:AJ29"/>
    <mergeCell ref="AI32:AJ32"/>
    <mergeCell ref="AH35:AJ35"/>
    <mergeCell ref="AG28:AG35"/>
    <mergeCell ref="AH30:AH32"/>
    <mergeCell ref="AH34:AJ34"/>
    <mergeCell ref="AH33:AJ33"/>
    <mergeCell ref="A122:B122"/>
    <mergeCell ref="AC97:AD97"/>
    <mergeCell ref="H78:I78"/>
    <mergeCell ref="M78:O78"/>
    <mergeCell ref="H84:I84"/>
    <mergeCell ref="D97:D98"/>
    <mergeCell ref="F97:F98"/>
    <mergeCell ref="U78:W78"/>
    <mergeCell ref="H91:I91"/>
    <mergeCell ref="H94:I94"/>
    <mergeCell ref="M94:O94"/>
    <mergeCell ref="Z97:AA97"/>
    <mergeCell ref="W107:X107"/>
    <mergeCell ref="H85:I85"/>
    <mergeCell ref="M85:O85"/>
    <mergeCell ref="H86:I86"/>
    <mergeCell ref="M86:O86"/>
    <mergeCell ref="A98:C98"/>
    <mergeCell ref="H98:I98"/>
    <mergeCell ref="A103:A111"/>
    <mergeCell ref="A112:A120"/>
    <mergeCell ref="A101:E101"/>
    <mergeCell ref="A102:B102"/>
    <mergeCell ref="A121:B121"/>
    <mergeCell ref="B96:C96"/>
    <mergeCell ref="A97:C97"/>
    <mergeCell ref="B82:B95"/>
    <mergeCell ref="B75:B81"/>
    <mergeCell ref="M76:O76"/>
    <mergeCell ref="M81:O81"/>
    <mergeCell ref="A23:A96"/>
    <mergeCell ref="B42:B52"/>
    <mergeCell ref="H69:I69"/>
    <mergeCell ref="H59:I59"/>
    <mergeCell ref="M59:O59"/>
    <mergeCell ref="H64:I64"/>
    <mergeCell ref="M64:O64"/>
    <mergeCell ref="B53:B60"/>
    <mergeCell ref="H72:I72"/>
    <mergeCell ref="M72:O72"/>
    <mergeCell ref="H60:I60"/>
    <mergeCell ref="H52:I52"/>
    <mergeCell ref="M52:O52"/>
    <mergeCell ref="H48:I48"/>
    <mergeCell ref="M47:O47"/>
    <mergeCell ref="H90:I90"/>
    <mergeCell ref="M90:O90"/>
    <mergeCell ref="H70:I70"/>
    <mergeCell ref="H76:I76"/>
    <mergeCell ref="H79:I79"/>
    <mergeCell ref="M79:O79"/>
    <mergeCell ref="M50:O50"/>
    <mergeCell ref="M44:O44"/>
    <mergeCell ref="M77:O77"/>
    <mergeCell ref="H80:I80"/>
    <mergeCell ref="M80:O80"/>
    <mergeCell ref="H81:I81"/>
    <mergeCell ref="H75:I75"/>
    <mergeCell ref="M75:O75"/>
    <mergeCell ref="H74:I74"/>
    <mergeCell ref="M61:O61"/>
    <mergeCell ref="H56:I56"/>
    <mergeCell ref="H57:I57"/>
    <mergeCell ref="M67:O67"/>
    <mergeCell ref="H77:I77"/>
    <mergeCell ref="M74:O74"/>
    <mergeCell ref="H73:I73"/>
    <mergeCell ref="M51:O51"/>
    <mergeCell ref="H54:I54"/>
    <mergeCell ref="M54:O54"/>
    <mergeCell ref="H45:I45"/>
    <mergeCell ref="M45:O45"/>
    <mergeCell ref="M62:O62"/>
    <mergeCell ref="W52:W53"/>
    <mergeCell ref="Q50:R51"/>
    <mergeCell ref="U52:U53"/>
    <mergeCell ref="V52:V53"/>
    <mergeCell ref="M98:O98"/>
    <mergeCell ref="H96:I96"/>
    <mergeCell ref="M96:O96"/>
    <mergeCell ref="H97:I97"/>
    <mergeCell ref="M97:O97"/>
    <mergeCell ref="H89:I89"/>
    <mergeCell ref="M82:O82"/>
    <mergeCell ref="H83:I83"/>
    <mergeCell ref="H88:I88"/>
    <mergeCell ref="M88:O88"/>
    <mergeCell ref="H87:I87"/>
    <mergeCell ref="M87:O87"/>
    <mergeCell ref="H82:I82"/>
    <mergeCell ref="M83:O83"/>
    <mergeCell ref="M89:O89"/>
    <mergeCell ref="H95:I95"/>
    <mergeCell ref="M95:O95"/>
    <mergeCell ref="M84:O84"/>
    <mergeCell ref="H92:I92"/>
    <mergeCell ref="H53:I53"/>
    <mergeCell ref="M53:O53"/>
    <mergeCell ref="M38:O38"/>
    <mergeCell ref="M40:O40"/>
    <mergeCell ref="M42:O42"/>
    <mergeCell ref="U50:U51"/>
    <mergeCell ref="U72:W72"/>
    <mergeCell ref="M55:O55"/>
    <mergeCell ref="H65:I65"/>
    <mergeCell ref="Q71:Q72"/>
    <mergeCell ref="T57:V58"/>
    <mergeCell ref="M65:O65"/>
    <mergeCell ref="U67:V68"/>
    <mergeCell ref="M60:O60"/>
    <mergeCell ref="Q61:W61"/>
    <mergeCell ref="W57:W58"/>
    <mergeCell ref="H71:I71"/>
    <mergeCell ref="M71:O71"/>
    <mergeCell ref="S57:S58"/>
    <mergeCell ref="R72:T72"/>
    <mergeCell ref="T59:V59"/>
    <mergeCell ref="Q56:W56"/>
    <mergeCell ref="Q57:Q58"/>
    <mergeCell ref="H67:I67"/>
    <mergeCell ref="M48:O48"/>
    <mergeCell ref="H50:I50"/>
    <mergeCell ref="H44:I44"/>
    <mergeCell ref="H42:I42"/>
    <mergeCell ref="M32:O32"/>
    <mergeCell ref="Q36:R36"/>
    <mergeCell ref="H38:I38"/>
    <mergeCell ref="M35:O35"/>
    <mergeCell ref="H37:I37"/>
    <mergeCell ref="Q35:R35"/>
    <mergeCell ref="M46:O46"/>
    <mergeCell ref="Q39:R39"/>
    <mergeCell ref="H28:I28"/>
    <mergeCell ref="M28:O28"/>
    <mergeCell ref="H31:I31"/>
    <mergeCell ref="S44:S45"/>
    <mergeCell ref="T46:T47"/>
    <mergeCell ref="B61:B73"/>
    <mergeCell ref="H55:I55"/>
    <mergeCell ref="M56:O56"/>
    <mergeCell ref="M57:O57"/>
    <mergeCell ref="H66:I66"/>
    <mergeCell ref="H61:I61"/>
    <mergeCell ref="H63:I63"/>
    <mergeCell ref="M63:O63"/>
    <mergeCell ref="M73:O73"/>
    <mergeCell ref="H58:I58"/>
    <mergeCell ref="M58:O58"/>
    <mergeCell ref="M70:O70"/>
    <mergeCell ref="H62:I62"/>
    <mergeCell ref="M68:O68"/>
    <mergeCell ref="H68:I68"/>
    <mergeCell ref="M66:O66"/>
    <mergeCell ref="T44:T45"/>
    <mergeCell ref="T42:T43"/>
    <mergeCell ref="M43:O43"/>
    <mergeCell ref="V50:V51"/>
    <mergeCell ref="W50:W51"/>
    <mergeCell ref="H46:I46"/>
    <mergeCell ref="H51:I51"/>
    <mergeCell ref="S42:S43"/>
    <mergeCell ref="B27:B33"/>
    <mergeCell ref="H32:I32"/>
    <mergeCell ref="H43:I43"/>
    <mergeCell ref="M39:O39"/>
    <mergeCell ref="M41:O41"/>
    <mergeCell ref="S50:T51"/>
    <mergeCell ref="M27:O27"/>
    <mergeCell ref="H41:I41"/>
    <mergeCell ref="H47:I47"/>
    <mergeCell ref="Q34:R34"/>
    <mergeCell ref="S46:S47"/>
    <mergeCell ref="Q28:Q33"/>
    <mergeCell ref="B36:B41"/>
    <mergeCell ref="Q40:R40"/>
    <mergeCell ref="Q38:R38"/>
    <mergeCell ref="M37:O37"/>
    <mergeCell ref="Q37:R37"/>
    <mergeCell ref="Q49:W49"/>
    <mergeCell ref="H29:I29"/>
    <mergeCell ref="S24:S25"/>
    <mergeCell ref="Q24:R25"/>
    <mergeCell ref="A22:C22"/>
    <mergeCell ref="H22:I22"/>
    <mergeCell ref="H25:I25"/>
    <mergeCell ref="M24:O24"/>
    <mergeCell ref="M22:O22"/>
    <mergeCell ref="J10:J16"/>
    <mergeCell ref="M25:O25"/>
    <mergeCell ref="L12:M12"/>
    <mergeCell ref="Q23:W23"/>
    <mergeCell ref="H24:I24"/>
    <mergeCell ref="U24:U25"/>
    <mergeCell ref="V24:V25"/>
    <mergeCell ref="T24:T25"/>
    <mergeCell ref="Q22:W22"/>
    <mergeCell ref="L10:M10"/>
    <mergeCell ref="H23:I23"/>
    <mergeCell ref="M23:O23"/>
    <mergeCell ref="B23:B26"/>
    <mergeCell ref="A10:A20"/>
    <mergeCell ref="H26:I26"/>
    <mergeCell ref="M26:O26"/>
    <mergeCell ref="A3:A8"/>
    <mergeCell ref="C3:D3"/>
    <mergeCell ref="E3:E8"/>
    <mergeCell ref="H3:I3"/>
    <mergeCell ref="L3:M3"/>
    <mergeCell ref="C6:D6"/>
    <mergeCell ref="L6:M6"/>
    <mergeCell ref="L4:M4"/>
    <mergeCell ref="C7:D7"/>
    <mergeCell ref="C8:D8"/>
    <mergeCell ref="C5:D5"/>
    <mergeCell ref="L5:M5"/>
    <mergeCell ref="F3:G3"/>
    <mergeCell ref="F4:F6"/>
    <mergeCell ref="F7:G7"/>
    <mergeCell ref="F8:G8"/>
    <mergeCell ref="H6:I6"/>
    <mergeCell ref="H5:I5"/>
    <mergeCell ref="J6:K6"/>
    <mergeCell ref="H7:K7"/>
    <mergeCell ref="H8:K8"/>
    <mergeCell ref="N3:O3"/>
    <mergeCell ref="N4:O4"/>
    <mergeCell ref="N6:O6"/>
    <mergeCell ref="N7:O7"/>
    <mergeCell ref="N8:O8"/>
    <mergeCell ref="M49:O49"/>
    <mergeCell ref="H49:I49"/>
    <mergeCell ref="H35:I35"/>
    <mergeCell ref="L11:M11"/>
    <mergeCell ref="H34:I34"/>
    <mergeCell ref="M34:O34"/>
    <mergeCell ref="H33:I33"/>
    <mergeCell ref="M33:O33"/>
    <mergeCell ref="H40:I40"/>
    <mergeCell ref="H36:I36"/>
    <mergeCell ref="M36:O36"/>
    <mergeCell ref="H30:I30"/>
    <mergeCell ref="H39:I39"/>
    <mergeCell ref="J5:K5"/>
    <mergeCell ref="J4:K4"/>
    <mergeCell ref="J3:K3"/>
    <mergeCell ref="H4:I4"/>
    <mergeCell ref="H27:I27"/>
    <mergeCell ref="M31:O31"/>
  </mergeCells>
  <phoneticPr fontId="4" type="noConversion"/>
  <conditionalFormatting sqref="H11:H19">
    <cfRule type="dataBar" priority="14">
      <dataBar>
        <cfvo type="min"/>
        <cfvo type="max"/>
        <color rgb="FFFF555A"/>
      </dataBar>
      <extLst>
        <ext xmlns:x14="http://schemas.microsoft.com/office/spreadsheetml/2009/9/main" uri="{B025F937-C7B1-47D3-B67F-A62EFF666E3E}">
          <x14:id>{76C08D14-3C66-4E54-9C5C-702C77E77C06}</x14:id>
        </ext>
      </extLst>
    </cfRule>
  </conditionalFormatting>
  <conditionalFormatting sqref="S26:S39">
    <cfRule type="dataBar" priority="13">
      <dataBar>
        <cfvo type="min"/>
        <cfvo type="max"/>
        <color rgb="FFFF555A"/>
      </dataBar>
      <extLst>
        <ext xmlns:x14="http://schemas.microsoft.com/office/spreadsheetml/2009/9/main" uri="{B025F937-C7B1-47D3-B67F-A62EFF666E3E}">
          <x14:id>{EA1D24A2-9BB5-4EFD-BEC5-585990051F91}</x14:id>
        </ext>
      </extLst>
    </cfRule>
  </conditionalFormatting>
  <conditionalFormatting sqref="R48">
    <cfRule type="cellIs" dxfId="23" priority="10" operator="greaterThan">
      <formula>$U$40+2000000</formula>
    </cfRule>
  </conditionalFormatting>
  <conditionalFormatting sqref="L62:L63">
    <cfRule type="cellIs" dxfId="22" priority="9" operator="greaterThan">
      <formula>"15개월&gt;총괄장!$P$6"</formula>
    </cfRule>
  </conditionalFormatting>
  <conditionalFormatting sqref="AB97">
    <cfRule type="cellIs" dxfId="21" priority="4" operator="equal">
      <formula>$AB$97="N"</formula>
    </cfRule>
  </conditionalFormatting>
  <conditionalFormatting sqref="U67:V68">
    <cfRule type="expression" dxfId="20" priority="1">
      <formula>$W$68&lt;0</formula>
    </cfRule>
    <cfRule type="expression" dxfId="19" priority="2">
      <formula>$W$68&lt;0</formula>
    </cfRule>
  </conditionalFormatting>
  <dataValidations count="8">
    <dataValidation type="whole" allowBlank="1" showInputMessage="1" showErrorMessage="1" sqref="T5:U5 L12" xr:uid="{00000000-0002-0000-0500-000000000000}">
      <formula1>1</formula1>
      <formula2>3</formula2>
    </dataValidation>
    <dataValidation type="whole" allowBlank="1" showInputMessage="1" showErrorMessage="1" sqref="T3:U3 L10:M10" xr:uid="{00000000-0002-0000-0500-000001000000}">
      <formula1>1</formula1>
      <formula2>12</formula2>
    </dataValidation>
    <dataValidation type="whole" allowBlank="1" showInputMessage="1" showErrorMessage="1" errorTitle="공사기간" error="공사기간은 12~40개월 사이로 지정하십시요." sqref="T4:U4 L11:M11" xr:uid="{00000000-0002-0000-0500-000002000000}">
      <formula1>8</formula1>
      <formula2>60</formula2>
    </dataValidation>
    <dataValidation allowBlank="1" showInputMessage="1" showErrorMessage="1" errorTitle="관리기간" error="관리기간은 1~6 사이의 값을 지정하십시요." prompt="기타수입 금액 입력" sqref="W5:X6 O13" xr:uid="{00000000-0002-0000-0500-000003000000}"/>
    <dataValidation type="list" allowBlank="1" showInputMessage="1" showErrorMessage="1" sqref="W7:X7 O19 O14:O16" xr:uid="{00000000-0002-0000-0500-000004000000}">
      <formula1>공정률적용</formula1>
    </dataValidation>
    <dataValidation type="list" allowBlank="1" showInputMessage="1" showErrorMessage="1" sqref="P3:Q3 N3" xr:uid="{00000000-0002-0000-0500-000005000000}">
      <formula1>주용도</formula1>
    </dataValidation>
    <dataValidation type="list" allowBlank="1" showInputMessage="1" showErrorMessage="1" sqref="C91" xr:uid="{00000000-0002-0000-0500-000006000000}">
      <formula1>$AG$95:$AG$96</formula1>
    </dataValidation>
    <dataValidation type="list" allowBlank="1" showInputMessage="1" showErrorMessage="1" sqref="C92" xr:uid="{00000000-0002-0000-0500-000007000000}">
      <formula1>$AG$98:$AG$99</formula1>
    </dataValidation>
  </dataValidations>
  <hyperlinks>
    <hyperlink ref="P30" r:id="rId1" xr:uid="{00000000-0004-0000-0500-000000000000}"/>
  </hyperlinks>
  <printOptions horizontalCentered="1" verticalCentered="1"/>
  <pageMargins left="0.25" right="0.25" top="0.75" bottom="0.75" header="0.3" footer="0.3"/>
  <pageSetup paperSize="8" scale="46" orientation="landscape" cellComments="atEnd" r:id="rId2"/>
  <ignoredErrors>
    <ignoredError sqref="Y22:AE22 Y34:Z40 Y75:Z75 Y28:Z31 Y26 Y33 Y42:Z51 Y41 Y54:Z57 Y52 Y60 Y73 Y82:Z89 Y81 Y95:Y96 AB95:AB96 AE26 AE33 AE41 AE52 AE60 AE73 AE81 AE95:AE96 Y71:Z71 Y61:Z65 Y27:Z27 AD27:AE27 Y68:Z69 Y66:Z66 AC66:AE66 Y58:Z59 AC58:AE59 AC71:AE71 Y74:Z74 AC74:AE74 Y53:Z53 AC53:AE53 Y77:Z77 Y76:Z76 AC76:AE76 Y80:Z80 AC80:AE80 Y24:Z25 Y23:Z23 AC23:AE23 AC24:AE25 AC28:AE31 AC36:AE40 AC42:AE43 AC54:AE55 AC62:AE62 AC68:AE69 AC75:AE75 AC77:AE78 AC82:AE89 AC64:AE65 AC63:AE63 AC61:AE61 Y79:Z79 Z78 AC34:AE34 AC35:AE35 AC79:AE79 AC45:AE51 AC44:AE44 AC57:AE57 AC56:AE56" formula="1"/>
    <ignoredError sqref="O6 O7 N3:O4 N8:O8 N6 N5 L10:O10 C17:C20 D12 D11 C4:D6 C3:D3 C7:D8 E20 D19 D13 D14 D15 D17 D18 C11:C15" unlockedFormula="1"/>
  </ignoredErrors>
  <drawing r:id="rId3"/>
  <legacyDrawing r:id="rId4"/>
  <mc:AlternateContent xmlns:mc="http://schemas.openxmlformats.org/markup-compatibility/2006">
    <mc:Choice Requires="x14">
      <controls>
        <mc:AlternateContent xmlns:mc="http://schemas.openxmlformats.org/markup-compatibility/2006">
          <mc:Choice Requires="x14">
            <control shapeId="72705" r:id="rId5" name="Button 1">
              <controlPr defaultSize="0" print="0" autoFill="0" autoPict="0" macro="[0]!민감도분석">
                <anchor moveWithCells="1" sizeWithCells="1">
                  <from>
                    <xdr:col>20</xdr:col>
                    <xdr:colOff>297180</xdr:colOff>
                    <xdr:row>79</xdr:row>
                    <xdr:rowOff>38100</xdr:rowOff>
                  </from>
                  <to>
                    <xdr:col>22</xdr:col>
                    <xdr:colOff>640080</xdr:colOff>
                    <xdr:row>81</xdr:row>
                    <xdr:rowOff>182880</xdr:rowOff>
                  </to>
                </anchor>
              </controlPr>
            </control>
          </mc:Choice>
        </mc:AlternateContent>
        <mc:AlternateContent xmlns:mc="http://schemas.openxmlformats.org/markup-compatibility/2006">
          <mc:Choice Requires="x14">
            <control shapeId="72710" r:id="rId6" name="Button 6">
              <controlPr defaultSize="0" print="0" autoFill="0" autoPict="0" macro="[0]!예상수지초기화">
                <anchor moveWithCells="1">
                  <from>
                    <xdr:col>13</xdr:col>
                    <xdr:colOff>685800</xdr:colOff>
                    <xdr:row>0</xdr:row>
                    <xdr:rowOff>106680</xdr:rowOff>
                  </from>
                  <to>
                    <xdr:col>14</xdr:col>
                    <xdr:colOff>1333500</xdr:colOff>
                    <xdr:row>1</xdr:row>
                    <xdr:rowOff>152400</xdr:rowOff>
                  </to>
                </anchor>
              </controlPr>
            </control>
          </mc:Choice>
        </mc:AlternateContent>
        <mc:AlternateContent xmlns:mc="http://schemas.openxmlformats.org/markup-compatibility/2006">
          <mc:Choice Requires="x14">
            <control shapeId="72711" r:id="rId7" name="Button 7">
              <controlPr defaultSize="0" print="0" autoFill="0" autoPict="0" macro="[0]!사업수지출력">
                <anchor moveWithCells="1" sizeWithCells="1">
                  <from>
                    <xdr:col>20</xdr:col>
                    <xdr:colOff>312420</xdr:colOff>
                    <xdr:row>83</xdr:row>
                    <xdr:rowOff>68580</xdr:rowOff>
                  </from>
                  <to>
                    <xdr:col>22</xdr:col>
                    <xdr:colOff>678180</xdr:colOff>
                    <xdr:row>86</xdr:row>
                    <xdr:rowOff>45720</xdr:rowOff>
                  </to>
                </anchor>
              </controlPr>
            </control>
          </mc:Choice>
        </mc:AlternateContent>
        <mc:AlternateContent xmlns:mc="http://schemas.openxmlformats.org/markup-compatibility/2006">
          <mc:Choice Requires="x14">
            <control shapeId="72714" r:id="rId8" name="Button 10">
              <controlPr defaultSize="0" print="0" autoFill="0" autoPict="0" macro="[0]!금융조달출력">
                <anchor moveWithCells="1" sizeWithCells="1">
                  <from>
                    <xdr:col>20</xdr:col>
                    <xdr:colOff>335280</xdr:colOff>
                    <xdr:row>87</xdr:row>
                    <xdr:rowOff>106680</xdr:rowOff>
                  </from>
                  <to>
                    <xdr:col>22</xdr:col>
                    <xdr:colOff>678180</xdr:colOff>
                    <xdr:row>90</xdr:row>
                    <xdr:rowOff>68580</xdr:rowOff>
                  </to>
                </anchor>
              </controlPr>
            </control>
          </mc:Choice>
        </mc:AlternateContent>
        <mc:AlternateContent xmlns:mc="http://schemas.openxmlformats.org/markup-compatibility/2006">
          <mc:Choice Requires="x14">
            <control shapeId="72718" r:id="rId9" name="Button 14">
              <controlPr defaultSize="0" print="0" autoFill="0" autoPict="0" macro="[0]!총괄분양수지">
                <anchor moveWithCells="1" sizeWithCells="1">
                  <from>
                    <xdr:col>20</xdr:col>
                    <xdr:colOff>365760</xdr:colOff>
                    <xdr:row>92</xdr:row>
                    <xdr:rowOff>7620</xdr:rowOff>
                  </from>
                  <to>
                    <xdr:col>22</xdr:col>
                    <xdr:colOff>746760</xdr:colOff>
                    <xdr:row>94</xdr:row>
                    <xdr:rowOff>121920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76C08D14-3C66-4E54-9C5C-702C77E77C06}">
            <x14:dataBar minLength="0" maxLength="100" border="1" negativeBarBorderColorSameAsPositive="0">
              <x14:cfvo type="autoMin"/>
              <x14:cfvo type="autoMax"/>
              <x14:borderColor rgb="FFFF555A"/>
              <x14:negativeFillColor rgb="FFFF0000"/>
              <x14:negativeBorderColor rgb="FFFF0000"/>
              <x14:axisColor rgb="FF000000"/>
            </x14:dataBar>
          </x14:cfRule>
          <xm:sqref>H11:H19</xm:sqref>
        </x14:conditionalFormatting>
        <x14:conditionalFormatting xmlns:xm="http://schemas.microsoft.com/office/excel/2006/main">
          <x14:cfRule type="dataBar" id="{EA1D24A2-9BB5-4EFD-BEC5-585990051F91}">
            <x14:dataBar minLength="0" maxLength="100" border="1" negativeBarBorderColorSameAsPositive="0">
              <x14:cfvo type="autoMin"/>
              <x14:cfvo type="autoMax"/>
              <x14:borderColor rgb="FFFF555A"/>
              <x14:negativeFillColor rgb="FFFF0000"/>
              <x14:negativeBorderColor rgb="FFFF0000"/>
              <x14:axisColor rgb="FF000000"/>
            </x14:dataBar>
          </x14:cfRule>
          <xm:sqref>S26:S39</xm:sqref>
        </x14:conditionalFormatting>
        <x14:conditionalFormatting xmlns:xm="http://schemas.microsoft.com/office/excel/2006/main">
          <x14:cfRule type="cellIs" priority="12" operator="greaterThan" id="{6C14F333-B043-44BD-9FBD-3053803CF30B}">
            <xm:f>총괄장!$P$6</xm:f>
            <x14:dxf>
              <font>
                <color rgb="FF9C0006"/>
              </font>
              <fill>
                <patternFill>
                  <bgColor rgb="FFFFC7CE"/>
                </patternFill>
              </fill>
            </x14:dxf>
          </x14:cfRule>
          <xm:sqref>L76</xm:sqref>
        </x14:conditionalFormatting>
        <x14:conditionalFormatting xmlns:xm="http://schemas.microsoft.com/office/excel/2006/main">
          <x14:cfRule type="cellIs" priority="11" operator="greaterThan" id="{B0B7B989-378A-4DC1-BD90-F094A0530ABD}">
            <xm:f>총괄장!$P$6</xm:f>
            <x14:dxf>
              <font>
                <color rgb="FF9C0006"/>
              </font>
              <fill>
                <patternFill>
                  <bgColor rgb="FFFFC7CE"/>
                </patternFill>
              </fill>
            </x14:dxf>
          </x14:cfRule>
          <xm:sqref>L62:L63</xm:sqref>
        </x14:conditionalFormatting>
        <x14:conditionalFormatting xmlns:xm="http://schemas.microsoft.com/office/excel/2006/main">
          <x14:cfRule type="containsText" priority="3" operator="containsText" id="{1CE05148-89F1-4792-ABF9-69EB9CD66535}">
            <xm:f>NOT(ISERROR(SEARCH($AB$97="N",AB97)))</xm:f>
            <xm:f>$AB$97="N"</xm:f>
            <x14:dxf>
              <font>
                <color rgb="FF9C0006"/>
              </font>
              <fill>
                <patternFill>
                  <bgColor rgb="FFFFC7CE"/>
                </patternFill>
              </fill>
            </x14:dxf>
          </x14:cfRule>
          <xm:sqref>AB97</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tabColor rgb="FF7030A0"/>
    <pageSetUpPr fitToPage="1"/>
  </sheetPr>
  <dimension ref="A1:CK278"/>
  <sheetViews>
    <sheetView showGridLines="0" zoomScale="85" zoomScaleNormal="85" workbookViewId="0">
      <pane xSplit="5" ySplit="9" topLeftCell="AJ106" activePane="bottomRight" state="frozen"/>
      <selection pane="topRight" activeCell="F1" sqref="F1"/>
      <selection pane="bottomLeft" activeCell="A10" sqref="A10"/>
      <selection pane="bottomRight" activeCell="AQ116" sqref="AJ116:AQ116"/>
    </sheetView>
  </sheetViews>
  <sheetFormatPr defaultColWidth="8.69921875" defaultRowHeight="17.399999999999999"/>
  <cols>
    <col min="1" max="1" width="4.59765625" customWidth="1"/>
    <col min="2" max="2" width="16.59765625" customWidth="1"/>
    <col min="3" max="3" width="14" customWidth="1"/>
    <col min="4" max="4" width="13.8984375" customWidth="1"/>
    <col min="5" max="5" width="14.5" customWidth="1"/>
    <col min="6" max="6" width="12.09765625" customWidth="1"/>
    <col min="7" max="73" width="12.09765625" style="486" customWidth="1"/>
    <col min="74" max="75" width="12.09765625" style="662" customWidth="1"/>
    <col min="76" max="76" width="12.09765625" style="486" customWidth="1"/>
    <col min="77" max="77" width="23.5" style="4" customWidth="1"/>
    <col min="78" max="78" width="12.3984375" style="486" customWidth="1"/>
    <col min="79" max="79" width="17.5" customWidth="1"/>
    <col min="80" max="80" width="11.8984375" bestFit="1" customWidth="1"/>
    <col min="81" max="81" width="11.69921875" customWidth="1"/>
    <col min="82" max="82" width="12.09765625" bestFit="1" customWidth="1"/>
    <col min="83" max="83" width="12.8984375" customWidth="1"/>
  </cols>
  <sheetData>
    <row r="1" spans="2:78" ht="6" customHeight="1"/>
    <row r="2" spans="2:78">
      <c r="B2" s="950" t="s">
        <v>1022</v>
      </c>
      <c r="C2" s="1876"/>
      <c r="D2" s="951"/>
      <c r="E2" s="951"/>
      <c r="F2" s="952"/>
      <c r="G2" s="953">
        <v>43617</v>
      </c>
      <c r="H2" s="954">
        <f t="shared" ref="H2:AS2" si="0">G3+1</f>
        <v>43647</v>
      </c>
      <c r="I2" s="954">
        <f t="shared" si="0"/>
        <v>43678</v>
      </c>
      <c r="J2" s="954">
        <f t="shared" si="0"/>
        <v>43709</v>
      </c>
      <c r="K2" s="954">
        <f t="shared" si="0"/>
        <v>43739</v>
      </c>
      <c r="L2" s="954">
        <f t="shared" si="0"/>
        <v>43770</v>
      </c>
      <c r="M2" s="954">
        <f t="shared" si="0"/>
        <v>43800</v>
      </c>
      <c r="N2" s="954">
        <f t="shared" si="0"/>
        <v>43831</v>
      </c>
      <c r="O2" s="954">
        <f t="shared" si="0"/>
        <v>43862</v>
      </c>
      <c r="P2" s="954">
        <f t="shared" si="0"/>
        <v>43891</v>
      </c>
      <c r="Q2" s="954">
        <f t="shared" si="0"/>
        <v>43922</v>
      </c>
      <c r="R2" s="954">
        <f t="shared" si="0"/>
        <v>43952</v>
      </c>
      <c r="S2" s="954">
        <f t="shared" si="0"/>
        <v>43983</v>
      </c>
      <c r="T2" s="954">
        <f t="shared" si="0"/>
        <v>44013</v>
      </c>
      <c r="U2" s="954">
        <f t="shared" si="0"/>
        <v>44044</v>
      </c>
      <c r="V2" s="954">
        <f t="shared" si="0"/>
        <v>44075</v>
      </c>
      <c r="W2" s="954">
        <f t="shared" si="0"/>
        <v>44105</v>
      </c>
      <c r="X2" s="954">
        <f t="shared" si="0"/>
        <v>44136</v>
      </c>
      <c r="Y2" s="954">
        <f t="shared" si="0"/>
        <v>44166</v>
      </c>
      <c r="Z2" s="954">
        <f t="shared" si="0"/>
        <v>44197</v>
      </c>
      <c r="AA2" s="954">
        <f t="shared" si="0"/>
        <v>44228</v>
      </c>
      <c r="AB2" s="954">
        <f t="shared" si="0"/>
        <v>44256</v>
      </c>
      <c r="AC2" s="954">
        <f t="shared" si="0"/>
        <v>44287</v>
      </c>
      <c r="AD2" s="954">
        <f t="shared" si="0"/>
        <v>44317</v>
      </c>
      <c r="AE2" s="954">
        <f t="shared" si="0"/>
        <v>44348</v>
      </c>
      <c r="AF2" s="954">
        <f t="shared" si="0"/>
        <v>44378</v>
      </c>
      <c r="AG2" s="954">
        <f t="shared" si="0"/>
        <v>44409</v>
      </c>
      <c r="AH2" s="954">
        <f t="shared" si="0"/>
        <v>44440</v>
      </c>
      <c r="AI2" s="954">
        <f t="shared" si="0"/>
        <v>44470</v>
      </c>
      <c r="AJ2" s="954">
        <f t="shared" si="0"/>
        <v>44501</v>
      </c>
      <c r="AK2" s="954">
        <f t="shared" si="0"/>
        <v>44531</v>
      </c>
      <c r="AL2" s="954">
        <f t="shared" si="0"/>
        <v>44562</v>
      </c>
      <c r="AM2" s="954">
        <f t="shared" si="0"/>
        <v>44593</v>
      </c>
      <c r="AN2" s="954">
        <f>AM3+1</f>
        <v>44621</v>
      </c>
      <c r="AO2" s="954">
        <f>AN3+1</f>
        <v>44652</v>
      </c>
      <c r="AP2" s="954">
        <f>AO3+1</f>
        <v>44682</v>
      </c>
      <c r="AQ2" s="954">
        <f>AP3+1</f>
        <v>44713</v>
      </c>
      <c r="AR2" s="954">
        <f>AQ3+1</f>
        <v>44743</v>
      </c>
      <c r="AS2" s="954">
        <f t="shared" si="0"/>
        <v>44774</v>
      </c>
      <c r="AT2" s="954">
        <f t="shared" ref="AT2:BE2" si="1">AS3+1</f>
        <v>44805</v>
      </c>
      <c r="AU2" s="954">
        <f t="shared" si="1"/>
        <v>44835</v>
      </c>
      <c r="AV2" s="954">
        <f t="shared" si="1"/>
        <v>44866</v>
      </c>
      <c r="AW2" s="954">
        <f t="shared" si="1"/>
        <v>44896</v>
      </c>
      <c r="AX2" s="954">
        <f t="shared" si="1"/>
        <v>44927</v>
      </c>
      <c r="AY2" s="954">
        <f t="shared" si="1"/>
        <v>44958</v>
      </c>
      <c r="AZ2" s="954">
        <f t="shared" si="1"/>
        <v>44986</v>
      </c>
      <c r="BA2" s="954">
        <f t="shared" si="1"/>
        <v>45017</v>
      </c>
      <c r="BB2" s="954">
        <f t="shared" si="1"/>
        <v>45047</v>
      </c>
      <c r="BC2" s="954">
        <f t="shared" si="1"/>
        <v>45078</v>
      </c>
      <c r="BD2" s="954">
        <f t="shared" si="1"/>
        <v>45108</v>
      </c>
      <c r="BE2" s="954">
        <f t="shared" si="1"/>
        <v>45139</v>
      </c>
      <c r="BF2" s="954">
        <f t="shared" ref="BF2:BU2" si="2">BE3+1</f>
        <v>45170</v>
      </c>
      <c r="BG2" s="954">
        <f t="shared" si="2"/>
        <v>45200</v>
      </c>
      <c r="BH2" s="954">
        <f t="shared" si="2"/>
        <v>45231</v>
      </c>
      <c r="BI2" s="954">
        <f t="shared" si="2"/>
        <v>45261</v>
      </c>
      <c r="BJ2" s="954">
        <f t="shared" si="2"/>
        <v>45292</v>
      </c>
      <c r="BK2" s="954">
        <f t="shared" si="2"/>
        <v>45323</v>
      </c>
      <c r="BL2" s="954">
        <f t="shared" si="2"/>
        <v>45352</v>
      </c>
      <c r="BM2" s="954">
        <f t="shared" si="2"/>
        <v>45383</v>
      </c>
      <c r="BN2" s="954">
        <f t="shared" si="2"/>
        <v>45413</v>
      </c>
      <c r="BO2" s="954">
        <f t="shared" si="2"/>
        <v>45444</v>
      </c>
      <c r="BP2" s="954">
        <f t="shared" si="2"/>
        <v>45474</v>
      </c>
      <c r="BQ2" s="954">
        <f t="shared" si="2"/>
        <v>45505</v>
      </c>
      <c r="BR2" s="954">
        <f t="shared" si="2"/>
        <v>45536</v>
      </c>
      <c r="BS2" s="954">
        <f t="shared" si="2"/>
        <v>45566</v>
      </c>
      <c r="BT2" s="954">
        <f t="shared" si="2"/>
        <v>45597</v>
      </c>
      <c r="BU2" s="954">
        <f t="shared" si="2"/>
        <v>45627</v>
      </c>
      <c r="BV2" s="955">
        <f>총괄장!Q8</f>
        <v>46111.5</v>
      </c>
      <c r="BW2" s="955">
        <f>BV3+1</f>
        <v>46113</v>
      </c>
      <c r="BX2" s="955">
        <f>BW3+1</f>
        <v>46143</v>
      </c>
      <c r="BY2" s="956"/>
    </row>
    <row r="3" spans="2:78">
      <c r="B3" s="721" t="s">
        <v>1023</v>
      </c>
      <c r="C3" s="963"/>
      <c r="D3" s="957"/>
      <c r="E3" s="957"/>
      <c r="F3" s="952"/>
      <c r="G3" s="958">
        <f t="shared" ref="G3:AV3" si="3">EOMONTH(G2,0)</f>
        <v>43646</v>
      </c>
      <c r="H3" s="954">
        <f t="shared" si="3"/>
        <v>43677</v>
      </c>
      <c r="I3" s="954">
        <f t="shared" si="3"/>
        <v>43708</v>
      </c>
      <c r="J3" s="954">
        <f t="shared" si="3"/>
        <v>43738</v>
      </c>
      <c r="K3" s="954">
        <f t="shared" si="3"/>
        <v>43769</v>
      </c>
      <c r="L3" s="954">
        <f t="shared" si="3"/>
        <v>43799</v>
      </c>
      <c r="M3" s="954">
        <f t="shared" si="3"/>
        <v>43830</v>
      </c>
      <c r="N3" s="954">
        <f t="shared" si="3"/>
        <v>43861</v>
      </c>
      <c r="O3" s="954">
        <f t="shared" si="3"/>
        <v>43890</v>
      </c>
      <c r="P3" s="954">
        <f t="shared" si="3"/>
        <v>43921</v>
      </c>
      <c r="Q3" s="954">
        <f t="shared" si="3"/>
        <v>43951</v>
      </c>
      <c r="R3" s="954">
        <f t="shared" si="3"/>
        <v>43982</v>
      </c>
      <c r="S3" s="954">
        <f t="shared" si="3"/>
        <v>44012</v>
      </c>
      <c r="T3" s="954">
        <f t="shared" si="3"/>
        <v>44043</v>
      </c>
      <c r="U3" s="954">
        <f t="shared" si="3"/>
        <v>44074</v>
      </c>
      <c r="V3" s="954">
        <f t="shared" si="3"/>
        <v>44104</v>
      </c>
      <c r="W3" s="954">
        <f t="shared" si="3"/>
        <v>44135</v>
      </c>
      <c r="X3" s="954">
        <f t="shared" si="3"/>
        <v>44165</v>
      </c>
      <c r="Y3" s="954">
        <f t="shared" si="3"/>
        <v>44196</v>
      </c>
      <c r="Z3" s="954">
        <f t="shared" si="3"/>
        <v>44227</v>
      </c>
      <c r="AA3" s="954">
        <f t="shared" si="3"/>
        <v>44255</v>
      </c>
      <c r="AB3" s="954">
        <f t="shared" si="3"/>
        <v>44286</v>
      </c>
      <c r="AC3" s="954">
        <f t="shared" si="3"/>
        <v>44316</v>
      </c>
      <c r="AD3" s="954">
        <f t="shared" si="3"/>
        <v>44347</v>
      </c>
      <c r="AE3" s="954">
        <f t="shared" si="3"/>
        <v>44377</v>
      </c>
      <c r="AF3" s="954">
        <f t="shared" si="3"/>
        <v>44408</v>
      </c>
      <c r="AG3" s="954">
        <f t="shared" si="3"/>
        <v>44439</v>
      </c>
      <c r="AH3" s="954">
        <f t="shared" si="3"/>
        <v>44469</v>
      </c>
      <c r="AI3" s="954">
        <f t="shared" si="3"/>
        <v>44500</v>
      </c>
      <c r="AJ3" s="954">
        <f t="shared" si="3"/>
        <v>44530</v>
      </c>
      <c r="AK3" s="954">
        <f t="shared" si="3"/>
        <v>44561</v>
      </c>
      <c r="AL3" s="954">
        <f t="shared" si="3"/>
        <v>44592</v>
      </c>
      <c r="AM3" s="954">
        <f t="shared" si="3"/>
        <v>44620</v>
      </c>
      <c r="AN3" s="954">
        <f t="shared" si="3"/>
        <v>44651</v>
      </c>
      <c r="AO3" s="954">
        <f t="shared" si="3"/>
        <v>44681</v>
      </c>
      <c r="AP3" s="954">
        <f t="shared" si="3"/>
        <v>44712</v>
      </c>
      <c r="AQ3" s="954">
        <f t="shared" si="3"/>
        <v>44742</v>
      </c>
      <c r="AR3" s="954">
        <f t="shared" si="3"/>
        <v>44773</v>
      </c>
      <c r="AS3" s="954">
        <f t="shared" si="3"/>
        <v>44804</v>
      </c>
      <c r="AT3" s="954">
        <f t="shared" si="3"/>
        <v>44834</v>
      </c>
      <c r="AU3" s="954">
        <f t="shared" si="3"/>
        <v>44865</v>
      </c>
      <c r="AV3" s="954">
        <f t="shared" si="3"/>
        <v>44895</v>
      </c>
      <c r="AW3" s="954">
        <f t="shared" ref="AW3:BE3" si="4">EOMONTH(AW2,0)</f>
        <v>44926</v>
      </c>
      <c r="AX3" s="954">
        <f t="shared" si="4"/>
        <v>44957</v>
      </c>
      <c r="AY3" s="954">
        <f t="shared" si="4"/>
        <v>44985</v>
      </c>
      <c r="AZ3" s="954">
        <f t="shared" si="4"/>
        <v>45016</v>
      </c>
      <c r="BA3" s="954">
        <f t="shared" si="4"/>
        <v>45046</v>
      </c>
      <c r="BB3" s="954">
        <f t="shared" si="4"/>
        <v>45077</v>
      </c>
      <c r="BC3" s="954">
        <f t="shared" si="4"/>
        <v>45107</v>
      </c>
      <c r="BD3" s="954">
        <f t="shared" si="4"/>
        <v>45138</v>
      </c>
      <c r="BE3" s="954">
        <f t="shared" si="4"/>
        <v>45169</v>
      </c>
      <c r="BF3" s="954">
        <f t="shared" ref="BF3:BT3" si="5">EOMONTH(BF2,0)</f>
        <v>45199</v>
      </c>
      <c r="BG3" s="954">
        <f t="shared" si="5"/>
        <v>45230</v>
      </c>
      <c r="BH3" s="954">
        <f t="shared" si="5"/>
        <v>45260</v>
      </c>
      <c r="BI3" s="954">
        <f t="shared" si="5"/>
        <v>45291</v>
      </c>
      <c r="BJ3" s="954">
        <f t="shared" si="5"/>
        <v>45322</v>
      </c>
      <c r="BK3" s="954">
        <f t="shared" si="5"/>
        <v>45351</v>
      </c>
      <c r="BL3" s="954">
        <f t="shared" si="5"/>
        <v>45382</v>
      </c>
      <c r="BM3" s="954">
        <f t="shared" si="5"/>
        <v>45412</v>
      </c>
      <c r="BN3" s="954">
        <f t="shared" si="5"/>
        <v>45443</v>
      </c>
      <c r="BO3" s="954">
        <f t="shared" si="5"/>
        <v>45473</v>
      </c>
      <c r="BP3" s="954">
        <f t="shared" si="5"/>
        <v>45504</v>
      </c>
      <c r="BQ3" s="954">
        <f t="shared" si="5"/>
        <v>45535</v>
      </c>
      <c r="BR3" s="954">
        <f t="shared" si="5"/>
        <v>45565</v>
      </c>
      <c r="BS3" s="954">
        <f t="shared" si="5"/>
        <v>45596</v>
      </c>
      <c r="BT3" s="954">
        <f t="shared" si="5"/>
        <v>45626</v>
      </c>
      <c r="BU3" s="954">
        <f>EOMONTH(BU2,0)</f>
        <v>45657</v>
      </c>
      <c r="BV3" s="955">
        <f>EOMONTH(BV2,0)</f>
        <v>46112</v>
      </c>
      <c r="BW3" s="955">
        <f t="shared" ref="BW3:BX3" si="6">EOMONTH(BW2,0)</f>
        <v>46142</v>
      </c>
      <c r="BX3" s="955">
        <f t="shared" si="6"/>
        <v>46173</v>
      </c>
      <c r="BY3" s="956"/>
    </row>
    <row r="4" spans="2:78">
      <c r="B4" s="721" t="s">
        <v>1024</v>
      </c>
      <c r="C4" s="963"/>
      <c r="D4" s="957"/>
      <c r="E4" s="957"/>
      <c r="F4" s="952"/>
      <c r="G4" s="959">
        <f t="shared" ref="G4:AV4" si="7">YEAR(G3)</f>
        <v>2019</v>
      </c>
      <c r="H4" s="960">
        <f t="shared" si="7"/>
        <v>2019</v>
      </c>
      <c r="I4" s="960">
        <f t="shared" si="7"/>
        <v>2019</v>
      </c>
      <c r="J4" s="960">
        <f t="shared" si="7"/>
        <v>2019</v>
      </c>
      <c r="K4" s="960">
        <f t="shared" si="7"/>
        <v>2019</v>
      </c>
      <c r="L4" s="960">
        <f t="shared" si="7"/>
        <v>2019</v>
      </c>
      <c r="M4" s="960">
        <f t="shared" si="7"/>
        <v>2019</v>
      </c>
      <c r="N4" s="960">
        <f t="shared" si="7"/>
        <v>2020</v>
      </c>
      <c r="O4" s="960">
        <f t="shared" si="7"/>
        <v>2020</v>
      </c>
      <c r="P4" s="960">
        <f t="shared" si="7"/>
        <v>2020</v>
      </c>
      <c r="Q4" s="960">
        <f t="shared" si="7"/>
        <v>2020</v>
      </c>
      <c r="R4" s="960">
        <f t="shared" si="7"/>
        <v>2020</v>
      </c>
      <c r="S4" s="960">
        <f t="shared" si="7"/>
        <v>2020</v>
      </c>
      <c r="T4" s="960">
        <f t="shared" si="7"/>
        <v>2020</v>
      </c>
      <c r="U4" s="960">
        <f t="shared" si="7"/>
        <v>2020</v>
      </c>
      <c r="V4" s="960">
        <f t="shared" si="7"/>
        <v>2020</v>
      </c>
      <c r="W4" s="960">
        <f t="shared" si="7"/>
        <v>2020</v>
      </c>
      <c r="X4" s="960">
        <f t="shared" si="7"/>
        <v>2020</v>
      </c>
      <c r="Y4" s="960">
        <f t="shared" si="7"/>
        <v>2020</v>
      </c>
      <c r="Z4" s="960">
        <f t="shared" si="7"/>
        <v>2021</v>
      </c>
      <c r="AA4" s="960">
        <f t="shared" si="7"/>
        <v>2021</v>
      </c>
      <c r="AB4" s="960">
        <f t="shared" si="7"/>
        <v>2021</v>
      </c>
      <c r="AC4" s="960">
        <f t="shared" si="7"/>
        <v>2021</v>
      </c>
      <c r="AD4" s="960">
        <f t="shared" si="7"/>
        <v>2021</v>
      </c>
      <c r="AE4" s="960">
        <f t="shared" si="7"/>
        <v>2021</v>
      </c>
      <c r="AF4" s="960">
        <f t="shared" si="7"/>
        <v>2021</v>
      </c>
      <c r="AG4" s="960">
        <f t="shared" si="7"/>
        <v>2021</v>
      </c>
      <c r="AH4" s="960">
        <f t="shared" si="7"/>
        <v>2021</v>
      </c>
      <c r="AI4" s="960">
        <f t="shared" si="7"/>
        <v>2021</v>
      </c>
      <c r="AJ4" s="960">
        <f t="shared" si="7"/>
        <v>2021</v>
      </c>
      <c r="AK4" s="960">
        <f t="shared" si="7"/>
        <v>2021</v>
      </c>
      <c r="AL4" s="960">
        <f t="shared" si="7"/>
        <v>2022</v>
      </c>
      <c r="AM4" s="960">
        <f t="shared" si="7"/>
        <v>2022</v>
      </c>
      <c r="AN4" s="960">
        <f t="shared" si="7"/>
        <v>2022</v>
      </c>
      <c r="AO4" s="960">
        <f t="shared" si="7"/>
        <v>2022</v>
      </c>
      <c r="AP4" s="960">
        <f t="shared" si="7"/>
        <v>2022</v>
      </c>
      <c r="AQ4" s="960">
        <f t="shared" si="7"/>
        <v>2022</v>
      </c>
      <c r="AR4" s="960">
        <f t="shared" si="7"/>
        <v>2022</v>
      </c>
      <c r="AS4" s="960">
        <f t="shared" si="7"/>
        <v>2022</v>
      </c>
      <c r="AT4" s="960">
        <f t="shared" si="7"/>
        <v>2022</v>
      </c>
      <c r="AU4" s="960">
        <f t="shared" si="7"/>
        <v>2022</v>
      </c>
      <c r="AV4" s="960">
        <f t="shared" si="7"/>
        <v>2022</v>
      </c>
      <c r="AW4" s="960">
        <f t="shared" ref="AW4:BE4" si="8">YEAR(AW3)</f>
        <v>2022</v>
      </c>
      <c r="AX4" s="960">
        <f t="shared" si="8"/>
        <v>2023</v>
      </c>
      <c r="AY4" s="960">
        <f t="shared" si="8"/>
        <v>2023</v>
      </c>
      <c r="AZ4" s="960">
        <f t="shared" si="8"/>
        <v>2023</v>
      </c>
      <c r="BA4" s="960">
        <f t="shared" si="8"/>
        <v>2023</v>
      </c>
      <c r="BB4" s="960">
        <f t="shared" si="8"/>
        <v>2023</v>
      </c>
      <c r="BC4" s="960">
        <f t="shared" si="8"/>
        <v>2023</v>
      </c>
      <c r="BD4" s="960">
        <f t="shared" si="8"/>
        <v>2023</v>
      </c>
      <c r="BE4" s="960">
        <f t="shared" si="8"/>
        <v>2023</v>
      </c>
      <c r="BF4" s="960">
        <f t="shared" ref="BF4:BT4" si="9">YEAR(BF3)</f>
        <v>2023</v>
      </c>
      <c r="BG4" s="960">
        <f t="shared" si="9"/>
        <v>2023</v>
      </c>
      <c r="BH4" s="960">
        <f t="shared" si="9"/>
        <v>2023</v>
      </c>
      <c r="BI4" s="960">
        <f t="shared" si="9"/>
        <v>2023</v>
      </c>
      <c r="BJ4" s="960">
        <f t="shared" si="9"/>
        <v>2024</v>
      </c>
      <c r="BK4" s="960">
        <f t="shared" si="9"/>
        <v>2024</v>
      </c>
      <c r="BL4" s="960">
        <f t="shared" si="9"/>
        <v>2024</v>
      </c>
      <c r="BM4" s="960">
        <f t="shared" si="9"/>
        <v>2024</v>
      </c>
      <c r="BN4" s="960">
        <f t="shared" si="9"/>
        <v>2024</v>
      </c>
      <c r="BO4" s="960">
        <f t="shared" si="9"/>
        <v>2024</v>
      </c>
      <c r="BP4" s="960">
        <f t="shared" si="9"/>
        <v>2024</v>
      </c>
      <c r="BQ4" s="960">
        <f t="shared" si="9"/>
        <v>2024</v>
      </c>
      <c r="BR4" s="960">
        <f t="shared" si="9"/>
        <v>2024</v>
      </c>
      <c r="BS4" s="960">
        <f t="shared" si="9"/>
        <v>2024</v>
      </c>
      <c r="BT4" s="960">
        <f t="shared" si="9"/>
        <v>2024</v>
      </c>
      <c r="BU4" s="960">
        <f>YEAR(BU3)</f>
        <v>2024</v>
      </c>
      <c r="BV4" s="961">
        <f>YEAR(BV3)</f>
        <v>2026</v>
      </c>
      <c r="BW4" s="961">
        <f t="shared" ref="BW4:BX4" si="10">YEAR(BW3)</f>
        <v>2026</v>
      </c>
      <c r="BX4" s="961">
        <f t="shared" si="10"/>
        <v>2026</v>
      </c>
      <c r="BY4" s="962"/>
    </row>
    <row r="5" spans="2:78">
      <c r="B5" s="721" t="s">
        <v>1025</v>
      </c>
      <c r="C5" s="963"/>
      <c r="D5" s="957"/>
      <c r="E5" s="957"/>
      <c r="F5" s="952"/>
      <c r="G5" s="959">
        <f t="shared" ref="G5:AV5" si="11">MONTH(G3)</f>
        <v>6</v>
      </c>
      <c r="H5" s="960">
        <f t="shared" si="11"/>
        <v>7</v>
      </c>
      <c r="I5" s="960">
        <f t="shared" si="11"/>
        <v>8</v>
      </c>
      <c r="J5" s="960">
        <f t="shared" si="11"/>
        <v>9</v>
      </c>
      <c r="K5" s="960">
        <f t="shared" si="11"/>
        <v>10</v>
      </c>
      <c r="L5" s="960">
        <f t="shared" si="11"/>
        <v>11</v>
      </c>
      <c r="M5" s="960">
        <f t="shared" si="11"/>
        <v>12</v>
      </c>
      <c r="N5" s="960">
        <f t="shared" si="11"/>
        <v>1</v>
      </c>
      <c r="O5" s="960">
        <f t="shared" si="11"/>
        <v>2</v>
      </c>
      <c r="P5" s="960">
        <f t="shared" si="11"/>
        <v>3</v>
      </c>
      <c r="Q5" s="960">
        <f t="shared" si="11"/>
        <v>4</v>
      </c>
      <c r="R5" s="960">
        <f t="shared" si="11"/>
        <v>5</v>
      </c>
      <c r="S5" s="960">
        <f t="shared" si="11"/>
        <v>6</v>
      </c>
      <c r="T5" s="960">
        <f t="shared" si="11"/>
        <v>7</v>
      </c>
      <c r="U5" s="960">
        <f t="shared" si="11"/>
        <v>8</v>
      </c>
      <c r="V5" s="960">
        <f t="shared" si="11"/>
        <v>9</v>
      </c>
      <c r="W5" s="960">
        <f t="shared" si="11"/>
        <v>10</v>
      </c>
      <c r="X5" s="960">
        <f t="shared" si="11"/>
        <v>11</v>
      </c>
      <c r="Y5" s="960">
        <f t="shared" si="11"/>
        <v>12</v>
      </c>
      <c r="Z5" s="960">
        <f t="shared" si="11"/>
        <v>1</v>
      </c>
      <c r="AA5" s="960">
        <f t="shared" si="11"/>
        <v>2</v>
      </c>
      <c r="AB5" s="960">
        <f t="shared" si="11"/>
        <v>3</v>
      </c>
      <c r="AC5" s="960">
        <f t="shared" si="11"/>
        <v>4</v>
      </c>
      <c r="AD5" s="960">
        <f t="shared" si="11"/>
        <v>5</v>
      </c>
      <c r="AE5" s="960">
        <f t="shared" si="11"/>
        <v>6</v>
      </c>
      <c r="AF5" s="960">
        <f t="shared" si="11"/>
        <v>7</v>
      </c>
      <c r="AG5" s="960">
        <f t="shared" si="11"/>
        <v>8</v>
      </c>
      <c r="AH5" s="960">
        <f t="shared" si="11"/>
        <v>9</v>
      </c>
      <c r="AI5" s="960">
        <f t="shared" si="11"/>
        <v>10</v>
      </c>
      <c r="AJ5" s="960">
        <f t="shared" si="11"/>
        <v>11</v>
      </c>
      <c r="AK5" s="960">
        <f t="shared" si="11"/>
        <v>12</v>
      </c>
      <c r="AL5" s="960">
        <f t="shared" si="11"/>
        <v>1</v>
      </c>
      <c r="AM5" s="960">
        <f t="shared" si="11"/>
        <v>2</v>
      </c>
      <c r="AN5" s="960">
        <f t="shared" si="11"/>
        <v>3</v>
      </c>
      <c r="AO5" s="960">
        <f t="shared" si="11"/>
        <v>4</v>
      </c>
      <c r="AP5" s="960">
        <f t="shared" si="11"/>
        <v>5</v>
      </c>
      <c r="AQ5" s="960">
        <f t="shared" si="11"/>
        <v>6</v>
      </c>
      <c r="AR5" s="960">
        <f t="shared" si="11"/>
        <v>7</v>
      </c>
      <c r="AS5" s="960">
        <f t="shared" si="11"/>
        <v>8</v>
      </c>
      <c r="AT5" s="960">
        <f t="shared" si="11"/>
        <v>9</v>
      </c>
      <c r="AU5" s="960">
        <f t="shared" si="11"/>
        <v>10</v>
      </c>
      <c r="AV5" s="960">
        <f t="shared" si="11"/>
        <v>11</v>
      </c>
      <c r="AW5" s="960">
        <f t="shared" ref="AW5:BE5" si="12">MONTH(AW3)</f>
        <v>12</v>
      </c>
      <c r="AX5" s="960">
        <f t="shared" si="12"/>
        <v>1</v>
      </c>
      <c r="AY5" s="960">
        <f t="shared" si="12"/>
        <v>2</v>
      </c>
      <c r="AZ5" s="960">
        <f t="shared" si="12"/>
        <v>3</v>
      </c>
      <c r="BA5" s="960">
        <f t="shared" si="12"/>
        <v>4</v>
      </c>
      <c r="BB5" s="960">
        <f t="shared" si="12"/>
        <v>5</v>
      </c>
      <c r="BC5" s="960">
        <f t="shared" si="12"/>
        <v>6</v>
      </c>
      <c r="BD5" s="960">
        <f t="shared" si="12"/>
        <v>7</v>
      </c>
      <c r="BE5" s="960">
        <f t="shared" si="12"/>
        <v>8</v>
      </c>
      <c r="BF5" s="960">
        <f t="shared" ref="BF5:BT5" si="13">MONTH(BF3)</f>
        <v>9</v>
      </c>
      <c r="BG5" s="960">
        <f t="shared" si="13"/>
        <v>10</v>
      </c>
      <c r="BH5" s="960">
        <f t="shared" si="13"/>
        <v>11</v>
      </c>
      <c r="BI5" s="960">
        <f t="shared" si="13"/>
        <v>12</v>
      </c>
      <c r="BJ5" s="960">
        <f t="shared" si="13"/>
        <v>1</v>
      </c>
      <c r="BK5" s="960">
        <f t="shared" si="13"/>
        <v>2</v>
      </c>
      <c r="BL5" s="960">
        <f t="shared" si="13"/>
        <v>3</v>
      </c>
      <c r="BM5" s="960">
        <f t="shared" si="13"/>
        <v>4</v>
      </c>
      <c r="BN5" s="960">
        <f t="shared" si="13"/>
        <v>5</v>
      </c>
      <c r="BO5" s="960">
        <f t="shared" si="13"/>
        <v>6</v>
      </c>
      <c r="BP5" s="960">
        <f t="shared" si="13"/>
        <v>7</v>
      </c>
      <c r="BQ5" s="960">
        <f t="shared" si="13"/>
        <v>8</v>
      </c>
      <c r="BR5" s="960">
        <f t="shared" si="13"/>
        <v>9</v>
      </c>
      <c r="BS5" s="960">
        <f t="shared" si="13"/>
        <v>10</v>
      </c>
      <c r="BT5" s="960">
        <f t="shared" si="13"/>
        <v>11</v>
      </c>
      <c r="BU5" s="960">
        <f>MONTH(BU3)</f>
        <v>12</v>
      </c>
      <c r="BV5" s="961">
        <f>MONTH(BV3)</f>
        <v>3</v>
      </c>
      <c r="BW5" s="961">
        <f t="shared" ref="BW5:BX5" si="14">MONTH(BW3)</f>
        <v>4</v>
      </c>
      <c r="BX5" s="961">
        <f t="shared" si="14"/>
        <v>5</v>
      </c>
      <c r="BY5" s="962"/>
    </row>
    <row r="6" spans="2:78">
      <c r="B6" s="721" t="s">
        <v>1026</v>
      </c>
      <c r="C6" s="963"/>
      <c r="D6" s="957"/>
      <c r="E6" s="957"/>
      <c r="F6" s="952"/>
      <c r="G6" s="959">
        <f t="shared" ref="G6:AV6" si="15">DAY(G3)</f>
        <v>30</v>
      </c>
      <c r="H6" s="960">
        <f t="shared" si="15"/>
        <v>31</v>
      </c>
      <c r="I6" s="960">
        <f t="shared" si="15"/>
        <v>31</v>
      </c>
      <c r="J6" s="960">
        <f t="shared" si="15"/>
        <v>30</v>
      </c>
      <c r="K6" s="960">
        <f t="shared" si="15"/>
        <v>31</v>
      </c>
      <c r="L6" s="960">
        <f t="shared" si="15"/>
        <v>30</v>
      </c>
      <c r="M6" s="960">
        <f t="shared" si="15"/>
        <v>31</v>
      </c>
      <c r="N6" s="960">
        <f t="shared" si="15"/>
        <v>31</v>
      </c>
      <c r="O6" s="960">
        <f t="shared" si="15"/>
        <v>29</v>
      </c>
      <c r="P6" s="960">
        <f t="shared" si="15"/>
        <v>31</v>
      </c>
      <c r="Q6" s="960">
        <f t="shared" si="15"/>
        <v>30</v>
      </c>
      <c r="R6" s="960">
        <f t="shared" si="15"/>
        <v>31</v>
      </c>
      <c r="S6" s="960">
        <f t="shared" si="15"/>
        <v>30</v>
      </c>
      <c r="T6" s="960">
        <f t="shared" si="15"/>
        <v>31</v>
      </c>
      <c r="U6" s="960">
        <f t="shared" si="15"/>
        <v>31</v>
      </c>
      <c r="V6" s="960">
        <f t="shared" si="15"/>
        <v>30</v>
      </c>
      <c r="W6" s="960">
        <f t="shared" si="15"/>
        <v>31</v>
      </c>
      <c r="X6" s="960">
        <f t="shared" si="15"/>
        <v>30</v>
      </c>
      <c r="Y6" s="960">
        <f t="shared" si="15"/>
        <v>31</v>
      </c>
      <c r="Z6" s="960">
        <f t="shared" si="15"/>
        <v>31</v>
      </c>
      <c r="AA6" s="960">
        <f t="shared" si="15"/>
        <v>28</v>
      </c>
      <c r="AB6" s="960">
        <f t="shared" si="15"/>
        <v>31</v>
      </c>
      <c r="AC6" s="960">
        <f t="shared" si="15"/>
        <v>30</v>
      </c>
      <c r="AD6" s="960">
        <f t="shared" si="15"/>
        <v>31</v>
      </c>
      <c r="AE6" s="960">
        <f t="shared" si="15"/>
        <v>30</v>
      </c>
      <c r="AF6" s="960">
        <f t="shared" si="15"/>
        <v>31</v>
      </c>
      <c r="AG6" s="960">
        <f t="shared" si="15"/>
        <v>31</v>
      </c>
      <c r="AH6" s="960">
        <f t="shared" si="15"/>
        <v>30</v>
      </c>
      <c r="AI6" s="960">
        <f t="shared" si="15"/>
        <v>31</v>
      </c>
      <c r="AJ6" s="960">
        <f t="shared" si="15"/>
        <v>30</v>
      </c>
      <c r="AK6" s="960">
        <f t="shared" si="15"/>
        <v>31</v>
      </c>
      <c r="AL6" s="960">
        <f t="shared" si="15"/>
        <v>31</v>
      </c>
      <c r="AM6" s="960">
        <f t="shared" si="15"/>
        <v>28</v>
      </c>
      <c r="AN6" s="960">
        <f t="shared" si="15"/>
        <v>31</v>
      </c>
      <c r="AO6" s="960">
        <f t="shared" si="15"/>
        <v>30</v>
      </c>
      <c r="AP6" s="960">
        <f t="shared" si="15"/>
        <v>31</v>
      </c>
      <c r="AQ6" s="960">
        <f t="shared" si="15"/>
        <v>30</v>
      </c>
      <c r="AR6" s="960">
        <f t="shared" si="15"/>
        <v>31</v>
      </c>
      <c r="AS6" s="960">
        <f t="shared" si="15"/>
        <v>31</v>
      </c>
      <c r="AT6" s="960">
        <f t="shared" si="15"/>
        <v>30</v>
      </c>
      <c r="AU6" s="960">
        <f t="shared" si="15"/>
        <v>31</v>
      </c>
      <c r="AV6" s="960">
        <f t="shared" si="15"/>
        <v>30</v>
      </c>
      <c r="AW6" s="960">
        <f t="shared" ref="AW6:BE6" si="16">DAY(AW3)</f>
        <v>31</v>
      </c>
      <c r="AX6" s="960">
        <f t="shared" si="16"/>
        <v>31</v>
      </c>
      <c r="AY6" s="960">
        <f t="shared" si="16"/>
        <v>28</v>
      </c>
      <c r="AZ6" s="960">
        <f t="shared" si="16"/>
        <v>31</v>
      </c>
      <c r="BA6" s="960">
        <f t="shared" si="16"/>
        <v>30</v>
      </c>
      <c r="BB6" s="960">
        <f t="shared" si="16"/>
        <v>31</v>
      </c>
      <c r="BC6" s="960">
        <f t="shared" si="16"/>
        <v>30</v>
      </c>
      <c r="BD6" s="960">
        <f t="shared" si="16"/>
        <v>31</v>
      </c>
      <c r="BE6" s="960">
        <f t="shared" si="16"/>
        <v>31</v>
      </c>
      <c r="BF6" s="960">
        <f t="shared" ref="BF6:BT6" si="17">DAY(BF3)</f>
        <v>30</v>
      </c>
      <c r="BG6" s="960">
        <f t="shared" si="17"/>
        <v>31</v>
      </c>
      <c r="BH6" s="960">
        <f t="shared" si="17"/>
        <v>30</v>
      </c>
      <c r="BI6" s="960">
        <f t="shared" si="17"/>
        <v>31</v>
      </c>
      <c r="BJ6" s="960">
        <f t="shared" si="17"/>
        <v>31</v>
      </c>
      <c r="BK6" s="960">
        <f t="shared" si="17"/>
        <v>29</v>
      </c>
      <c r="BL6" s="960">
        <f t="shared" si="17"/>
        <v>31</v>
      </c>
      <c r="BM6" s="960">
        <f t="shared" si="17"/>
        <v>30</v>
      </c>
      <c r="BN6" s="960">
        <f t="shared" si="17"/>
        <v>31</v>
      </c>
      <c r="BO6" s="960">
        <f t="shared" si="17"/>
        <v>30</v>
      </c>
      <c r="BP6" s="960">
        <f t="shared" si="17"/>
        <v>31</v>
      </c>
      <c r="BQ6" s="960">
        <f t="shared" si="17"/>
        <v>31</v>
      </c>
      <c r="BR6" s="960">
        <f t="shared" si="17"/>
        <v>30</v>
      </c>
      <c r="BS6" s="960">
        <f t="shared" si="17"/>
        <v>31</v>
      </c>
      <c r="BT6" s="960">
        <f t="shared" si="17"/>
        <v>30</v>
      </c>
      <c r="BU6" s="960">
        <f>DAY(BU3)</f>
        <v>31</v>
      </c>
      <c r="BV6" s="961">
        <f>DAY(BV3)</f>
        <v>31</v>
      </c>
      <c r="BW6" s="961">
        <f t="shared" ref="BW6:BX6" si="18">DAY(BW3)</f>
        <v>30</v>
      </c>
      <c r="BX6" s="961">
        <f t="shared" si="18"/>
        <v>31</v>
      </c>
      <c r="BY6" s="962"/>
    </row>
    <row r="7" spans="2:78">
      <c r="B7" s="721" t="s">
        <v>1027</v>
      </c>
      <c r="C7" s="963"/>
      <c r="D7" s="957"/>
      <c r="E7" s="957"/>
      <c r="F7" s="952"/>
      <c r="G7" s="959"/>
      <c r="H7" s="960"/>
      <c r="I7" s="960"/>
      <c r="J7" s="960"/>
      <c r="K7" s="960">
        <v>1</v>
      </c>
      <c r="L7" s="960">
        <f>K7+1</f>
        <v>2</v>
      </c>
      <c r="M7" s="960">
        <f t="shared" ref="M7:AB7" si="19">L7+1</f>
        <v>3</v>
      </c>
      <c r="N7" s="960">
        <f t="shared" si="19"/>
        <v>4</v>
      </c>
      <c r="O7" s="960">
        <f t="shared" si="19"/>
        <v>5</v>
      </c>
      <c r="P7" s="960">
        <f t="shared" si="19"/>
        <v>6</v>
      </c>
      <c r="Q7" s="960">
        <f t="shared" si="19"/>
        <v>7</v>
      </c>
      <c r="R7" s="960">
        <f t="shared" si="19"/>
        <v>8</v>
      </c>
      <c r="S7" s="960">
        <f t="shared" si="19"/>
        <v>9</v>
      </c>
      <c r="T7" s="960">
        <f t="shared" si="19"/>
        <v>10</v>
      </c>
      <c r="U7" s="960">
        <f t="shared" si="19"/>
        <v>11</v>
      </c>
      <c r="V7" s="960">
        <f t="shared" si="19"/>
        <v>12</v>
      </c>
      <c r="W7" s="960">
        <f t="shared" si="19"/>
        <v>13</v>
      </c>
      <c r="X7" s="960">
        <f t="shared" si="19"/>
        <v>14</v>
      </c>
      <c r="Y7" s="960">
        <f t="shared" si="19"/>
        <v>15</v>
      </c>
      <c r="Z7" s="960">
        <f t="shared" si="19"/>
        <v>16</v>
      </c>
      <c r="AA7" s="960">
        <f t="shared" si="19"/>
        <v>17</v>
      </c>
      <c r="AB7" s="960">
        <f t="shared" si="19"/>
        <v>18</v>
      </c>
      <c r="AC7" s="960">
        <f t="shared" ref="AC7:AQ8" si="20">AB7+1</f>
        <v>19</v>
      </c>
      <c r="AD7" s="960">
        <f t="shared" si="20"/>
        <v>20</v>
      </c>
      <c r="AE7" s="960">
        <f t="shared" si="20"/>
        <v>21</v>
      </c>
      <c r="AF7" s="960">
        <f t="shared" si="20"/>
        <v>22</v>
      </c>
      <c r="AG7" s="960">
        <f t="shared" si="20"/>
        <v>23</v>
      </c>
      <c r="AH7" s="960">
        <f t="shared" si="20"/>
        <v>24</v>
      </c>
      <c r="AI7" s="960">
        <f t="shared" si="20"/>
        <v>25</v>
      </c>
      <c r="AJ7" s="960">
        <f t="shared" si="20"/>
        <v>26</v>
      </c>
      <c r="AK7" s="960">
        <f t="shared" si="20"/>
        <v>27</v>
      </c>
      <c r="AL7" s="960">
        <f t="shared" si="20"/>
        <v>28</v>
      </c>
      <c r="AM7" s="960">
        <f t="shared" si="20"/>
        <v>29</v>
      </c>
      <c r="AN7" s="960">
        <f t="shared" si="20"/>
        <v>30</v>
      </c>
      <c r="AO7" s="960">
        <f t="shared" si="20"/>
        <v>31</v>
      </c>
      <c r="AP7" s="960">
        <f t="shared" si="20"/>
        <v>32</v>
      </c>
      <c r="AQ7" s="960">
        <f t="shared" si="20"/>
        <v>33</v>
      </c>
      <c r="AR7" s="960">
        <f t="shared" ref="AR7:BE7" si="21">AQ7+1</f>
        <v>34</v>
      </c>
      <c r="AS7" s="960">
        <f t="shared" si="21"/>
        <v>35</v>
      </c>
      <c r="AT7" s="960">
        <f t="shared" si="21"/>
        <v>36</v>
      </c>
      <c r="AU7" s="960">
        <f t="shared" si="21"/>
        <v>37</v>
      </c>
      <c r="AV7" s="960">
        <f t="shared" si="21"/>
        <v>38</v>
      </c>
      <c r="AW7" s="960">
        <f t="shared" si="21"/>
        <v>39</v>
      </c>
      <c r="AX7" s="960">
        <f t="shared" si="21"/>
        <v>40</v>
      </c>
      <c r="AY7" s="960">
        <f t="shared" si="21"/>
        <v>41</v>
      </c>
      <c r="AZ7" s="960">
        <f t="shared" si="21"/>
        <v>42</v>
      </c>
      <c r="BA7" s="960">
        <f t="shared" si="21"/>
        <v>43</v>
      </c>
      <c r="BB7" s="960">
        <f t="shared" si="21"/>
        <v>44</v>
      </c>
      <c r="BC7" s="960">
        <f t="shared" si="21"/>
        <v>45</v>
      </c>
      <c r="BD7" s="960">
        <f t="shared" si="21"/>
        <v>46</v>
      </c>
      <c r="BE7" s="960">
        <f t="shared" si="21"/>
        <v>47</v>
      </c>
      <c r="BF7" s="960">
        <f t="shared" ref="BF7:BU7" si="22">BE7+1</f>
        <v>48</v>
      </c>
      <c r="BG7" s="960">
        <f t="shared" si="22"/>
        <v>49</v>
      </c>
      <c r="BH7" s="960">
        <f t="shared" si="22"/>
        <v>50</v>
      </c>
      <c r="BI7" s="960">
        <f t="shared" si="22"/>
        <v>51</v>
      </c>
      <c r="BJ7" s="960">
        <f t="shared" si="22"/>
        <v>52</v>
      </c>
      <c r="BK7" s="960">
        <f t="shared" si="22"/>
        <v>53</v>
      </c>
      <c r="BL7" s="960">
        <f t="shared" si="22"/>
        <v>54</v>
      </c>
      <c r="BM7" s="960">
        <f t="shared" si="22"/>
        <v>55</v>
      </c>
      <c r="BN7" s="960">
        <f t="shared" si="22"/>
        <v>56</v>
      </c>
      <c r="BO7" s="960">
        <f t="shared" si="22"/>
        <v>57</v>
      </c>
      <c r="BP7" s="960">
        <f t="shared" si="22"/>
        <v>58</v>
      </c>
      <c r="BQ7" s="960">
        <f t="shared" si="22"/>
        <v>59</v>
      </c>
      <c r="BR7" s="960">
        <f t="shared" si="22"/>
        <v>60</v>
      </c>
      <c r="BS7" s="960">
        <f t="shared" si="22"/>
        <v>61</v>
      </c>
      <c r="BT7" s="960">
        <f t="shared" si="22"/>
        <v>62</v>
      </c>
      <c r="BU7" s="960">
        <f t="shared" si="22"/>
        <v>63</v>
      </c>
      <c r="BV7" s="960">
        <f>비용집행계획!BQ3</f>
        <v>34</v>
      </c>
      <c r="BW7" s="960">
        <f>비용집행계획!BR3</f>
        <v>35</v>
      </c>
      <c r="BX7" s="960">
        <f>비용집행계획!BS3</f>
        <v>36</v>
      </c>
      <c r="BY7" s="962"/>
    </row>
    <row r="8" spans="2:78" s="662" customFormat="1">
      <c r="B8" s="721" t="s">
        <v>1107</v>
      </c>
      <c r="C8" s="963"/>
      <c r="D8" s="963"/>
      <c r="E8" s="963"/>
      <c r="F8" s="964"/>
      <c r="G8" s="959"/>
      <c r="H8" s="960"/>
      <c r="I8" s="960"/>
      <c r="J8" s="960"/>
      <c r="K8" s="960"/>
      <c r="L8" s="960"/>
      <c r="M8" s="960">
        <v>0</v>
      </c>
      <c r="N8" s="960">
        <f t="shared" ref="N8:AM8" si="23">M8+1</f>
        <v>1</v>
      </c>
      <c r="O8" s="960">
        <f t="shared" si="23"/>
        <v>2</v>
      </c>
      <c r="P8" s="960">
        <f t="shared" si="23"/>
        <v>3</v>
      </c>
      <c r="Q8" s="960">
        <f t="shared" si="23"/>
        <v>4</v>
      </c>
      <c r="R8" s="960">
        <f t="shared" si="23"/>
        <v>5</v>
      </c>
      <c r="S8" s="960">
        <f t="shared" si="23"/>
        <v>6</v>
      </c>
      <c r="T8" s="960">
        <f t="shared" si="23"/>
        <v>7</v>
      </c>
      <c r="U8" s="960">
        <f t="shared" si="23"/>
        <v>8</v>
      </c>
      <c r="V8" s="960">
        <f t="shared" si="23"/>
        <v>9</v>
      </c>
      <c r="W8" s="960">
        <f t="shared" si="23"/>
        <v>10</v>
      </c>
      <c r="X8" s="960">
        <f t="shared" si="23"/>
        <v>11</v>
      </c>
      <c r="Y8" s="960">
        <f t="shared" si="23"/>
        <v>12</v>
      </c>
      <c r="Z8" s="960">
        <f t="shared" si="23"/>
        <v>13</v>
      </c>
      <c r="AA8" s="960">
        <f t="shared" si="23"/>
        <v>14</v>
      </c>
      <c r="AB8" s="960">
        <f t="shared" si="23"/>
        <v>15</v>
      </c>
      <c r="AC8" s="960">
        <f t="shared" si="23"/>
        <v>16</v>
      </c>
      <c r="AD8" s="960">
        <f t="shared" si="23"/>
        <v>17</v>
      </c>
      <c r="AE8" s="960">
        <f t="shared" si="23"/>
        <v>18</v>
      </c>
      <c r="AF8" s="960">
        <f t="shared" si="23"/>
        <v>19</v>
      </c>
      <c r="AG8" s="960">
        <f t="shared" si="23"/>
        <v>20</v>
      </c>
      <c r="AH8" s="960">
        <f t="shared" si="23"/>
        <v>21</v>
      </c>
      <c r="AI8" s="960">
        <f t="shared" si="23"/>
        <v>22</v>
      </c>
      <c r="AJ8" s="960">
        <f t="shared" si="23"/>
        <v>23</v>
      </c>
      <c r="AK8" s="960">
        <f t="shared" si="23"/>
        <v>24</v>
      </c>
      <c r="AL8" s="960">
        <f t="shared" si="23"/>
        <v>25</v>
      </c>
      <c r="AM8" s="960">
        <f t="shared" si="23"/>
        <v>26</v>
      </c>
      <c r="AN8" s="960">
        <f t="shared" si="20"/>
        <v>27</v>
      </c>
      <c r="AO8" s="960">
        <f t="shared" si="20"/>
        <v>28</v>
      </c>
      <c r="AP8" s="960">
        <f t="shared" si="20"/>
        <v>29</v>
      </c>
      <c r="AQ8" s="960">
        <f t="shared" si="20"/>
        <v>30</v>
      </c>
      <c r="AR8" s="960">
        <f t="shared" ref="AR8:BE8" si="24">AQ8+1</f>
        <v>31</v>
      </c>
      <c r="AS8" s="960">
        <f t="shared" si="24"/>
        <v>32</v>
      </c>
      <c r="AT8" s="960">
        <f t="shared" si="24"/>
        <v>33</v>
      </c>
      <c r="AU8" s="960">
        <f t="shared" si="24"/>
        <v>34</v>
      </c>
      <c r="AV8" s="960">
        <f t="shared" si="24"/>
        <v>35</v>
      </c>
      <c r="AW8" s="960">
        <f t="shared" si="24"/>
        <v>36</v>
      </c>
      <c r="AX8" s="960">
        <f t="shared" si="24"/>
        <v>37</v>
      </c>
      <c r="AY8" s="960">
        <f t="shared" si="24"/>
        <v>38</v>
      </c>
      <c r="AZ8" s="960">
        <f t="shared" si="24"/>
        <v>39</v>
      </c>
      <c r="BA8" s="960">
        <f t="shared" si="24"/>
        <v>40</v>
      </c>
      <c r="BB8" s="960">
        <f t="shared" si="24"/>
        <v>41</v>
      </c>
      <c r="BC8" s="960">
        <f t="shared" si="24"/>
        <v>42</v>
      </c>
      <c r="BD8" s="960">
        <f t="shared" si="24"/>
        <v>43</v>
      </c>
      <c r="BE8" s="960">
        <f t="shared" si="24"/>
        <v>44</v>
      </c>
      <c r="BF8" s="960">
        <f t="shared" ref="BF8:BU8" si="25">BE8+1</f>
        <v>45</v>
      </c>
      <c r="BG8" s="960">
        <f t="shared" si="25"/>
        <v>46</v>
      </c>
      <c r="BH8" s="960">
        <f t="shared" si="25"/>
        <v>47</v>
      </c>
      <c r="BI8" s="960">
        <f t="shared" si="25"/>
        <v>48</v>
      </c>
      <c r="BJ8" s="960">
        <f t="shared" si="25"/>
        <v>49</v>
      </c>
      <c r="BK8" s="960">
        <f t="shared" si="25"/>
        <v>50</v>
      </c>
      <c r="BL8" s="960">
        <f t="shared" si="25"/>
        <v>51</v>
      </c>
      <c r="BM8" s="960">
        <f t="shared" si="25"/>
        <v>52</v>
      </c>
      <c r="BN8" s="960">
        <f t="shared" si="25"/>
        <v>53</v>
      </c>
      <c r="BO8" s="960">
        <f t="shared" si="25"/>
        <v>54</v>
      </c>
      <c r="BP8" s="960">
        <f t="shared" si="25"/>
        <v>55</v>
      </c>
      <c r="BQ8" s="960">
        <f t="shared" si="25"/>
        <v>56</v>
      </c>
      <c r="BR8" s="960">
        <f t="shared" si="25"/>
        <v>57</v>
      </c>
      <c r="BS8" s="960">
        <f t="shared" si="25"/>
        <v>58</v>
      </c>
      <c r="BT8" s="960">
        <f t="shared" si="25"/>
        <v>59</v>
      </c>
      <c r="BU8" s="960">
        <f t="shared" si="25"/>
        <v>60</v>
      </c>
      <c r="BV8" s="960">
        <f>비용집행계획!BQ4</f>
        <v>31</v>
      </c>
      <c r="BW8" s="960">
        <f>비용집행계획!BR4</f>
        <v>32</v>
      </c>
      <c r="BX8" s="960">
        <f>비용집행계획!BS4</f>
        <v>33</v>
      </c>
      <c r="BY8" s="962"/>
      <c r="BZ8" s="486"/>
    </row>
    <row r="9" spans="2:78" s="662" customFormat="1">
      <c r="B9" s="965" t="s">
        <v>1028</v>
      </c>
      <c r="C9" s="966"/>
      <c r="D9" s="966"/>
      <c r="E9" s="966"/>
      <c r="F9" s="964"/>
      <c r="G9" s="967"/>
      <c r="H9" s="968"/>
      <c r="I9" s="968" t="s">
        <v>1029</v>
      </c>
      <c r="J9" s="968" t="s">
        <v>1181</v>
      </c>
      <c r="K9" s="968" t="s">
        <v>1030</v>
      </c>
      <c r="L9" s="968"/>
      <c r="M9" s="968"/>
      <c r="N9" s="968" t="s">
        <v>1075</v>
      </c>
      <c r="O9" s="1870">
        <f>IF(O8=총괄장!$P$6,"준공",0)</f>
        <v>0</v>
      </c>
      <c r="P9" s="1870">
        <f>IF(P8=총괄장!$P$6,"준공",0)</f>
        <v>0</v>
      </c>
      <c r="Q9" s="1870">
        <f>IF(Q8=총괄장!$P$6,"준공",0)</f>
        <v>0</v>
      </c>
      <c r="R9" s="1870">
        <f>IF(R8=총괄장!$P$6,"준공",0)</f>
        <v>0</v>
      </c>
      <c r="S9" s="1870">
        <f>IF(S8=총괄장!$P$6,"준공",0)</f>
        <v>0</v>
      </c>
      <c r="T9" s="1870">
        <f>IF(T8=총괄장!$P$6,"준공",0)</f>
        <v>0</v>
      </c>
      <c r="U9" s="1870">
        <f>IF(U8=총괄장!$P$6,"준공",0)</f>
        <v>0</v>
      </c>
      <c r="V9" s="1870">
        <f>IF(V8=총괄장!$P$6,"준공",0)</f>
        <v>0</v>
      </c>
      <c r="W9" s="1870">
        <f>IF(W8=총괄장!$P$6,"준공",0)</f>
        <v>0</v>
      </c>
      <c r="X9" s="1870">
        <f>IF(X8=총괄장!$P$6,"준공",0)</f>
        <v>0</v>
      </c>
      <c r="Y9" s="1870">
        <f>IF(Y8=총괄장!$P$6,"준공",0)</f>
        <v>0</v>
      </c>
      <c r="Z9" s="1870">
        <f>IF(Z8=총괄장!$P$6,"준공",0)</f>
        <v>0</v>
      </c>
      <c r="AA9" s="1870">
        <f>IF(AA8=총괄장!$P$6,"준공",0)</f>
        <v>0</v>
      </c>
      <c r="AB9" s="1870">
        <f>IF(AB8=총괄장!$P$6,"준공",0)</f>
        <v>0</v>
      </c>
      <c r="AC9" s="1870">
        <f>IF(AC8=총괄장!$P$6,"준공",0)</f>
        <v>0</v>
      </c>
      <c r="AD9" s="1870">
        <f>IF(AD8=총괄장!$P$6,"준공",0)</f>
        <v>0</v>
      </c>
      <c r="AE9" s="1870">
        <f>IF(AE8=총괄장!$P$6,"준공",0)</f>
        <v>0</v>
      </c>
      <c r="AF9" s="1870">
        <f>IF(AF8=총괄장!$P$6,"준공",0)</f>
        <v>0</v>
      </c>
      <c r="AG9" s="1870">
        <f>IF(AG8=총괄장!$P$6,"준공",0)</f>
        <v>0</v>
      </c>
      <c r="AH9" s="1870">
        <f>IF(AH8=총괄장!$P$6,"준공",0)</f>
        <v>0</v>
      </c>
      <c r="AI9" s="1870">
        <f>IF(AI8=총괄장!$P$6,"준공",0)</f>
        <v>0</v>
      </c>
      <c r="AJ9" s="1870">
        <f>IF(AJ8=총괄장!$P$6,"준공",0)</f>
        <v>0</v>
      </c>
      <c r="AK9" s="1870">
        <f>IF(AK8=총괄장!$P$6,"준공",0)</f>
        <v>0</v>
      </c>
      <c r="AL9" s="1870">
        <f>IF(AL8=총괄장!$P$6,"준공",0)</f>
        <v>0</v>
      </c>
      <c r="AM9" s="1870">
        <f>IF(AM8=총괄장!$P$6,"준공",0)</f>
        <v>0</v>
      </c>
      <c r="AN9" s="1870">
        <f>IF(AN8=총괄장!$P$6,"준공",0)</f>
        <v>0</v>
      </c>
      <c r="AO9" s="1870">
        <f>IF(AO8=총괄장!$P$6,"준공",0)</f>
        <v>0</v>
      </c>
      <c r="AP9" s="1870">
        <f>IF(AP8=총괄장!$P$6,"준공",0)</f>
        <v>0</v>
      </c>
      <c r="AQ9" s="1870" t="str">
        <f>IF(AQ8=총괄장!$P$6,"준공",0)</f>
        <v>준공</v>
      </c>
      <c r="AR9" s="1870">
        <f>IF(AR8=총괄장!$P$6,"준공",0)</f>
        <v>0</v>
      </c>
      <c r="AS9" s="1870">
        <f>IF(AS8=총괄장!$P$6,"준공",0)</f>
        <v>0</v>
      </c>
      <c r="AT9" s="1870">
        <f>IF(AT8=총괄장!$P$6,"준공",0)</f>
        <v>0</v>
      </c>
      <c r="AU9" s="1870">
        <f>IF(AU8=총괄장!$P$6,"준공",0)</f>
        <v>0</v>
      </c>
      <c r="AV9" s="1870">
        <f>IF(AV8=총괄장!$P$6,"준공",0)</f>
        <v>0</v>
      </c>
      <c r="AW9" s="1870">
        <f>IF(AW8=총괄장!$P$6,"준공",0)</f>
        <v>0</v>
      </c>
      <c r="AX9" s="1870">
        <f>IF(AX8=총괄장!$P$6,"준공",0)</f>
        <v>0</v>
      </c>
      <c r="AY9" s="1870">
        <f>IF(AY8=총괄장!$P$6,"준공",0)</f>
        <v>0</v>
      </c>
      <c r="AZ9" s="1870">
        <f>IF(AZ8=총괄장!$P$6,"준공",0)</f>
        <v>0</v>
      </c>
      <c r="BA9" s="1870">
        <f>IF(BA8=총괄장!$P$6,"준공",0)</f>
        <v>0</v>
      </c>
      <c r="BB9" s="1870">
        <f>IF(BB8=총괄장!$P$6,"준공",0)</f>
        <v>0</v>
      </c>
      <c r="BC9" s="1870">
        <f>IF(BC8=총괄장!$P$6,"준공",0)</f>
        <v>0</v>
      </c>
      <c r="BD9" s="1870">
        <f>IF(BD8=총괄장!$P$6,"준공",0)</f>
        <v>0</v>
      </c>
      <c r="BE9" s="1870">
        <f>IF(BE8=총괄장!$P$6,"준공",0)</f>
        <v>0</v>
      </c>
      <c r="BF9" s="1870">
        <f>IF(BF8=총괄장!$P$6,"준공",0)</f>
        <v>0</v>
      </c>
      <c r="BG9" s="1870">
        <f>IF(BG8=총괄장!$P$6,"준공",0)</f>
        <v>0</v>
      </c>
      <c r="BH9" s="1870">
        <f>IF(BH8=총괄장!$P$6,"준공",0)</f>
        <v>0</v>
      </c>
      <c r="BI9" s="1870">
        <f>IF(BI8=총괄장!$P$6,"준공",0)</f>
        <v>0</v>
      </c>
      <c r="BJ9" s="1870">
        <f>IF(BJ8=총괄장!$P$6,"준공",0)</f>
        <v>0</v>
      </c>
      <c r="BK9" s="1870">
        <f>IF(BK8=총괄장!$P$6,"준공",0)</f>
        <v>0</v>
      </c>
      <c r="BL9" s="1870">
        <f>IF(BL8=총괄장!$P$6,"준공",0)</f>
        <v>0</v>
      </c>
      <c r="BM9" s="1870">
        <f>IF(BM8=총괄장!$P$6,"준공",0)</f>
        <v>0</v>
      </c>
      <c r="BN9" s="1870">
        <f>IF(BN8=총괄장!$P$6,"준공",0)</f>
        <v>0</v>
      </c>
      <c r="BO9" s="1870">
        <f>IF(BO8=총괄장!$P$6,"준공",0)</f>
        <v>0</v>
      </c>
      <c r="BP9" s="1870">
        <f>IF(BP8=총괄장!$P$6,"준공",0)</f>
        <v>0</v>
      </c>
      <c r="BQ9" s="1870">
        <f>IF(BQ8=총괄장!$P$6,"준공",0)</f>
        <v>0</v>
      </c>
      <c r="BR9" s="1870">
        <f>IF(BR8=총괄장!$P$6,"준공",0)</f>
        <v>0</v>
      </c>
      <c r="BS9" s="1870">
        <f>IF(BS8=총괄장!$P$6,"준공",0)</f>
        <v>0</v>
      </c>
      <c r="BT9" s="1870">
        <f>IF(BT8=총괄장!$P$6,"준공",0)</f>
        <v>0</v>
      </c>
      <c r="BU9" s="1870">
        <f>IF(BU8=총괄장!$P$6,"준공",0)</f>
        <v>0</v>
      </c>
      <c r="BV9" s="1907"/>
      <c r="BW9" s="1907"/>
      <c r="BX9" s="1907"/>
      <c r="BY9" s="969"/>
      <c r="BZ9" s="1908">
        <f>SUM(BV9:BX9)</f>
        <v>0</v>
      </c>
    </row>
    <row r="10" spans="2:78" s="970" customFormat="1" ht="15.6">
      <c r="L10" s="970" t="str">
        <f t="shared" ref="L10:N10" si="26">IF(L9=0,"",L9)</f>
        <v/>
      </c>
      <c r="M10" s="970" t="str">
        <f t="shared" si="26"/>
        <v/>
      </c>
      <c r="N10" s="970" t="str">
        <f t="shared" si="26"/>
        <v>착공/분양</v>
      </c>
      <c r="O10" s="1699" t="str">
        <f>IFERROR(IF(O8=$N$8+Equity!$G$27,1,IF(O8=$N$8+Equity!$G$27+Equity!$E$27,2,IF(O8=$N$8+Equity!$G$27+Equity!$E$27+Equity!$E$27,3,IF(O8=$N$8+Equity!$G$27+Equity!$E$27+Equity!$E$27+Equity!$E$27,4,IF(O8=$N$8+Equity!$G$27+Equity!$E$27+Equity!$E$27+Equity!$E$27+Equity!$E$27,5,IF(O8=$N$8+Equity!$G$27+Equity!$E$27+Equity!$E$27+Equity!$E$27+Equity!$E$27+Equity!$E$27,6,"")))))),"")</f>
        <v/>
      </c>
      <c r="P10" s="1699" t="str">
        <f>IFERROR(IF(P8=$N$8+Equity!$G$27,1,IF(P8=$N$8+Equity!$G$27+Equity!$E$27,2,IF(P8=$N$8+Equity!$G$27+Equity!$E$27+Equity!$E$27,3,IF(P8=$N$8+Equity!$G$27+Equity!$E$27+Equity!$E$27+Equity!$E$27,4,IF(P8=$N$8+Equity!$G$27+Equity!$E$27+Equity!$E$27+Equity!$E$27+Equity!$E$27,5,IF(P8=$N$8+Equity!$G$27+Equity!$E$27+Equity!$E$27+Equity!$E$27+Equity!$E$27+Equity!$E$27,6,"")))))),"")</f>
        <v/>
      </c>
      <c r="Q10" s="1699" t="str">
        <f>IFERROR(IF(Q8=$N$8+Equity!$G$27,1,IF(Q8=$N$8+Equity!$G$27+Equity!$E$27,2,IF(Q8=$N$8+Equity!$G$27+Equity!$E$27+Equity!$E$27,3,IF(Q8=$N$8+Equity!$G$27+Equity!$E$27+Equity!$E$27+Equity!$E$27,4,IF(Q8=$N$8+Equity!$G$27+Equity!$E$27+Equity!$E$27+Equity!$E$27+Equity!$E$27,5,IF(Q8=$N$8+Equity!$G$27+Equity!$E$27+Equity!$E$27+Equity!$E$27+Equity!$E$27+Equity!$E$27,6,"")))))),"")</f>
        <v/>
      </c>
      <c r="R10" s="1699">
        <f>IFERROR(IF(R8=$N$8+Equity!$G$27,1,IF(R8=$N$8+Equity!$G$27+Equity!$E$27,2,IF(R8=$N$8+Equity!$G$27+Equity!$E$27+Equity!$E$27,3,IF(R8=$N$8+Equity!$G$27+Equity!$E$27+Equity!$E$27+Equity!$E$27,4,IF(R8=$N$8+Equity!$G$27+Equity!$E$27+Equity!$E$27+Equity!$E$27+Equity!$E$27,5,IF(R8=$N$8+Equity!$G$27+Equity!$E$27+Equity!$E$27+Equity!$E$27+Equity!$E$27+Equity!$E$27,6,"")))))),"")</f>
        <v>1</v>
      </c>
      <c r="S10" s="1699" t="str">
        <f>IFERROR(IF(S8=$N$8+Equity!$G$27,1,IF(S8=$N$8+Equity!$G$27+Equity!$E$27,2,IF(S8=$N$8+Equity!$G$27+Equity!$E$27+Equity!$E$27,3,IF(S8=$N$8+Equity!$G$27+Equity!$E$27+Equity!$E$27+Equity!$E$27,4,IF(S8=$N$8+Equity!$G$27+Equity!$E$27+Equity!$E$27+Equity!$E$27+Equity!$E$27,5,IF(S8=$N$8+Equity!$G$27+Equity!$E$27+Equity!$E$27+Equity!$E$27+Equity!$E$27+Equity!$E$27,6,"")))))),"")</f>
        <v/>
      </c>
      <c r="T10" s="1699" t="str">
        <f>IFERROR(IF(T8=$N$8+Equity!$G$27,1,IF(T8=$N$8+Equity!$G$27+Equity!$E$27,2,IF(T8=$N$8+Equity!$G$27+Equity!$E$27+Equity!$E$27,3,IF(T8=$N$8+Equity!$G$27+Equity!$E$27+Equity!$E$27+Equity!$E$27,4,IF(T8=$N$8+Equity!$G$27+Equity!$E$27+Equity!$E$27+Equity!$E$27+Equity!$E$27,5,IF(T8=$N$8+Equity!$G$27+Equity!$E$27+Equity!$E$27+Equity!$E$27+Equity!$E$27+Equity!$E$27,6,"")))))),"")</f>
        <v/>
      </c>
      <c r="U10" s="1699" t="str">
        <f>IFERROR(IF(U8=$N$8+Equity!$G$27,1,IF(U8=$N$8+Equity!$G$27+Equity!$E$27,2,IF(U8=$N$8+Equity!$G$27+Equity!$E$27+Equity!$E$27,3,IF(U8=$N$8+Equity!$G$27+Equity!$E$27+Equity!$E$27+Equity!$E$27,4,IF(U8=$N$8+Equity!$G$27+Equity!$E$27+Equity!$E$27+Equity!$E$27+Equity!$E$27,5,IF(U8=$N$8+Equity!$G$27+Equity!$E$27+Equity!$E$27+Equity!$E$27+Equity!$E$27+Equity!$E$27,6,"")))))),"")</f>
        <v/>
      </c>
      <c r="V10" s="1699">
        <f>IFERROR(IF(V8=$N$8+Equity!$G$27,1,IF(V8=$N$8+Equity!$G$27+Equity!$E$27,2,IF(V8=$N$8+Equity!$G$27+Equity!$E$27+Equity!$E$27,3,IF(V8=$N$8+Equity!$G$27+Equity!$E$27+Equity!$E$27+Equity!$E$27,4,IF(V8=$N$8+Equity!$G$27+Equity!$E$27+Equity!$E$27+Equity!$E$27+Equity!$E$27,5,IF(V8=$N$8+Equity!$G$27+Equity!$E$27+Equity!$E$27+Equity!$E$27+Equity!$E$27+Equity!$E$27,6,"")))))),"")</f>
        <v>2</v>
      </c>
      <c r="W10" s="1699" t="str">
        <f>IFERROR(IF(W8=$N$8+Equity!$G$27,1,IF(W8=$N$8+Equity!$G$27+Equity!$E$27,2,IF(W8=$N$8+Equity!$G$27+Equity!$E$27+Equity!$E$27,3,IF(W8=$N$8+Equity!$G$27+Equity!$E$27+Equity!$E$27+Equity!$E$27,4,IF(W8=$N$8+Equity!$G$27+Equity!$E$27+Equity!$E$27+Equity!$E$27+Equity!$E$27,5,IF(W8=$N$8+Equity!$G$27+Equity!$E$27+Equity!$E$27+Equity!$E$27+Equity!$E$27+Equity!$E$27,6,"")))))),"")</f>
        <v/>
      </c>
      <c r="X10" s="1699" t="str">
        <f>IFERROR(IF(X8=$N$8+Equity!$G$27,1,IF(X8=$N$8+Equity!$G$27+Equity!$E$27,2,IF(X8=$N$8+Equity!$G$27+Equity!$E$27+Equity!$E$27,3,IF(X8=$N$8+Equity!$G$27+Equity!$E$27+Equity!$E$27+Equity!$E$27,4,IF(X8=$N$8+Equity!$G$27+Equity!$E$27+Equity!$E$27+Equity!$E$27+Equity!$E$27,5,IF(X8=$N$8+Equity!$G$27+Equity!$E$27+Equity!$E$27+Equity!$E$27+Equity!$E$27+Equity!$E$27,6,"")))))),"")</f>
        <v/>
      </c>
      <c r="Y10" s="1699" t="str">
        <f>IFERROR(IF(Y8=$N$8+Equity!$G$27,1,IF(Y8=$N$8+Equity!$G$27+Equity!$E$27,2,IF(Y8=$N$8+Equity!$G$27+Equity!$E$27+Equity!$E$27,3,IF(Y8=$N$8+Equity!$G$27+Equity!$E$27+Equity!$E$27+Equity!$E$27,4,IF(Y8=$N$8+Equity!$G$27+Equity!$E$27+Equity!$E$27+Equity!$E$27+Equity!$E$27,5,IF(Y8=$N$8+Equity!$G$27+Equity!$E$27+Equity!$E$27+Equity!$E$27+Equity!$E$27+Equity!$E$27,6,"")))))),"")</f>
        <v/>
      </c>
      <c r="Z10" s="1699">
        <f>IFERROR(IF(Z8=$N$8+Equity!$G$27,1,IF(Z8=$N$8+Equity!$G$27+Equity!$E$27,2,IF(Z8=$N$8+Equity!$G$27+Equity!$E$27+Equity!$E$27,3,IF(Z8=$N$8+Equity!$G$27+Equity!$E$27+Equity!$E$27+Equity!$E$27,4,IF(Z8=$N$8+Equity!$G$27+Equity!$E$27+Equity!$E$27+Equity!$E$27+Equity!$E$27,5,IF(Z8=$N$8+Equity!$G$27+Equity!$E$27+Equity!$E$27+Equity!$E$27+Equity!$E$27+Equity!$E$27,6,"")))))),"")</f>
        <v>3</v>
      </c>
      <c r="AA10" s="1699" t="str">
        <f>IFERROR(IF(AA8=$N$8+Equity!$G$27,1,IF(AA8=$N$8+Equity!$G$27+Equity!$E$27,2,IF(AA8=$N$8+Equity!$G$27+Equity!$E$27+Equity!$E$27,3,IF(AA8=$N$8+Equity!$G$27+Equity!$E$27+Equity!$E$27+Equity!$E$27,4,IF(AA8=$N$8+Equity!$G$27+Equity!$E$27+Equity!$E$27+Equity!$E$27+Equity!$E$27,5,IF(AA8=$N$8+Equity!$G$27+Equity!$E$27+Equity!$E$27+Equity!$E$27+Equity!$E$27+Equity!$E$27,6,"")))))),"")</f>
        <v/>
      </c>
      <c r="AB10" s="1699" t="str">
        <f>IFERROR(IF(AB8=$N$8+Equity!$G$27,1,IF(AB8=$N$8+Equity!$G$27+Equity!$E$27,2,IF(AB8=$N$8+Equity!$G$27+Equity!$E$27+Equity!$E$27,3,IF(AB8=$N$8+Equity!$G$27+Equity!$E$27+Equity!$E$27+Equity!$E$27,4,IF(AB8=$N$8+Equity!$G$27+Equity!$E$27+Equity!$E$27+Equity!$E$27+Equity!$E$27,5,IF(AB8=$N$8+Equity!$G$27+Equity!$E$27+Equity!$E$27+Equity!$E$27+Equity!$E$27+Equity!$E$27,6,"")))))),"")</f>
        <v/>
      </c>
      <c r="AC10" s="1699" t="str">
        <f>IFERROR(IF(AC8=$N$8+Equity!$G$27,1,IF(AC8=$N$8+Equity!$G$27+Equity!$E$27,2,IF(AC8=$N$8+Equity!$G$27+Equity!$E$27+Equity!$E$27,3,IF(AC8=$N$8+Equity!$G$27+Equity!$E$27+Equity!$E$27+Equity!$E$27,4,IF(AC8=$N$8+Equity!$G$27+Equity!$E$27+Equity!$E$27+Equity!$E$27+Equity!$E$27,5,IF(AC8=$N$8+Equity!$G$27+Equity!$E$27+Equity!$E$27+Equity!$E$27+Equity!$E$27+Equity!$E$27,6,"")))))),"")</f>
        <v/>
      </c>
      <c r="AD10" s="1699">
        <f>IFERROR(IF(AD8=$N$8+Equity!$G$27,1,IF(AD8=$N$8+Equity!$G$27+Equity!$E$27,2,IF(AD8=$N$8+Equity!$G$27+Equity!$E$27+Equity!$E$27,3,IF(AD8=$N$8+Equity!$G$27+Equity!$E$27+Equity!$E$27+Equity!$E$27,4,IF(AD8=$N$8+Equity!$G$27+Equity!$E$27+Equity!$E$27+Equity!$E$27+Equity!$E$27,5,IF(AD8=$N$8+Equity!$G$27+Equity!$E$27+Equity!$E$27+Equity!$E$27+Equity!$E$27+Equity!$E$27,6,"")))))),"")</f>
        <v>4</v>
      </c>
      <c r="AE10" s="1699" t="str">
        <f>IFERROR(IF(AE8=$N$8+Equity!$G$27,1,IF(AE8=$N$8+Equity!$G$27+Equity!$E$27,2,IF(AE8=$N$8+Equity!$G$27+Equity!$E$27+Equity!$E$27,3,IF(AE8=$N$8+Equity!$G$27+Equity!$E$27+Equity!$E$27+Equity!$E$27,4,IF(AE8=$N$8+Equity!$G$27+Equity!$E$27+Equity!$E$27+Equity!$E$27+Equity!$E$27,5,IF(AE8=$N$8+Equity!$G$27+Equity!$E$27+Equity!$E$27+Equity!$E$27+Equity!$E$27+Equity!$E$27,6,"")))))),"")</f>
        <v/>
      </c>
      <c r="AF10" s="1699" t="str">
        <f>IFERROR(IF(AF8=$N$8+Equity!$G$27,1,IF(AF8=$N$8+Equity!$G$27+Equity!$E$27,2,IF(AF8=$N$8+Equity!$G$27+Equity!$E$27+Equity!$E$27,3,IF(AF8=$N$8+Equity!$G$27+Equity!$E$27+Equity!$E$27+Equity!$E$27,4,IF(AF8=$N$8+Equity!$G$27+Equity!$E$27+Equity!$E$27+Equity!$E$27+Equity!$E$27,5,IF(AF8=$N$8+Equity!$G$27+Equity!$E$27+Equity!$E$27+Equity!$E$27+Equity!$E$27+Equity!$E$27,6,"")))))),"")</f>
        <v/>
      </c>
      <c r="AG10" s="1699" t="str">
        <f>IFERROR(IF(AG8=$N$8+Equity!$G$27,1,IF(AG8=$N$8+Equity!$G$27+Equity!$E$27,2,IF(AG8=$N$8+Equity!$G$27+Equity!$E$27+Equity!$E$27,3,IF(AG8=$N$8+Equity!$G$27+Equity!$E$27+Equity!$E$27+Equity!$E$27,4,IF(AG8=$N$8+Equity!$G$27+Equity!$E$27+Equity!$E$27+Equity!$E$27+Equity!$E$27,5,IF(AG8=$N$8+Equity!$G$27+Equity!$E$27+Equity!$E$27+Equity!$E$27+Equity!$E$27+Equity!$E$27,6,"")))))),"")</f>
        <v/>
      </c>
      <c r="AH10" s="1699">
        <f>IFERROR(IF(AH8=$N$8+Equity!$G$27,1,IF(AH8=$N$8+Equity!$G$27+Equity!$E$27,2,IF(AH8=$N$8+Equity!$G$27+Equity!$E$27+Equity!$E$27,3,IF(AH8=$N$8+Equity!$G$27+Equity!$E$27+Equity!$E$27+Equity!$E$27,4,IF(AH8=$N$8+Equity!$G$27+Equity!$E$27+Equity!$E$27+Equity!$E$27+Equity!$E$27,5,IF(AH8=$N$8+Equity!$G$27+Equity!$E$27+Equity!$E$27+Equity!$E$27+Equity!$E$27+Equity!$E$27,6,"")))))),"")</f>
        <v>5</v>
      </c>
      <c r="AI10" s="1699" t="str">
        <f>IFERROR(IF(AI8=$N$8+Equity!$G$27,1,IF(AI8=$N$8+Equity!$G$27+Equity!$E$27,2,IF(AI8=$N$8+Equity!$G$27+Equity!$E$27+Equity!$E$27,3,IF(AI8=$N$8+Equity!$G$27+Equity!$E$27+Equity!$E$27+Equity!$E$27,4,IF(AI8=$N$8+Equity!$G$27+Equity!$E$27+Equity!$E$27+Equity!$E$27+Equity!$E$27,5,IF(AI8=$N$8+Equity!$G$27+Equity!$E$27+Equity!$E$27+Equity!$E$27+Equity!$E$27+Equity!$E$27,6,"")))))),"")</f>
        <v/>
      </c>
      <c r="AJ10" s="1699" t="str">
        <f>IFERROR(IF(AJ8=$N$8+Equity!$G$27,1,IF(AJ8=$N$8+Equity!$G$27+Equity!$E$27,2,IF(AJ8=$N$8+Equity!$G$27+Equity!$E$27+Equity!$E$27,3,IF(AJ8=$N$8+Equity!$G$27+Equity!$E$27+Equity!$E$27+Equity!$E$27,4,IF(AJ8=$N$8+Equity!$G$27+Equity!$E$27+Equity!$E$27+Equity!$E$27+Equity!$E$27,5,IF(AJ8=$N$8+Equity!$G$27+Equity!$E$27+Equity!$E$27+Equity!$E$27+Equity!$E$27+Equity!$E$27,6,"")))))),"")</f>
        <v/>
      </c>
      <c r="AK10" s="1699" t="str">
        <f>IFERROR(IF(AK8=$N$8+Equity!$G$27,1,IF(AK8=$N$8+Equity!$G$27+Equity!$E$27,2,IF(AK8=$N$8+Equity!$G$27+Equity!$E$27+Equity!$E$27,3,IF(AK8=$N$8+Equity!$G$27+Equity!$E$27+Equity!$E$27+Equity!$E$27,4,IF(AK8=$N$8+Equity!$G$27+Equity!$E$27+Equity!$E$27+Equity!$E$27+Equity!$E$27,5,IF(AK8=$N$8+Equity!$G$27+Equity!$E$27+Equity!$E$27+Equity!$E$27+Equity!$E$27+Equity!$E$27,6,"")))))),"")</f>
        <v/>
      </c>
      <c r="AL10" s="1699">
        <f>IFERROR(IF(AL8=$N$8+Equity!$G$27,1,IF(AL8=$N$8+Equity!$G$27+Equity!$E$27,2,IF(AL8=$N$8+Equity!$G$27+Equity!$E$27+Equity!$E$27,3,IF(AL8=$N$8+Equity!$G$27+Equity!$E$27+Equity!$E$27+Equity!$E$27,4,IF(AL8=$N$8+Equity!$G$27+Equity!$E$27+Equity!$E$27+Equity!$E$27+Equity!$E$27,5,IF(AL8=$N$8+Equity!$G$27+Equity!$E$27+Equity!$E$27+Equity!$E$27+Equity!$E$27+Equity!$E$27,6,"")))))),"")</f>
        <v>6</v>
      </c>
      <c r="AM10" s="1699" t="str">
        <f>IFERROR(IF(AM8=$N$8+Equity!$G$27,1,IF(AM8=$N$8+Equity!$G$27+Equity!$E$27,2,IF(AM8=$N$8+Equity!$G$27+Equity!$E$27+Equity!$E$27,3,IF(AM8=$N$8+Equity!$G$27+Equity!$E$27+Equity!$E$27+Equity!$E$27,4,IF(AM8=$N$8+Equity!$G$27+Equity!$E$27+Equity!$E$27+Equity!$E$27+Equity!$E$27,5,IF(AM8=$N$8+Equity!$G$27+Equity!$E$27+Equity!$E$27+Equity!$E$27+Equity!$E$27+Equity!$E$27,6,"")))))),"")</f>
        <v/>
      </c>
      <c r="AN10" s="1699" t="str">
        <f>IFERROR(IF(AN8=$N$8+Equity!$G$27,1,IF(AN8=$N$8+Equity!$G$27+Equity!$E$27,2,IF(AN8=$N$8+Equity!$G$27+Equity!$E$27+Equity!$E$27,3,IF(AN8=$N$8+Equity!$G$27+Equity!$E$27+Equity!$E$27+Equity!$E$27,4,IF(AN8=$N$8+Equity!$G$27+Equity!$E$27+Equity!$E$27+Equity!$E$27+Equity!$E$27,5,IF(AN8=$N$8+Equity!$G$27+Equity!$E$27+Equity!$E$27+Equity!$E$27+Equity!$E$27+Equity!$E$27,6,"")))))),"")</f>
        <v/>
      </c>
      <c r="AO10" s="1699" t="str">
        <f>IFERROR(IF(AO8=$N$8+Equity!$G$27,1,IF(AO8=$N$8+Equity!$G$27+Equity!$E$27,2,IF(AO8=$N$8+Equity!$G$27+Equity!$E$27+Equity!$E$27,3,IF(AO8=$N$8+Equity!$G$27+Equity!$E$27+Equity!$E$27+Equity!$E$27,4,IF(AO8=$N$8+Equity!$G$27+Equity!$E$27+Equity!$E$27+Equity!$E$27+Equity!$E$27,5,IF(AO8=$N$8+Equity!$G$27+Equity!$E$27+Equity!$E$27+Equity!$E$27+Equity!$E$27+Equity!$E$27,6,"")))))),"")</f>
        <v/>
      </c>
      <c r="AP10" s="1699" t="str">
        <f>IFERROR(IF(AP8=$N$8+Equity!$G$27,1,IF(AP8=$N$8+Equity!$G$27+Equity!$E$27,2,IF(AP8=$N$8+Equity!$G$27+Equity!$E$27+Equity!$E$27,3,IF(AP8=$N$8+Equity!$G$27+Equity!$E$27+Equity!$E$27+Equity!$E$27,4,IF(AP8=$N$8+Equity!$G$27+Equity!$E$27+Equity!$E$27+Equity!$E$27+Equity!$E$27,5,IF(AP8=$N$8+Equity!$G$27+Equity!$E$27+Equity!$E$27+Equity!$E$27+Equity!$E$27+Equity!$E$27,6,"")))))),"")</f>
        <v/>
      </c>
      <c r="AQ10" s="1699" t="str">
        <f>IFERROR(IF(AQ8=$N$8+Equity!$G$27,1,IF(AQ8=$N$8+Equity!$G$27+Equity!$E$27,2,IF(AQ8=$N$8+Equity!$G$27+Equity!$E$27+Equity!$E$27,3,IF(AQ8=$N$8+Equity!$G$27+Equity!$E$27+Equity!$E$27+Equity!$E$27,4,IF(AQ8=$N$8+Equity!$G$27+Equity!$E$27+Equity!$E$27+Equity!$E$27+Equity!$E$27,5,IF(AQ8=$N$8+Equity!$G$27+Equity!$E$27+Equity!$E$27+Equity!$E$27+Equity!$E$27+Equity!$E$27,6,"")))))),"")</f>
        <v/>
      </c>
      <c r="AR10" s="1699" t="str">
        <f>IFERROR(IF(AR8=$N$8+Equity!$G$27,1,IF(AR8=$N$8+Equity!$G$27+Equity!$E$27,2,IF(AR8=$N$8+Equity!$G$27+Equity!$E$27+Equity!$E$27,3,IF(AR8=$N$8+Equity!$G$27+Equity!$E$27+Equity!$E$27+Equity!$E$27,4,IF(AR8=$N$8+Equity!$G$27+Equity!$E$27+Equity!$E$27+Equity!$E$27+Equity!$E$27,5,IF(AR8=$N$8+Equity!$G$27+Equity!$E$27+Equity!$E$27+Equity!$E$27+Equity!$E$27+Equity!$E$27,6,"")))))),"")</f>
        <v/>
      </c>
      <c r="AS10" s="1699" t="str">
        <f>IFERROR(IF(AS8=$N$8+Equity!$G$27,1,IF(AS8=$N$8+Equity!$G$27+Equity!$E$27,2,IF(AS8=$N$8+Equity!$G$27+Equity!$E$27+Equity!$E$27,3,IF(AS8=$N$8+Equity!$G$27+Equity!$E$27+Equity!$E$27+Equity!$E$27,4,IF(AS8=$N$8+Equity!$G$27+Equity!$E$27+Equity!$E$27+Equity!$E$27+Equity!$E$27,5,IF(AS8=$N$8+Equity!$G$27+Equity!$E$27+Equity!$E$27+Equity!$E$27+Equity!$E$27+Equity!$E$27,6,"")))))),"")</f>
        <v/>
      </c>
      <c r="AT10" s="1699" t="str">
        <f>IFERROR(IF(AT8=$N$8+Equity!$G$27,1,IF(AT8=$N$8+Equity!$G$27+Equity!$E$27,2,IF(AT8=$N$8+Equity!$G$27+Equity!$E$27+Equity!$E$27,3,IF(AT8=$N$8+Equity!$G$27+Equity!$E$27+Equity!$E$27+Equity!$E$27,4,IF(AT8=$N$8+Equity!$G$27+Equity!$E$27+Equity!$E$27+Equity!$E$27+Equity!$E$27,5,IF(AT8=$N$8+Equity!$G$27+Equity!$E$27+Equity!$E$27+Equity!$E$27+Equity!$E$27+Equity!$E$27,6,"")))))),"")</f>
        <v/>
      </c>
      <c r="AU10" s="1699" t="str">
        <f>IFERROR(IF(AU8=$N$8+Equity!$G$27,1,IF(AU8=$N$8+Equity!$G$27+Equity!$E$27,2,IF(AU8=$N$8+Equity!$G$27+Equity!$E$27+Equity!$E$27,3,IF(AU8=$N$8+Equity!$G$27+Equity!$E$27+Equity!$E$27+Equity!$E$27,4,IF(AU8=$N$8+Equity!$G$27+Equity!$E$27+Equity!$E$27+Equity!$E$27+Equity!$E$27,5,IF(AU8=$N$8+Equity!$G$27+Equity!$E$27+Equity!$E$27+Equity!$E$27+Equity!$E$27+Equity!$E$27,6,"")))))),"")</f>
        <v/>
      </c>
      <c r="AV10" s="1699" t="str">
        <f>IFERROR(IF(AV8=$N$8+Equity!$G$27,1,IF(AV8=$N$8+Equity!$G$27+Equity!$E$27,2,IF(AV8=$N$8+Equity!$G$27+Equity!$E$27+Equity!$E$27,3,IF(AV8=$N$8+Equity!$G$27+Equity!$E$27+Equity!$E$27+Equity!$E$27,4,IF(AV8=$N$8+Equity!$G$27+Equity!$E$27+Equity!$E$27+Equity!$E$27+Equity!$E$27,5,IF(AV8=$N$8+Equity!$G$27+Equity!$E$27+Equity!$E$27+Equity!$E$27+Equity!$E$27+Equity!$E$27,6,"")))))),"")</f>
        <v/>
      </c>
      <c r="AW10" s="1699" t="str">
        <f>IFERROR(IF(AW8=$N$8+Equity!$G$27,1,IF(AW8=$N$8+Equity!$G$27+Equity!$E$27,2,IF(AW8=$N$8+Equity!$G$27+Equity!$E$27+Equity!$E$27,3,IF(AW8=$N$8+Equity!$G$27+Equity!$E$27+Equity!$E$27+Equity!$E$27,4,IF(AW8=$N$8+Equity!$G$27+Equity!$E$27+Equity!$E$27+Equity!$E$27+Equity!$E$27,5,IF(AW8=$N$8+Equity!$G$27+Equity!$E$27+Equity!$E$27+Equity!$E$27+Equity!$E$27+Equity!$E$27,6,"")))))),"")</f>
        <v/>
      </c>
      <c r="AX10" s="1699" t="str">
        <f>IFERROR(IF(AX8=$N$8+Equity!$G$27,1,IF(AX8=$N$8+Equity!$G$27+Equity!$E$27,2,IF(AX8=$N$8+Equity!$G$27+Equity!$E$27+Equity!$E$27,3,IF(AX8=$N$8+Equity!$G$27+Equity!$E$27+Equity!$E$27+Equity!$E$27,4,IF(AX8=$N$8+Equity!$G$27+Equity!$E$27+Equity!$E$27+Equity!$E$27+Equity!$E$27,5,IF(AX8=$N$8+Equity!$G$27+Equity!$E$27+Equity!$E$27+Equity!$E$27+Equity!$E$27+Equity!$E$27,6,"")))))),"")</f>
        <v/>
      </c>
      <c r="AY10" s="1699" t="str">
        <f>IFERROR(IF(AY8=$N$8+Equity!$G$27,1,IF(AY8=$N$8+Equity!$G$27+Equity!$E$27,2,IF(AY8=$N$8+Equity!$G$27+Equity!$E$27+Equity!$E$27,3,IF(AY8=$N$8+Equity!$G$27+Equity!$E$27+Equity!$E$27+Equity!$E$27,4,IF(AY8=$N$8+Equity!$G$27+Equity!$E$27+Equity!$E$27+Equity!$E$27+Equity!$E$27,5,IF(AY8=$N$8+Equity!$G$27+Equity!$E$27+Equity!$E$27+Equity!$E$27+Equity!$E$27+Equity!$E$27,6,"")))))),"")</f>
        <v/>
      </c>
      <c r="AZ10" s="1699" t="str">
        <f>IFERROR(IF(AZ8=$N$8+Equity!$G$27,1,IF(AZ8=$N$8+Equity!$G$27+Equity!$E$27,2,IF(AZ8=$N$8+Equity!$G$27+Equity!$E$27+Equity!$E$27,3,IF(AZ8=$N$8+Equity!$G$27+Equity!$E$27+Equity!$E$27+Equity!$E$27,4,IF(AZ8=$N$8+Equity!$G$27+Equity!$E$27+Equity!$E$27+Equity!$E$27+Equity!$E$27,5,IF(AZ8=$N$8+Equity!$G$27+Equity!$E$27+Equity!$E$27+Equity!$E$27+Equity!$E$27+Equity!$E$27,6,"")))))),"")</f>
        <v/>
      </c>
      <c r="BA10" s="1699" t="str">
        <f>IFERROR(IF(BA8=$N$8+Equity!$G$27,1,IF(BA8=$N$8+Equity!$G$27+Equity!$E$27,2,IF(BA8=$N$8+Equity!$G$27+Equity!$E$27+Equity!$E$27,3,IF(BA8=$N$8+Equity!$G$27+Equity!$E$27+Equity!$E$27+Equity!$E$27,4,IF(BA8=$N$8+Equity!$G$27+Equity!$E$27+Equity!$E$27+Equity!$E$27+Equity!$E$27,5,IF(BA8=$N$8+Equity!$G$27+Equity!$E$27+Equity!$E$27+Equity!$E$27+Equity!$E$27+Equity!$E$27,6,"")))))),"")</f>
        <v/>
      </c>
      <c r="BB10" s="1699" t="str">
        <f>IFERROR(IF(BB8=$N$8+Equity!$G$27,1,IF(BB8=$N$8+Equity!$G$27+Equity!$E$27,2,IF(BB8=$N$8+Equity!$G$27+Equity!$E$27+Equity!$E$27,3,IF(BB8=$N$8+Equity!$G$27+Equity!$E$27+Equity!$E$27+Equity!$E$27,4,IF(BB8=$N$8+Equity!$G$27+Equity!$E$27+Equity!$E$27+Equity!$E$27+Equity!$E$27,5,IF(BB8=$N$8+Equity!$G$27+Equity!$E$27+Equity!$E$27+Equity!$E$27+Equity!$E$27+Equity!$E$27,6,"")))))),"")</f>
        <v/>
      </c>
      <c r="BC10" s="1699" t="str">
        <f>IFERROR(IF(BC8=$N$8+Equity!$G$27,1,IF(BC8=$N$8+Equity!$G$27+Equity!$E$27,2,IF(BC8=$N$8+Equity!$G$27+Equity!$E$27+Equity!$E$27,3,IF(BC8=$N$8+Equity!$G$27+Equity!$E$27+Equity!$E$27+Equity!$E$27,4,IF(BC8=$N$8+Equity!$G$27+Equity!$E$27+Equity!$E$27+Equity!$E$27+Equity!$E$27,5,IF(BC8=$N$8+Equity!$G$27+Equity!$E$27+Equity!$E$27+Equity!$E$27+Equity!$E$27+Equity!$E$27,6,"")))))),"")</f>
        <v/>
      </c>
      <c r="BD10" s="1699" t="str">
        <f>IFERROR(IF(BD8=$N$8+Equity!$G$27,1,IF(BD8=$N$8+Equity!$G$27+Equity!$E$27,2,IF(BD8=$N$8+Equity!$G$27+Equity!$E$27+Equity!$E$27,3,IF(BD8=$N$8+Equity!$G$27+Equity!$E$27+Equity!$E$27+Equity!$E$27,4,IF(BD8=$N$8+Equity!$G$27+Equity!$E$27+Equity!$E$27+Equity!$E$27+Equity!$E$27,5,IF(BD8=$N$8+Equity!$G$27+Equity!$E$27+Equity!$E$27+Equity!$E$27+Equity!$E$27+Equity!$E$27,6,"")))))),"")</f>
        <v/>
      </c>
      <c r="BE10" s="1699" t="str">
        <f>IFERROR(IF(BE8=$N$8+Equity!$G$27,1,IF(BE8=$N$8+Equity!$G$27+Equity!$E$27,2,IF(BE8=$N$8+Equity!$G$27+Equity!$E$27+Equity!$E$27,3,IF(BE8=$N$8+Equity!$G$27+Equity!$E$27+Equity!$E$27+Equity!$E$27,4,IF(BE8=$N$8+Equity!$G$27+Equity!$E$27+Equity!$E$27+Equity!$E$27+Equity!$E$27,5,IF(BE8=$N$8+Equity!$G$27+Equity!$E$27+Equity!$E$27+Equity!$E$27+Equity!$E$27+Equity!$E$27,6,"")))))),"")</f>
        <v/>
      </c>
      <c r="BF10" s="1699" t="str">
        <f>IFERROR(IF(BF8=$N$8+Equity!$G$27,1,IF(BF8=$N$8+Equity!$G$27+Equity!$E$27,2,IF(BF8=$N$8+Equity!$G$27+Equity!$E$27+Equity!$E$27,3,IF(BF8=$N$8+Equity!$G$27+Equity!$E$27+Equity!$E$27+Equity!$E$27,4,IF(BF8=$N$8+Equity!$G$27+Equity!$E$27+Equity!$E$27+Equity!$E$27+Equity!$E$27,5,IF(BF8=$N$8+Equity!$G$27+Equity!$E$27+Equity!$E$27+Equity!$E$27+Equity!$E$27+Equity!$E$27,6,"")))))),"")</f>
        <v/>
      </c>
      <c r="BG10" s="1699" t="str">
        <f>IFERROR(IF(BG8=$N$8+Equity!$G$27,1,IF(BG8=$N$8+Equity!$G$27+Equity!$E$27,2,IF(BG8=$N$8+Equity!$G$27+Equity!$E$27+Equity!$E$27,3,IF(BG8=$N$8+Equity!$G$27+Equity!$E$27+Equity!$E$27+Equity!$E$27,4,IF(BG8=$N$8+Equity!$G$27+Equity!$E$27+Equity!$E$27+Equity!$E$27+Equity!$E$27,5,IF(BG8=$N$8+Equity!$G$27+Equity!$E$27+Equity!$E$27+Equity!$E$27+Equity!$E$27+Equity!$E$27,6,"")))))),"")</f>
        <v/>
      </c>
      <c r="BH10" s="1699" t="str">
        <f>IFERROR(IF(BH8=$N$8+Equity!$G$27,1,IF(BH8=$N$8+Equity!$G$27+Equity!$E$27,2,IF(BH8=$N$8+Equity!$G$27+Equity!$E$27+Equity!$E$27,3,IF(BH8=$N$8+Equity!$G$27+Equity!$E$27+Equity!$E$27+Equity!$E$27,4,IF(BH8=$N$8+Equity!$G$27+Equity!$E$27+Equity!$E$27+Equity!$E$27+Equity!$E$27,5,IF(BH8=$N$8+Equity!$G$27+Equity!$E$27+Equity!$E$27+Equity!$E$27+Equity!$E$27+Equity!$E$27,6,"")))))),"")</f>
        <v/>
      </c>
      <c r="BI10" s="1699" t="str">
        <f>IFERROR(IF(BI8=$N$8+Equity!$G$27,1,IF(BI8=$N$8+Equity!$G$27+Equity!$E$27,2,IF(BI8=$N$8+Equity!$G$27+Equity!$E$27+Equity!$E$27,3,IF(BI8=$N$8+Equity!$G$27+Equity!$E$27+Equity!$E$27+Equity!$E$27,4,IF(BI8=$N$8+Equity!$G$27+Equity!$E$27+Equity!$E$27+Equity!$E$27+Equity!$E$27,5,IF(BI8=$N$8+Equity!$G$27+Equity!$E$27+Equity!$E$27+Equity!$E$27+Equity!$E$27+Equity!$E$27,6,"")))))),"")</f>
        <v/>
      </c>
      <c r="BJ10" s="1699" t="str">
        <f>IFERROR(IF(BJ8=$N$8+Equity!$G$27,1,IF(BJ8=$N$8+Equity!$G$27+Equity!$E$27,2,IF(BJ8=$N$8+Equity!$G$27+Equity!$E$27+Equity!$E$27,3,IF(BJ8=$N$8+Equity!$G$27+Equity!$E$27+Equity!$E$27+Equity!$E$27,4,IF(BJ8=$N$8+Equity!$G$27+Equity!$E$27+Equity!$E$27+Equity!$E$27+Equity!$E$27,5,IF(BJ8=$N$8+Equity!$G$27+Equity!$E$27+Equity!$E$27+Equity!$E$27+Equity!$E$27+Equity!$E$27,6,"")))))),"")</f>
        <v/>
      </c>
      <c r="BK10" s="1699" t="str">
        <f>IFERROR(IF(BK8=$N$8+Equity!$G$27,1,IF(BK8=$N$8+Equity!$G$27+Equity!$E$27,2,IF(BK8=$N$8+Equity!$G$27+Equity!$E$27+Equity!$E$27,3,IF(BK8=$N$8+Equity!$G$27+Equity!$E$27+Equity!$E$27+Equity!$E$27,4,IF(BK8=$N$8+Equity!$G$27+Equity!$E$27+Equity!$E$27+Equity!$E$27+Equity!$E$27,5,IF(BK8=$N$8+Equity!$G$27+Equity!$E$27+Equity!$E$27+Equity!$E$27+Equity!$E$27+Equity!$E$27,6,"")))))),"")</f>
        <v/>
      </c>
      <c r="BL10" s="1699"/>
      <c r="BM10" s="1699"/>
      <c r="BN10" s="1699"/>
      <c r="BO10" s="1699"/>
      <c r="BP10" s="1699"/>
      <c r="BQ10" s="1699"/>
      <c r="BR10" s="1699"/>
      <c r="BS10" s="1699"/>
      <c r="BT10" s="1699"/>
      <c r="BU10" s="1699" t="str">
        <f>IFERROR(IF(BU8=$N$8+Equity!$G$27,1,IF(BU8=$N$8+Equity!$G$27+Equity!$E$27,2,IF(BU8=$N$8+Equity!$G$27+Equity!$E$27+Equity!$E$27,3,IF(BU8=$N$8+Equity!$G$27+Equity!$E$27+Equity!$E$27+Equity!$E$27,4,IF(BU8=$N$8+Equity!$G$27+Equity!$E$27+Equity!$E$27+Equity!$E$27+Equity!$E$27,5,IF(BU8=$N$8+Equity!$G$27+Equity!$E$27+Equity!$E$27+Equity!$E$27+Equity!$E$27+Equity!$E$27,6,"")))))),"")</f>
        <v/>
      </c>
      <c r="BV10" s="960" t="s">
        <v>1606</v>
      </c>
      <c r="BW10" s="960" t="s">
        <v>1607</v>
      </c>
      <c r="BX10" s="960" t="s">
        <v>1604</v>
      </c>
    </row>
    <row r="11" spans="2:78" s="970" customFormat="1" ht="15.6">
      <c r="N11" s="971">
        <f>IF(N8=총괄장!$P$6,"준공",)</f>
        <v>0</v>
      </c>
      <c r="O11" s="971">
        <f>IF(O8=총괄장!$P$6,"준공",)</f>
        <v>0</v>
      </c>
      <c r="P11" s="971">
        <f>IF(P8=총괄장!$P$6,"준공",)</f>
        <v>0</v>
      </c>
      <c r="Q11" s="971">
        <f>IF(Q8=총괄장!$P$6,"준공",)</f>
        <v>0</v>
      </c>
      <c r="R11" s="971">
        <f>IF(R8=총괄장!$P$6,"준공",)</f>
        <v>0</v>
      </c>
      <c r="S11" s="971">
        <f>IF(S8=총괄장!$P$6,"준공",)</f>
        <v>0</v>
      </c>
      <c r="T11" s="971">
        <f>IF(T8=총괄장!$P$6,"준공",)</f>
        <v>0</v>
      </c>
      <c r="U11" s="971">
        <f>IF(U8=총괄장!$P$6,"준공",)</f>
        <v>0</v>
      </c>
      <c r="V11" s="971">
        <f>IF(V8=총괄장!$P$6,"준공",)</f>
        <v>0</v>
      </c>
      <c r="W11" s="971">
        <f>IF(W8=총괄장!$P$6,"준공",)</f>
        <v>0</v>
      </c>
      <c r="X11" s="971">
        <f>IF(X8=총괄장!$P$6,"준공",)</f>
        <v>0</v>
      </c>
      <c r="Y11" s="971">
        <f>IF(Y8=총괄장!$P$6,"준공",)</f>
        <v>0</v>
      </c>
      <c r="Z11" s="971">
        <f>IF(Z8=총괄장!$P$6,"준공",)</f>
        <v>0</v>
      </c>
      <c r="AA11" s="971">
        <f>IF(AA8=총괄장!$P$6,"준공",)</f>
        <v>0</v>
      </c>
      <c r="AB11" s="971">
        <f>IF(AB8=총괄장!$P$6,"준공",)</f>
        <v>0</v>
      </c>
      <c r="AC11" s="971">
        <f>IF(AC8=총괄장!$P$6,"준공",)</f>
        <v>0</v>
      </c>
      <c r="AD11" s="971">
        <f>IF(AD8=총괄장!$P$6,"준공",)</f>
        <v>0</v>
      </c>
      <c r="AE11" s="971">
        <f>IF(AE8=총괄장!$P$6,"준공",)</f>
        <v>0</v>
      </c>
      <c r="AF11" s="971">
        <f>IF(AF8=총괄장!$P$6,"준공",)</f>
        <v>0</v>
      </c>
      <c r="AG11" s="971">
        <f>IF(AG8=총괄장!$P$6,"준공",)</f>
        <v>0</v>
      </c>
      <c r="AH11" s="971">
        <f>IF(AH8=총괄장!$P$6,"준공",)</f>
        <v>0</v>
      </c>
      <c r="AI11" s="971">
        <f>IF(AI8=총괄장!$P$6,"준공",)</f>
        <v>0</v>
      </c>
      <c r="AJ11" s="971">
        <f>IF(AJ8=총괄장!$P$6,"준공",)</f>
        <v>0</v>
      </c>
      <c r="AK11" s="971">
        <f>IF(AK8=총괄장!$P$6,"준공",)</f>
        <v>0</v>
      </c>
      <c r="AL11" s="971">
        <f>IF(AL8=총괄장!$P$6,"준공",)</f>
        <v>0</v>
      </c>
      <c r="AM11" s="971">
        <f>IF(AM8=총괄장!$P$6,"준공",)</f>
        <v>0</v>
      </c>
      <c r="AN11" s="971">
        <f>IF(AN8=총괄장!$P$6,"준공",)</f>
        <v>0</v>
      </c>
      <c r="AO11" s="971">
        <f>IF(AO8=총괄장!$P$6,"준공",)</f>
        <v>0</v>
      </c>
      <c r="AP11" s="971">
        <f>IF(AP8=총괄장!$P$6,"준공",)</f>
        <v>0</v>
      </c>
      <c r="AQ11" s="971" t="str">
        <f>IF(AQ8=총괄장!$P$6,"준공",)</f>
        <v>준공</v>
      </c>
      <c r="AR11" s="971">
        <f>IF(AR8=총괄장!$P$6,"준공",)</f>
        <v>0</v>
      </c>
      <c r="AS11" s="971">
        <f>IF(AS8=총괄장!$P$6,"준공",)</f>
        <v>0</v>
      </c>
      <c r="AT11" s="971">
        <f>IF(AT8=총괄장!$P$6,"준공",)</f>
        <v>0</v>
      </c>
      <c r="AU11" s="971">
        <f>IF(AU8=총괄장!$P$6,"준공",)</f>
        <v>0</v>
      </c>
      <c r="AV11" s="971">
        <f>IF(AV8=총괄장!$P$6,"준공",)</f>
        <v>0</v>
      </c>
      <c r="AW11" s="971">
        <f>IF(AW8=총괄장!$P$6,"준공",)</f>
        <v>0</v>
      </c>
      <c r="AX11" s="971">
        <f>IF(AX8=총괄장!$P$6,"준공",)</f>
        <v>0</v>
      </c>
      <c r="AY11" s="971">
        <f>IF(AY8=총괄장!$P$6,"준공",)</f>
        <v>0</v>
      </c>
      <c r="AZ11" s="971">
        <f>IF(AZ8=총괄장!$P$6,"준공",)</f>
        <v>0</v>
      </c>
      <c r="BA11" s="971">
        <f>IF(BA8=총괄장!$P$6,"준공",)</f>
        <v>0</v>
      </c>
      <c r="BB11" s="971">
        <f>IF(BB8=총괄장!$P$6,"준공",)</f>
        <v>0</v>
      </c>
      <c r="BC11" s="971">
        <f>IF(BC8=총괄장!$P$6,"준공",)</f>
        <v>0</v>
      </c>
      <c r="BD11" s="971">
        <f>IF(BD8=총괄장!$P$6,"준공",)</f>
        <v>0</v>
      </c>
      <c r="BE11" s="971">
        <f>IF(BE8=총괄장!$P$6,"준공",)</f>
        <v>0</v>
      </c>
      <c r="BF11" s="971"/>
      <c r="BG11" s="971"/>
      <c r="BH11" s="971"/>
      <c r="BI11" s="971"/>
      <c r="BJ11" s="971"/>
      <c r="BK11" s="971"/>
      <c r="BL11" s="971"/>
      <c r="BM11" s="971"/>
      <c r="BN11" s="971"/>
      <c r="BO11" s="971"/>
      <c r="BP11" s="971"/>
      <c r="BQ11" s="971"/>
      <c r="BR11" s="971"/>
      <c r="BS11" s="971"/>
      <c r="BT11" s="971"/>
      <c r="BU11" s="971">
        <f>IF(BU8=총괄장!$P$6,"준공",)</f>
        <v>0</v>
      </c>
      <c r="BV11" s="971"/>
      <c r="BW11" s="971"/>
      <c r="BX11" s="971"/>
    </row>
    <row r="12" spans="2:78">
      <c r="B12" s="723" t="s">
        <v>1066</v>
      </c>
      <c r="C12" s="1200"/>
      <c r="D12" s="972"/>
      <c r="E12" s="972"/>
      <c r="F12" s="973"/>
      <c r="G12" s="973"/>
      <c r="H12" s="974"/>
      <c r="I12" s="974"/>
      <c r="J12" s="974"/>
      <c r="K12" s="975">
        <f>비용집행계획!F8</f>
        <v>0</v>
      </c>
      <c r="L12" s="975">
        <f>비용집행계획!G8</f>
        <v>0</v>
      </c>
      <c r="M12" s="975">
        <f>비용집행계획!H8</f>
        <v>0</v>
      </c>
      <c r="N12" s="975">
        <f>비용집행계획!I8</f>
        <v>0.2</v>
      </c>
      <c r="O12" s="975">
        <f>비용집행계획!J8</f>
        <v>0.15</v>
      </c>
      <c r="P12" s="975">
        <f>비용집행계획!K8</f>
        <v>0.12</v>
      </c>
      <c r="Q12" s="975">
        <f>비용집행계획!L8</f>
        <v>0.1</v>
      </c>
      <c r="R12" s="975">
        <f>비용집행계획!M8</f>
        <v>0.08</v>
      </c>
      <c r="S12" s="975">
        <f>비용집행계획!N8</f>
        <v>7.0000000000000007E-2</v>
      </c>
      <c r="T12" s="975">
        <f>비용집행계획!O8</f>
        <v>0.06</v>
      </c>
      <c r="U12" s="975">
        <f>비용집행계획!P8</f>
        <v>0.05</v>
      </c>
      <c r="V12" s="975">
        <f>비용집행계획!Q8</f>
        <v>0.05</v>
      </c>
      <c r="W12" s="975">
        <f>비용집행계획!R8</f>
        <v>0.04</v>
      </c>
      <c r="X12" s="975">
        <f>비용집행계획!S8</f>
        <v>0.04</v>
      </c>
      <c r="Y12" s="975">
        <f>비용집행계획!T8</f>
        <v>0.04</v>
      </c>
      <c r="Z12" s="975">
        <f>비용집행계획!U8</f>
        <v>0</v>
      </c>
      <c r="AA12" s="975">
        <f>비용집행계획!V8</f>
        <v>0</v>
      </c>
      <c r="AB12" s="975">
        <f>비용집행계획!W8</f>
        <v>0</v>
      </c>
      <c r="AC12" s="975">
        <f>비용집행계획!X8</f>
        <v>0</v>
      </c>
      <c r="AD12" s="975">
        <f>비용집행계획!Y8</f>
        <v>0</v>
      </c>
      <c r="AE12" s="975">
        <f>비용집행계획!Z8</f>
        <v>0</v>
      </c>
      <c r="AF12" s="975">
        <f>비용집행계획!AA8</f>
        <v>0</v>
      </c>
      <c r="AG12" s="975">
        <f>비용집행계획!AB8</f>
        <v>0</v>
      </c>
      <c r="AH12" s="975">
        <f>비용집행계획!AC8</f>
        <v>0</v>
      </c>
      <c r="AI12" s="975">
        <f>비용집행계획!AD8</f>
        <v>0</v>
      </c>
      <c r="AJ12" s="975">
        <f>비용집행계획!AE8</f>
        <v>0</v>
      </c>
      <c r="AK12" s="975">
        <f>비용집행계획!AF8</f>
        <v>0</v>
      </c>
      <c r="AL12" s="975">
        <f>비용집행계획!AG8</f>
        <v>0</v>
      </c>
      <c r="AM12" s="975">
        <f>비용집행계획!AH8</f>
        <v>0</v>
      </c>
      <c r="AN12" s="975">
        <f>비용집행계획!AI8</f>
        <v>0</v>
      </c>
      <c r="AO12" s="975">
        <f>비용집행계획!AJ8</f>
        <v>0</v>
      </c>
      <c r="AP12" s="975">
        <f>비용집행계획!AK8</f>
        <v>0</v>
      </c>
      <c r="AQ12" s="975">
        <f>비용집행계획!AL8</f>
        <v>0</v>
      </c>
      <c r="AR12" s="975">
        <f>비용집행계획!AM8</f>
        <v>0</v>
      </c>
      <c r="AS12" s="975">
        <f>비용집행계획!AN8</f>
        <v>0</v>
      </c>
      <c r="AT12" s="975">
        <f>비용집행계획!AO8</f>
        <v>0</v>
      </c>
      <c r="AU12" s="975">
        <f>비용집행계획!AP8</f>
        <v>0</v>
      </c>
      <c r="AV12" s="975">
        <f>비용집행계획!AQ8</f>
        <v>0</v>
      </c>
      <c r="AW12" s="975">
        <f>비용집행계획!AR8</f>
        <v>0</v>
      </c>
      <c r="AX12" s="975">
        <f>비용집행계획!AS8</f>
        <v>0</v>
      </c>
      <c r="AY12" s="975">
        <f>비용집행계획!AT8</f>
        <v>0</v>
      </c>
      <c r="AZ12" s="975">
        <f>비용집행계획!AU8</f>
        <v>0</v>
      </c>
      <c r="BA12" s="975">
        <f>비용집행계획!AV8</f>
        <v>0</v>
      </c>
      <c r="BB12" s="975">
        <f>비용집행계획!AW8</f>
        <v>0</v>
      </c>
      <c r="BC12" s="975">
        <f>비용집행계획!AX8</f>
        <v>0</v>
      </c>
      <c r="BD12" s="975">
        <f>비용집행계획!AY8</f>
        <v>0</v>
      </c>
      <c r="BE12" s="975">
        <f>비용집행계획!AZ8</f>
        <v>0</v>
      </c>
      <c r="BF12" s="975">
        <f>비용집행계획!BA8</f>
        <v>0</v>
      </c>
      <c r="BG12" s="975">
        <f>비용집행계획!BB8</f>
        <v>0</v>
      </c>
      <c r="BH12" s="975">
        <f>비용집행계획!BC8</f>
        <v>0</v>
      </c>
      <c r="BI12" s="975">
        <f>비용집행계획!BD8</f>
        <v>0</v>
      </c>
      <c r="BJ12" s="975">
        <f>비용집행계획!BE8</f>
        <v>0</v>
      </c>
      <c r="BK12" s="975">
        <f>비용집행계획!BF8</f>
        <v>0</v>
      </c>
      <c r="BL12" s="975">
        <f>비용집행계획!BG8</f>
        <v>0</v>
      </c>
      <c r="BM12" s="975">
        <f>비용집행계획!BH8</f>
        <v>0</v>
      </c>
      <c r="BN12" s="975">
        <f>비용집행계획!BI8</f>
        <v>0</v>
      </c>
      <c r="BO12" s="975">
        <f>비용집행계획!BJ8</f>
        <v>0</v>
      </c>
      <c r="BP12" s="975">
        <f>비용집행계획!BK8</f>
        <v>0</v>
      </c>
      <c r="BQ12" s="975">
        <f>비용집행계획!BL8</f>
        <v>0</v>
      </c>
      <c r="BR12" s="975">
        <f>비용집행계획!BM8</f>
        <v>0</v>
      </c>
      <c r="BS12" s="975">
        <f>비용집행계획!BN8</f>
        <v>0</v>
      </c>
      <c r="BT12" s="975">
        <f>비용집행계획!BO8</f>
        <v>0</v>
      </c>
      <c r="BU12" s="975">
        <f>비용집행계획!BP8</f>
        <v>0</v>
      </c>
      <c r="BV12" s="975"/>
      <c r="BW12" s="975"/>
      <c r="BX12" s="975"/>
      <c r="BY12" s="976"/>
    </row>
    <row r="13" spans="2:78">
      <c r="B13" s="726" t="s">
        <v>1031</v>
      </c>
      <c r="C13" s="1877"/>
      <c r="D13" s="977"/>
      <c r="E13" s="977"/>
      <c r="F13" s="973"/>
      <c r="G13" s="973"/>
      <c r="H13" s="974"/>
      <c r="I13" s="974"/>
      <c r="J13" s="974"/>
      <c r="K13" s="975">
        <f>K12</f>
        <v>0</v>
      </c>
      <c r="L13" s="975">
        <f>L12+K13</f>
        <v>0</v>
      </c>
      <c r="M13" s="975">
        <f>L13+M12</f>
        <v>0</v>
      </c>
      <c r="N13" s="975">
        <f t="shared" ref="N13:AP13" si="27">M13+N12</f>
        <v>0.2</v>
      </c>
      <c r="O13" s="975">
        <f t="shared" si="27"/>
        <v>0.35</v>
      </c>
      <c r="P13" s="975">
        <f t="shared" si="27"/>
        <v>0.47</v>
      </c>
      <c r="Q13" s="975">
        <f t="shared" si="27"/>
        <v>0.56999999999999995</v>
      </c>
      <c r="R13" s="975">
        <f t="shared" si="27"/>
        <v>0.64999999999999991</v>
      </c>
      <c r="S13" s="975">
        <f t="shared" si="27"/>
        <v>0.72</v>
      </c>
      <c r="T13" s="975">
        <f t="shared" si="27"/>
        <v>0.78</v>
      </c>
      <c r="U13" s="975">
        <f t="shared" si="27"/>
        <v>0.83000000000000007</v>
      </c>
      <c r="V13" s="975">
        <f t="shared" si="27"/>
        <v>0.88000000000000012</v>
      </c>
      <c r="W13" s="975">
        <f t="shared" si="27"/>
        <v>0.92000000000000015</v>
      </c>
      <c r="X13" s="975">
        <f t="shared" si="27"/>
        <v>0.96000000000000019</v>
      </c>
      <c r="Y13" s="975">
        <f t="shared" si="27"/>
        <v>1.0000000000000002</v>
      </c>
      <c r="Z13" s="975">
        <f t="shared" si="27"/>
        <v>1.0000000000000002</v>
      </c>
      <c r="AA13" s="975">
        <f t="shared" si="27"/>
        <v>1.0000000000000002</v>
      </c>
      <c r="AB13" s="975">
        <f t="shared" si="27"/>
        <v>1.0000000000000002</v>
      </c>
      <c r="AC13" s="975">
        <f t="shared" si="27"/>
        <v>1.0000000000000002</v>
      </c>
      <c r="AD13" s="975">
        <f t="shared" si="27"/>
        <v>1.0000000000000002</v>
      </c>
      <c r="AE13" s="975">
        <f t="shared" si="27"/>
        <v>1.0000000000000002</v>
      </c>
      <c r="AF13" s="975">
        <f t="shared" si="27"/>
        <v>1.0000000000000002</v>
      </c>
      <c r="AG13" s="975">
        <f t="shared" si="27"/>
        <v>1.0000000000000002</v>
      </c>
      <c r="AH13" s="975">
        <f t="shared" si="27"/>
        <v>1.0000000000000002</v>
      </c>
      <c r="AI13" s="975">
        <f t="shared" si="27"/>
        <v>1.0000000000000002</v>
      </c>
      <c r="AJ13" s="975">
        <f t="shared" si="27"/>
        <v>1.0000000000000002</v>
      </c>
      <c r="AK13" s="975">
        <f t="shared" si="27"/>
        <v>1.0000000000000002</v>
      </c>
      <c r="AL13" s="975">
        <f t="shared" si="27"/>
        <v>1.0000000000000002</v>
      </c>
      <c r="AM13" s="975">
        <f t="shared" si="27"/>
        <v>1.0000000000000002</v>
      </c>
      <c r="AN13" s="975">
        <f t="shared" si="27"/>
        <v>1.0000000000000002</v>
      </c>
      <c r="AO13" s="975">
        <f t="shared" si="27"/>
        <v>1.0000000000000002</v>
      </c>
      <c r="AP13" s="975">
        <f t="shared" si="27"/>
        <v>1.0000000000000002</v>
      </c>
      <c r="AQ13" s="978">
        <f t="shared" ref="AQ13:AU13" si="28">AP13+AQ12</f>
        <v>1.0000000000000002</v>
      </c>
      <c r="AR13" s="975">
        <f t="shared" si="28"/>
        <v>1.0000000000000002</v>
      </c>
      <c r="AS13" s="975">
        <f t="shared" si="28"/>
        <v>1.0000000000000002</v>
      </c>
      <c r="AT13" s="975">
        <f t="shared" si="28"/>
        <v>1.0000000000000002</v>
      </c>
      <c r="AU13" s="975">
        <f t="shared" si="28"/>
        <v>1.0000000000000002</v>
      </c>
      <c r="AV13" s="975">
        <f t="shared" ref="AV13" si="29">AU13+AV12</f>
        <v>1.0000000000000002</v>
      </c>
      <c r="AW13" s="975">
        <f t="shared" ref="AW13" si="30">AV13+AW12</f>
        <v>1.0000000000000002</v>
      </c>
      <c r="AX13" s="975">
        <f t="shared" ref="AX13" si="31">AW13+AX12</f>
        <v>1.0000000000000002</v>
      </c>
      <c r="AY13" s="975">
        <f>AX13+AY12</f>
        <v>1.0000000000000002</v>
      </c>
      <c r="AZ13" s="975">
        <f>AY13+AZ12</f>
        <v>1.0000000000000002</v>
      </c>
      <c r="BA13" s="975">
        <f>AZ13+BA12</f>
        <v>1.0000000000000002</v>
      </c>
      <c r="BB13" s="975">
        <f>AZ13+BB12</f>
        <v>1.0000000000000002</v>
      </c>
      <c r="BC13" s="975">
        <f>BB13+BC12</f>
        <v>1.0000000000000002</v>
      </c>
      <c r="BD13" s="975">
        <f>BC13+BD12</f>
        <v>1.0000000000000002</v>
      </c>
      <c r="BE13" s="975">
        <f>BD13+BE12</f>
        <v>1.0000000000000002</v>
      </c>
      <c r="BF13" s="975">
        <f t="shared" ref="BF13:BU13" si="32">BE13+BF12</f>
        <v>1.0000000000000002</v>
      </c>
      <c r="BG13" s="975">
        <f t="shared" si="32"/>
        <v>1.0000000000000002</v>
      </c>
      <c r="BH13" s="975">
        <f t="shared" si="32"/>
        <v>1.0000000000000002</v>
      </c>
      <c r="BI13" s="975">
        <f t="shared" si="32"/>
        <v>1.0000000000000002</v>
      </c>
      <c r="BJ13" s="975">
        <f t="shared" si="32"/>
        <v>1.0000000000000002</v>
      </c>
      <c r="BK13" s="975">
        <f t="shared" si="32"/>
        <v>1.0000000000000002</v>
      </c>
      <c r="BL13" s="975">
        <f t="shared" si="32"/>
        <v>1.0000000000000002</v>
      </c>
      <c r="BM13" s="975">
        <f t="shared" si="32"/>
        <v>1.0000000000000002</v>
      </c>
      <c r="BN13" s="975">
        <f t="shared" si="32"/>
        <v>1.0000000000000002</v>
      </c>
      <c r="BO13" s="975">
        <f t="shared" si="32"/>
        <v>1.0000000000000002</v>
      </c>
      <c r="BP13" s="975">
        <f t="shared" si="32"/>
        <v>1.0000000000000002</v>
      </c>
      <c r="BQ13" s="975">
        <f t="shared" si="32"/>
        <v>1.0000000000000002</v>
      </c>
      <c r="BR13" s="975">
        <f t="shared" si="32"/>
        <v>1.0000000000000002</v>
      </c>
      <c r="BS13" s="975">
        <f t="shared" si="32"/>
        <v>1.0000000000000002</v>
      </c>
      <c r="BT13" s="975">
        <f t="shared" si="32"/>
        <v>1.0000000000000002</v>
      </c>
      <c r="BU13" s="975">
        <f t="shared" si="32"/>
        <v>1.0000000000000002</v>
      </c>
      <c r="BV13" s="975">
        <f t="shared" ref="BV13" si="33">BU13+BV12</f>
        <v>1.0000000000000002</v>
      </c>
      <c r="BW13" s="975">
        <f t="shared" ref="BW13" si="34">BV13+BW12</f>
        <v>1.0000000000000002</v>
      </c>
      <c r="BX13" s="975">
        <f t="shared" ref="BX13" si="35">BW13+BX12</f>
        <v>1.0000000000000002</v>
      </c>
      <c r="BY13" s="976"/>
    </row>
    <row r="14" spans="2:78" s="970" customFormat="1" ht="15.6">
      <c r="B14" s="979"/>
      <c r="C14" s="979"/>
      <c r="D14" s="979"/>
      <c r="E14" s="979"/>
      <c r="L14" s="970" t="str">
        <f t="shared" ref="L14:M14" si="36">L10</f>
        <v/>
      </c>
      <c r="M14" s="970" t="str">
        <f t="shared" si="36"/>
        <v/>
      </c>
      <c r="O14" s="1699" t="str">
        <f>IF(O8=$N$8+Equity!$G$28,1,IF(O8=$N$8+Equity!$G$28+Equity!$E$28,2,IF(O8=$N$8+Equity!$G$28+Equity!$E$28+Equity!$E$28,3,IF(O8=$N$8+Equity!$G$28+Equity!$E$28+Equity!$E$28+Equity!$E$28,4,IF(O8=$N$8+Equity!$G$28+Equity!$E$28+Equity!$E$28+Equity!$E$28+Equity!$E$28,5,IF(O8=$N$8+Equity!$G$28+Equity!$E$28+Equity!$E$28+Equity!$E$28+Equity!$E$28+Equity!$E$28,6,""))))))</f>
        <v/>
      </c>
      <c r="P14" s="1699" t="str">
        <f>IF(P8=$N$8+Equity!$G$28,1,IF(P8=$N$8+Equity!$G$28+Equity!$E$28,2,IF(P8=$N$8+Equity!$G$28+Equity!$E$28+Equity!$E$28,3,IF(P8=$N$8+Equity!$G$28+Equity!$E$28+Equity!$E$28+Equity!$E$28,4,IF(P8=$N$8+Equity!$G$28+Equity!$E$28+Equity!$E$28+Equity!$E$28+Equity!$E$28,5,IF(P8=$N$8+Equity!$G$28+Equity!$E$28+Equity!$E$28+Equity!$E$28+Equity!$E$28+Equity!$E$28,6,""))))))</f>
        <v/>
      </c>
      <c r="Q14" s="1699" t="str">
        <f>IF(Q8=$N$8+Equity!$G$28,1,IF(Q8=$N$8+Equity!$G$28+Equity!$E$28,2,IF(Q8=$N$8+Equity!$G$28+Equity!$E$28+Equity!$E$28,3,IF(Q8=$N$8+Equity!$G$28+Equity!$E$28+Equity!$E$28+Equity!$E$28,4,IF(Q8=$N$8+Equity!$G$28+Equity!$E$28+Equity!$E$28+Equity!$E$28+Equity!$E$28,5,IF(Q8=$N$8+Equity!$G$28+Equity!$E$28+Equity!$E$28+Equity!$E$28+Equity!$E$28+Equity!$E$28,6,""))))))</f>
        <v/>
      </c>
      <c r="R14" s="1699">
        <f>IF(R8=$N$8+Equity!$G$28,1,IF(R8=$N$8+Equity!$G$28+Equity!$E$28,2,IF(R8=$N$8+Equity!$G$28+Equity!$E$28+Equity!$E$28,3,IF(R8=$N$8+Equity!$G$28+Equity!$E$28+Equity!$E$28+Equity!$E$28,4,IF(R8=$N$8+Equity!$G$28+Equity!$E$28+Equity!$E$28+Equity!$E$28+Equity!$E$28,5,IF(R8=$N$8+Equity!$G$28+Equity!$E$28+Equity!$E$28+Equity!$E$28+Equity!$E$28+Equity!$E$28,6,""))))))</f>
        <v>1</v>
      </c>
      <c r="S14" s="1699" t="str">
        <f>IF(S8=$N$8+Equity!$G$28,1,IF(S8=$N$8+Equity!$G$28+Equity!$E$28,2,IF(S8=$N$8+Equity!$G$28+Equity!$E$28+Equity!$E$28,3,IF(S8=$N$8+Equity!$G$28+Equity!$E$28+Equity!$E$28+Equity!$E$28,4,IF(S8=$N$8+Equity!$G$28+Equity!$E$28+Equity!$E$28+Equity!$E$28+Equity!$E$28,5,IF(S8=$N$8+Equity!$G$28+Equity!$E$28+Equity!$E$28+Equity!$E$28+Equity!$E$28+Equity!$E$28,6,""))))))</f>
        <v/>
      </c>
      <c r="T14" s="1699" t="str">
        <f>IF(T8=$N$8+Equity!$G$28,1,IF(T8=$N$8+Equity!$G$28+Equity!$E$28,2,IF(T8=$N$8+Equity!$G$28+Equity!$E$28+Equity!$E$28,3,IF(T8=$N$8+Equity!$G$28+Equity!$E$28+Equity!$E$28+Equity!$E$28,4,IF(T8=$N$8+Equity!$G$28+Equity!$E$28+Equity!$E$28+Equity!$E$28+Equity!$E$28,5,IF(T8=$N$8+Equity!$G$28+Equity!$E$28+Equity!$E$28+Equity!$E$28+Equity!$E$28+Equity!$E$28,6,""))))))</f>
        <v/>
      </c>
      <c r="U14" s="1699" t="str">
        <f>IF(U8=$N$8+Equity!$G$28,1,IF(U8=$N$8+Equity!$G$28+Equity!$E$28,2,IF(U8=$N$8+Equity!$G$28+Equity!$E$28+Equity!$E$28,3,IF(U8=$N$8+Equity!$G$28+Equity!$E$28+Equity!$E$28+Equity!$E$28,4,IF(U8=$N$8+Equity!$G$28+Equity!$E$28+Equity!$E$28+Equity!$E$28+Equity!$E$28,5,IF(U8=$N$8+Equity!$G$28+Equity!$E$28+Equity!$E$28+Equity!$E$28+Equity!$E$28+Equity!$E$28,6,""))))))</f>
        <v/>
      </c>
      <c r="V14" s="1699">
        <f>IF(V8=$N$8+Equity!$G$28,1,IF(V8=$N$8+Equity!$G$28+Equity!$E$28,2,IF(V8=$N$8+Equity!$G$28+Equity!$E$28+Equity!$E$28,3,IF(V8=$N$8+Equity!$G$28+Equity!$E$28+Equity!$E$28+Equity!$E$28,4,IF(V8=$N$8+Equity!$G$28+Equity!$E$28+Equity!$E$28+Equity!$E$28+Equity!$E$28,5,IF(V8=$N$8+Equity!$G$28+Equity!$E$28+Equity!$E$28+Equity!$E$28+Equity!$E$28+Equity!$E$28,6,""))))))</f>
        <v>2</v>
      </c>
      <c r="W14" s="1699" t="str">
        <f>IF(W8=$N$8+Equity!$G$28,1,IF(W8=$N$8+Equity!$G$28+Equity!$E$28,2,IF(W8=$N$8+Equity!$G$28+Equity!$E$28+Equity!$E$28,3,IF(W8=$N$8+Equity!$G$28+Equity!$E$28+Equity!$E$28+Equity!$E$28,4,IF(W8=$N$8+Equity!$G$28+Equity!$E$28+Equity!$E$28+Equity!$E$28+Equity!$E$28,5,IF(W8=$N$8+Equity!$G$28+Equity!$E$28+Equity!$E$28+Equity!$E$28+Equity!$E$28+Equity!$E$28,6,""))))))</f>
        <v/>
      </c>
      <c r="X14" s="1699" t="str">
        <f>IF(X8=$N$8+Equity!$G$28,1,IF(X8=$N$8+Equity!$G$28+Equity!$E$28,2,IF(X8=$N$8+Equity!$G$28+Equity!$E$28+Equity!$E$28,3,IF(X8=$N$8+Equity!$G$28+Equity!$E$28+Equity!$E$28+Equity!$E$28,4,IF(X8=$N$8+Equity!$G$28+Equity!$E$28+Equity!$E$28+Equity!$E$28+Equity!$E$28,5,IF(X8=$N$8+Equity!$G$28+Equity!$E$28+Equity!$E$28+Equity!$E$28+Equity!$E$28+Equity!$E$28,6,""))))))</f>
        <v/>
      </c>
      <c r="Y14" s="1699" t="str">
        <f>IF(Y8=$N$8+Equity!$G$28,1,IF(Y8=$N$8+Equity!$G$28+Equity!$E$28,2,IF(Y8=$N$8+Equity!$G$28+Equity!$E$28+Equity!$E$28,3,IF(Y8=$N$8+Equity!$G$28+Equity!$E$28+Equity!$E$28+Equity!$E$28,4,IF(Y8=$N$8+Equity!$G$28+Equity!$E$28+Equity!$E$28+Equity!$E$28+Equity!$E$28,5,IF(Y8=$N$8+Equity!$G$28+Equity!$E$28+Equity!$E$28+Equity!$E$28+Equity!$E$28+Equity!$E$28,6,""))))))</f>
        <v/>
      </c>
      <c r="Z14" s="1699">
        <f>IF(Z8=$N$8+Equity!$G$28,1,IF(Z8=$N$8+Equity!$G$28+Equity!$E$28,2,IF(Z8=$N$8+Equity!$G$28+Equity!$E$28+Equity!$E$28,3,IF(Z8=$N$8+Equity!$G$28+Equity!$E$28+Equity!$E$28+Equity!$E$28,4,IF(Z8=$N$8+Equity!$G$28+Equity!$E$28+Equity!$E$28+Equity!$E$28+Equity!$E$28,5,IF(Z8=$N$8+Equity!$G$28+Equity!$E$28+Equity!$E$28+Equity!$E$28+Equity!$E$28+Equity!$E$28,6,""))))))</f>
        <v>3</v>
      </c>
      <c r="AA14" s="1699" t="str">
        <f>IF(AA8=$N$8+Equity!$G$28,1,IF(AA8=$N$8+Equity!$G$28+Equity!$E$28,2,IF(AA8=$N$8+Equity!$G$28+Equity!$E$28+Equity!$E$28,3,IF(AA8=$N$8+Equity!$G$28+Equity!$E$28+Equity!$E$28+Equity!$E$28,4,IF(AA8=$N$8+Equity!$G$28+Equity!$E$28+Equity!$E$28+Equity!$E$28+Equity!$E$28,5,IF(AA8=$N$8+Equity!$G$28+Equity!$E$28+Equity!$E$28+Equity!$E$28+Equity!$E$28+Equity!$E$28,6,""))))))</f>
        <v/>
      </c>
      <c r="AB14" s="1699" t="str">
        <f>IF(AB8=$N$8+Equity!$G$28,1,IF(AB8=$N$8+Equity!$G$28+Equity!$E$28,2,IF(AB8=$N$8+Equity!$G$28+Equity!$E$28+Equity!$E$28,3,IF(AB8=$N$8+Equity!$G$28+Equity!$E$28+Equity!$E$28+Equity!$E$28,4,IF(AB8=$N$8+Equity!$G$28+Equity!$E$28+Equity!$E$28+Equity!$E$28+Equity!$E$28,5,IF(AB8=$N$8+Equity!$G$28+Equity!$E$28+Equity!$E$28+Equity!$E$28+Equity!$E$28+Equity!$E$28,6,""))))))</f>
        <v/>
      </c>
      <c r="AC14" s="1699" t="str">
        <f>IF(AC8=$N$8+Equity!$G$28,1,IF(AC8=$N$8+Equity!$G$28+Equity!$E$28,2,IF(AC8=$N$8+Equity!$G$28+Equity!$E$28+Equity!$E$28,3,IF(AC8=$N$8+Equity!$G$28+Equity!$E$28+Equity!$E$28+Equity!$E$28,4,IF(AC8=$N$8+Equity!$G$28+Equity!$E$28+Equity!$E$28+Equity!$E$28+Equity!$E$28,5,IF(AC8=$N$8+Equity!$G$28+Equity!$E$28+Equity!$E$28+Equity!$E$28+Equity!$E$28+Equity!$E$28,6,""))))))</f>
        <v/>
      </c>
      <c r="AD14" s="1699">
        <f>IF(AD8=$N$8+Equity!$G$28,1,IF(AD8=$N$8+Equity!$G$28+Equity!$E$28,2,IF(AD8=$N$8+Equity!$G$28+Equity!$E$28+Equity!$E$28,3,IF(AD8=$N$8+Equity!$G$28+Equity!$E$28+Equity!$E$28+Equity!$E$28,4,IF(AD8=$N$8+Equity!$G$28+Equity!$E$28+Equity!$E$28+Equity!$E$28+Equity!$E$28,5,IF(AD8=$N$8+Equity!$G$28+Equity!$E$28+Equity!$E$28+Equity!$E$28+Equity!$E$28+Equity!$E$28,6,""))))))</f>
        <v>4</v>
      </c>
      <c r="AE14" s="1699" t="str">
        <f>IF(AE8=$N$8+Equity!$G$28,1,IF(AE8=$N$8+Equity!$G$28+Equity!$E$28,2,IF(AE8=$N$8+Equity!$G$28+Equity!$E$28+Equity!$E$28,3,IF(AE8=$N$8+Equity!$G$28+Equity!$E$28+Equity!$E$28+Equity!$E$28,4,IF(AE8=$N$8+Equity!$G$28+Equity!$E$28+Equity!$E$28+Equity!$E$28+Equity!$E$28,5,IF(AE8=$N$8+Equity!$G$28+Equity!$E$28+Equity!$E$28+Equity!$E$28+Equity!$E$28+Equity!$E$28,6,""))))))</f>
        <v/>
      </c>
      <c r="AF14" s="1699" t="str">
        <f>IF(AF8=$N$8+Equity!$G$28,1,IF(AF8=$N$8+Equity!$G$28+Equity!$E$28,2,IF(AF8=$N$8+Equity!$G$28+Equity!$E$28+Equity!$E$28,3,IF(AF8=$N$8+Equity!$G$28+Equity!$E$28+Equity!$E$28+Equity!$E$28,4,IF(AF8=$N$8+Equity!$G$28+Equity!$E$28+Equity!$E$28+Equity!$E$28+Equity!$E$28,5,IF(AF8=$N$8+Equity!$G$28+Equity!$E$28+Equity!$E$28+Equity!$E$28+Equity!$E$28+Equity!$E$28,6,""))))))</f>
        <v/>
      </c>
      <c r="AG14" s="1699" t="str">
        <f>IF(AG8=$N$8+Equity!$G$28,1,IF(AG8=$N$8+Equity!$G$28+Equity!$E$28,2,IF(AG8=$N$8+Equity!$G$28+Equity!$E$28+Equity!$E$28,3,IF(AG8=$N$8+Equity!$G$28+Equity!$E$28+Equity!$E$28+Equity!$E$28,4,IF(AG8=$N$8+Equity!$G$28+Equity!$E$28+Equity!$E$28+Equity!$E$28+Equity!$E$28,5,IF(AG8=$N$8+Equity!$G$28+Equity!$E$28+Equity!$E$28+Equity!$E$28+Equity!$E$28+Equity!$E$28,6,""))))))</f>
        <v/>
      </c>
      <c r="AH14" s="1699">
        <f>IF(AH8=$N$8+Equity!$G$28,1,IF(AH8=$N$8+Equity!$G$28+Equity!$E$28,2,IF(AH8=$N$8+Equity!$G$28+Equity!$E$28+Equity!$E$28,3,IF(AH8=$N$8+Equity!$G$28+Equity!$E$28+Equity!$E$28+Equity!$E$28,4,IF(AH8=$N$8+Equity!$G$28+Equity!$E$28+Equity!$E$28+Equity!$E$28+Equity!$E$28,5,IF(AH8=$N$8+Equity!$G$28+Equity!$E$28+Equity!$E$28+Equity!$E$28+Equity!$E$28+Equity!$E$28,6,""))))))</f>
        <v>5</v>
      </c>
      <c r="AI14" s="1699" t="str">
        <f>IF(AI8=$N$8+Equity!$G$28,1,IF(AI8=$N$8+Equity!$G$28+Equity!$E$28,2,IF(AI8=$N$8+Equity!$G$28+Equity!$E$28+Equity!$E$28,3,IF(AI8=$N$8+Equity!$G$28+Equity!$E$28+Equity!$E$28+Equity!$E$28,4,IF(AI8=$N$8+Equity!$G$28+Equity!$E$28+Equity!$E$28+Equity!$E$28+Equity!$E$28,5,IF(AI8=$N$8+Equity!$G$28+Equity!$E$28+Equity!$E$28+Equity!$E$28+Equity!$E$28+Equity!$E$28,6,""))))))</f>
        <v/>
      </c>
      <c r="AJ14" s="1699" t="str">
        <f>IF(AJ8=$N$8+Equity!$G$28,1,IF(AJ8=$N$8+Equity!$G$28+Equity!$E$28,2,IF(AJ8=$N$8+Equity!$G$28+Equity!$E$28+Equity!$E$28,3,IF(AJ8=$N$8+Equity!$G$28+Equity!$E$28+Equity!$E$28+Equity!$E$28,4,IF(AJ8=$N$8+Equity!$G$28+Equity!$E$28+Equity!$E$28+Equity!$E$28+Equity!$E$28,5,IF(AJ8=$N$8+Equity!$G$28+Equity!$E$28+Equity!$E$28+Equity!$E$28+Equity!$E$28+Equity!$E$28,6,""))))))</f>
        <v/>
      </c>
      <c r="AK14" s="1699" t="str">
        <f>IF(AK8=$N$8+Equity!$G$28,1,IF(AK8=$N$8+Equity!$G$28+Equity!$E$28,2,IF(AK8=$N$8+Equity!$G$28+Equity!$E$28+Equity!$E$28,3,IF(AK8=$N$8+Equity!$G$28+Equity!$E$28+Equity!$E$28+Equity!$E$28,4,IF(AK8=$N$8+Equity!$G$28+Equity!$E$28+Equity!$E$28+Equity!$E$28+Equity!$E$28,5,IF(AK8=$N$8+Equity!$G$28+Equity!$E$28+Equity!$E$28+Equity!$E$28+Equity!$E$28+Equity!$E$28,6,""))))))</f>
        <v/>
      </c>
      <c r="AL14" s="1699">
        <f>IF(AL8=$N$8+Equity!$G$28,1,IF(AL8=$N$8+Equity!$G$28+Equity!$E$28,2,IF(AL8=$N$8+Equity!$G$28+Equity!$E$28+Equity!$E$28,3,IF(AL8=$N$8+Equity!$G$28+Equity!$E$28+Equity!$E$28+Equity!$E$28,4,IF(AL8=$N$8+Equity!$G$28+Equity!$E$28+Equity!$E$28+Equity!$E$28+Equity!$E$28,5,IF(AL8=$N$8+Equity!$G$28+Equity!$E$28+Equity!$E$28+Equity!$E$28+Equity!$E$28+Equity!$E$28,6,""))))))</f>
        <v>6</v>
      </c>
      <c r="AM14" s="1699" t="str">
        <f>IF(AM8=$N$8+Equity!$G$28,1,IF(AM8=$N$8+Equity!$G$28+Equity!$E$28,2,IF(AM8=$N$8+Equity!$G$28+Equity!$E$28+Equity!$E$28,3,IF(AM8=$N$8+Equity!$G$28+Equity!$E$28+Equity!$E$28+Equity!$E$28,4,IF(AM8=$N$8+Equity!$G$28+Equity!$E$28+Equity!$E$28+Equity!$E$28+Equity!$E$28,5,IF(AM8=$N$8+Equity!$G$28+Equity!$E$28+Equity!$E$28+Equity!$E$28+Equity!$E$28+Equity!$E$28,6,""))))))</f>
        <v/>
      </c>
      <c r="AN14" s="1699" t="str">
        <f>IF(AN8=$N$8+Equity!$G$28,1,IF(AN8=$N$8+Equity!$G$28+Equity!$E$28,2,IF(AN8=$N$8+Equity!$G$28+Equity!$E$28+Equity!$E$28,3,IF(AN8=$N$8+Equity!$G$28+Equity!$E$28+Equity!$E$28+Equity!$E$28,4,IF(AN8=$N$8+Equity!$G$28+Equity!$E$28+Equity!$E$28+Equity!$E$28+Equity!$E$28,5,IF(AN8=$N$8+Equity!$G$28+Equity!$E$28+Equity!$E$28+Equity!$E$28+Equity!$E$28+Equity!$E$28,6,""))))))</f>
        <v/>
      </c>
      <c r="AO14" s="1699" t="str">
        <f>IF(AO8=$N$8+Equity!$G$28,1,IF(AO8=$N$8+Equity!$G$28+Equity!$E$28,2,IF(AO8=$N$8+Equity!$G$28+Equity!$E$28+Equity!$E$28,3,IF(AO8=$N$8+Equity!$G$28+Equity!$E$28+Equity!$E$28+Equity!$E$28,4,IF(AO8=$N$8+Equity!$G$28+Equity!$E$28+Equity!$E$28+Equity!$E$28+Equity!$E$28,5,IF(AO8=$N$8+Equity!$G$28+Equity!$E$28+Equity!$E$28+Equity!$E$28+Equity!$E$28+Equity!$E$28,6,""))))))</f>
        <v/>
      </c>
      <c r="AP14" s="1699" t="str">
        <f>IF(AP8=$N$8+Equity!$G$28,1,IF(AP8=$N$8+Equity!$G$28+Equity!$E$28,2,IF(AP8=$N$8+Equity!$G$28+Equity!$E$28+Equity!$E$28,3,IF(AP8=$N$8+Equity!$G$28+Equity!$E$28+Equity!$E$28+Equity!$E$28,4,IF(AP8=$N$8+Equity!$G$28+Equity!$E$28+Equity!$E$28+Equity!$E$28+Equity!$E$28,5,IF(AP8=$N$8+Equity!$G$28+Equity!$E$28+Equity!$E$28+Equity!$E$28+Equity!$E$28+Equity!$E$28,6,""))))))</f>
        <v/>
      </c>
      <c r="AQ14" s="1699" t="str">
        <f>IF(AQ8=$N$8+Equity!$G$28,1,IF(AQ8=$N$8+Equity!$G$28+Equity!$E$28,2,IF(AQ8=$N$8+Equity!$G$28+Equity!$E$28+Equity!$E$28,3,IF(AQ8=$N$8+Equity!$G$28+Equity!$E$28+Equity!$E$28+Equity!$E$28,4,IF(AQ8=$N$8+Equity!$G$28+Equity!$E$28+Equity!$E$28+Equity!$E$28+Equity!$E$28,5,IF(AQ8=$N$8+Equity!$G$28+Equity!$E$28+Equity!$E$28+Equity!$E$28+Equity!$E$28+Equity!$E$28,6,""))))))</f>
        <v/>
      </c>
      <c r="AR14" s="1699" t="str">
        <f>IF(AR8=$N$8+Equity!$G$28,1,IF(AR8=$N$8+Equity!$G$28+Equity!$E$28,2,IF(AR8=$N$8+Equity!$G$28+Equity!$E$28+Equity!$E$28,3,IF(AR8=$N$8+Equity!$G$28+Equity!$E$28+Equity!$E$28+Equity!$E$28,4,IF(AR8=$N$8+Equity!$G$28+Equity!$E$28+Equity!$E$28+Equity!$E$28+Equity!$E$28,5,IF(AR8=$N$8+Equity!$G$28+Equity!$E$28+Equity!$E$28+Equity!$E$28+Equity!$E$28+Equity!$E$28,6,""))))))</f>
        <v/>
      </c>
      <c r="AS14" s="1699" t="str">
        <f>IF(AS8=$N$8+Equity!$G$28,1,IF(AS8=$N$8+Equity!$G$28+Equity!$E$28,2,IF(AS8=$N$8+Equity!$G$28+Equity!$E$28+Equity!$E$28,3,IF(AS8=$N$8+Equity!$G$28+Equity!$E$28+Equity!$E$28+Equity!$E$28,4,IF(AS8=$N$8+Equity!$G$28+Equity!$E$28+Equity!$E$28+Equity!$E$28+Equity!$E$28,5,IF(AS8=$N$8+Equity!$G$28+Equity!$E$28+Equity!$E$28+Equity!$E$28+Equity!$E$28+Equity!$E$28,6,""))))))</f>
        <v/>
      </c>
      <c r="AT14" s="1699" t="str">
        <f>IF(AT8=$N$8+Equity!$G$28,1,IF(AT8=$N$8+Equity!$G$28+Equity!$E$28,2,IF(AT8=$N$8+Equity!$G$28+Equity!$E$28+Equity!$E$28,3,IF(AT8=$N$8+Equity!$G$28+Equity!$E$28+Equity!$E$28+Equity!$E$28,4,IF(AT8=$N$8+Equity!$G$28+Equity!$E$28+Equity!$E$28+Equity!$E$28+Equity!$E$28,5,IF(AT8=$N$8+Equity!$G$28+Equity!$E$28+Equity!$E$28+Equity!$E$28+Equity!$E$28+Equity!$E$28,6,""))))))</f>
        <v/>
      </c>
      <c r="AU14" s="1699" t="str">
        <f>IF(AU8=$N$8+Equity!$G$28,1,IF(AU8=$N$8+Equity!$G$28+Equity!$E$28,2,IF(AU8=$N$8+Equity!$G$28+Equity!$E$28+Equity!$E$28,3,IF(AU8=$N$8+Equity!$G$28+Equity!$E$28+Equity!$E$28+Equity!$E$28,4,IF(AU8=$N$8+Equity!$G$28+Equity!$E$28+Equity!$E$28+Equity!$E$28+Equity!$E$28,5,IF(AU8=$N$8+Equity!$G$28+Equity!$E$28+Equity!$E$28+Equity!$E$28+Equity!$E$28+Equity!$E$28,6,""))))))</f>
        <v/>
      </c>
      <c r="AV14" s="1699" t="str">
        <f>IF(AV8=$N$8+Equity!$G$28,1,IF(AV8=$N$8+Equity!$G$28+Equity!$E$28,2,IF(AV8=$N$8+Equity!$G$28+Equity!$E$28+Equity!$E$28,3,IF(AV8=$N$8+Equity!$G$28+Equity!$E$28+Equity!$E$28+Equity!$E$28,4,IF(AV8=$N$8+Equity!$G$28+Equity!$E$28+Equity!$E$28+Equity!$E$28+Equity!$E$28,5,IF(AV8=$N$8+Equity!$G$28+Equity!$E$28+Equity!$E$28+Equity!$E$28+Equity!$E$28+Equity!$E$28,6,""))))))</f>
        <v/>
      </c>
      <c r="AW14" s="1699" t="str">
        <f>IF(AW8=$N$8+Equity!$G$28,1,IF(AW8=$N$8+Equity!$G$28+Equity!$E$28,2,IF(AW8=$N$8+Equity!$G$28+Equity!$E$28+Equity!$E$28,3,IF(AW8=$N$8+Equity!$G$28+Equity!$E$28+Equity!$E$28+Equity!$E$28,4,IF(AW8=$N$8+Equity!$G$28+Equity!$E$28+Equity!$E$28+Equity!$E$28+Equity!$E$28,5,IF(AW8=$N$8+Equity!$G$28+Equity!$E$28+Equity!$E$28+Equity!$E$28+Equity!$E$28+Equity!$E$28,6,""))))))</f>
        <v/>
      </c>
      <c r="AX14" s="1699" t="str">
        <f>IF(AX8=$N$8+Equity!$G$28,1,IF(AX8=$N$8+Equity!$G$28+Equity!$E$28,2,IF(AX8=$N$8+Equity!$G$28+Equity!$E$28+Equity!$E$28,3,IF(AX8=$N$8+Equity!$G$28+Equity!$E$28+Equity!$E$28+Equity!$E$28,4,IF(AX8=$N$8+Equity!$G$28+Equity!$E$28+Equity!$E$28+Equity!$E$28+Equity!$E$28,5,IF(AX8=$N$8+Equity!$G$28+Equity!$E$28+Equity!$E$28+Equity!$E$28+Equity!$E$28+Equity!$E$28,6,""))))))</f>
        <v/>
      </c>
      <c r="AY14" s="1699" t="str">
        <f>IF(AY8=$N$8+Equity!$G$28,1,IF(AY8=$N$8+Equity!$G$28+Equity!$E$28,2,IF(AY8=$N$8+Equity!$G$28+Equity!$E$28+Equity!$E$28,3,IF(AY8=$N$8+Equity!$G$28+Equity!$E$28+Equity!$E$28+Equity!$E$28,4,IF(AY8=$N$8+Equity!$G$28+Equity!$E$28+Equity!$E$28+Equity!$E$28+Equity!$E$28,5,IF(AY8=$N$8+Equity!$G$28+Equity!$E$28+Equity!$E$28+Equity!$E$28+Equity!$E$28+Equity!$E$28,6,""))))))</f>
        <v/>
      </c>
      <c r="AZ14" s="1699" t="str">
        <f>IF(AZ8=$N$8+Equity!$G$28,1,IF(AZ8=$N$8+Equity!$G$28+Equity!$E$28,2,IF(AZ8=$N$8+Equity!$G$28+Equity!$E$28+Equity!$E$28,3,IF(AZ8=$N$8+Equity!$G$28+Equity!$E$28+Equity!$E$28+Equity!$E$28,4,IF(AZ8=$N$8+Equity!$G$28+Equity!$E$28+Equity!$E$28+Equity!$E$28+Equity!$E$28,5,IF(AZ8=$N$8+Equity!$G$28+Equity!$E$28+Equity!$E$28+Equity!$E$28+Equity!$E$28+Equity!$E$28,6,""))))))</f>
        <v/>
      </c>
      <c r="BA14" s="1699" t="str">
        <f>IF(BA8=$N$8+Equity!$G$28,1,IF(BA8=$N$8+Equity!$G$28+Equity!$E$28,2,IF(BA8=$N$8+Equity!$G$28+Equity!$E$28+Equity!$E$28,3,IF(BA8=$N$8+Equity!$G$28+Equity!$E$28+Equity!$E$28+Equity!$E$28,4,IF(BA8=$N$8+Equity!$G$28+Equity!$E$28+Equity!$E$28+Equity!$E$28+Equity!$E$28,5,IF(BA8=$N$8+Equity!$G$28+Equity!$E$28+Equity!$E$28+Equity!$E$28+Equity!$E$28+Equity!$E$28,6,""))))))</f>
        <v/>
      </c>
      <c r="BB14" s="1699" t="str">
        <f>IF(BB8=$N$8+Equity!$G$28,1,IF(BB8=$N$8+Equity!$G$28+Equity!$E$28,2,IF(BB8=$N$8+Equity!$G$28+Equity!$E$28+Equity!$E$28,3,IF(BB8=$N$8+Equity!$G$28+Equity!$E$28+Equity!$E$28+Equity!$E$28,4,IF(BB8=$N$8+Equity!$G$28+Equity!$E$28+Equity!$E$28+Equity!$E$28+Equity!$E$28,5,IF(BB8=$N$8+Equity!$G$28+Equity!$E$28+Equity!$E$28+Equity!$E$28+Equity!$E$28+Equity!$E$28,6,""))))))</f>
        <v/>
      </c>
      <c r="BC14" s="1699" t="str">
        <f>IF(BC8=$N$8+Equity!$G$28,1,IF(BC8=$N$8+Equity!$G$28+Equity!$E$28,2,IF(BC8=$N$8+Equity!$G$28+Equity!$E$28+Equity!$E$28,3,IF(BC8=$N$8+Equity!$G$28+Equity!$E$28+Equity!$E$28+Equity!$E$28,4,IF(BC8=$N$8+Equity!$G$28+Equity!$E$28+Equity!$E$28+Equity!$E$28+Equity!$E$28,5,IF(BC8=$N$8+Equity!$G$28+Equity!$E$28+Equity!$E$28+Equity!$E$28+Equity!$E$28+Equity!$E$28,6,""))))))</f>
        <v/>
      </c>
      <c r="BD14" s="1699" t="str">
        <f>IF(BD8=$N$8+Equity!$G$28,1,IF(BD8=$N$8+Equity!$G$28+Equity!$E$28,2,IF(BD8=$N$8+Equity!$G$28+Equity!$E$28+Equity!$E$28,3,IF(BD8=$N$8+Equity!$G$28+Equity!$E$28+Equity!$E$28+Equity!$E$28,4,IF(BD8=$N$8+Equity!$G$28+Equity!$E$28+Equity!$E$28+Equity!$E$28+Equity!$E$28,5,IF(BD8=$N$8+Equity!$G$28+Equity!$E$28+Equity!$E$28+Equity!$E$28+Equity!$E$28+Equity!$E$28,6,""))))))</f>
        <v/>
      </c>
      <c r="BE14" s="1699" t="str">
        <f>IF(BE8=$N$8+Equity!$G$28,1,IF(BE8=$N$8+Equity!$G$28+Equity!$E$28,2,IF(BE8=$N$8+Equity!$G$28+Equity!$E$28+Equity!$E$28,3,IF(BE8=$N$8+Equity!$G$28+Equity!$E$28+Equity!$E$28+Equity!$E$28,4,IF(BE8=$N$8+Equity!$G$28+Equity!$E$28+Equity!$E$28+Equity!$E$28+Equity!$E$28,5,IF(BE8=$N$8+Equity!$G$28+Equity!$E$28+Equity!$E$28+Equity!$E$28+Equity!$E$28+Equity!$E$28,6,""))))))</f>
        <v/>
      </c>
      <c r="BF14" s="1699" t="str">
        <f>IF(BF8=$N$8+Equity!$G$28,1,IF(BF8=$N$8+Equity!$G$28+Equity!$E$28,2,IF(BF8=$N$8+Equity!$G$28+Equity!$E$28+Equity!$E$28,3,IF(BF8=$N$8+Equity!$G$28+Equity!$E$28+Equity!$E$28+Equity!$E$28,4,IF(BF8=$N$8+Equity!$G$28+Equity!$E$28+Equity!$E$28+Equity!$E$28+Equity!$E$28,5,IF(BF8=$N$8+Equity!$G$28+Equity!$E$28+Equity!$E$28+Equity!$E$28+Equity!$E$28+Equity!$E$28,6,""))))))</f>
        <v/>
      </c>
      <c r="BG14" s="1699" t="str">
        <f>IF(BG8=$N$8+Equity!$G$28,1,IF(BG8=$N$8+Equity!$G$28+Equity!$E$28,2,IF(BG8=$N$8+Equity!$G$28+Equity!$E$28+Equity!$E$28,3,IF(BG8=$N$8+Equity!$G$28+Equity!$E$28+Equity!$E$28+Equity!$E$28,4,IF(BG8=$N$8+Equity!$G$28+Equity!$E$28+Equity!$E$28+Equity!$E$28+Equity!$E$28,5,IF(BG8=$N$8+Equity!$G$28+Equity!$E$28+Equity!$E$28+Equity!$E$28+Equity!$E$28+Equity!$E$28,6,""))))))</f>
        <v/>
      </c>
      <c r="BH14" s="1699" t="str">
        <f>IF(BH8=$N$8+Equity!$G$28,1,IF(BH8=$N$8+Equity!$G$28+Equity!$E$28,2,IF(BH8=$N$8+Equity!$G$28+Equity!$E$28+Equity!$E$28,3,IF(BH8=$N$8+Equity!$G$28+Equity!$E$28+Equity!$E$28+Equity!$E$28,4,IF(BH8=$N$8+Equity!$G$28+Equity!$E$28+Equity!$E$28+Equity!$E$28+Equity!$E$28,5,IF(BH8=$N$8+Equity!$G$28+Equity!$E$28+Equity!$E$28+Equity!$E$28+Equity!$E$28+Equity!$E$28,6,""))))))</f>
        <v/>
      </c>
      <c r="BI14" s="1699" t="str">
        <f>IF(BI8=$N$8+Equity!$G$28,1,IF(BI8=$N$8+Equity!$G$28+Equity!$E$28,2,IF(BI8=$N$8+Equity!$G$28+Equity!$E$28+Equity!$E$28,3,IF(BI8=$N$8+Equity!$G$28+Equity!$E$28+Equity!$E$28+Equity!$E$28,4,IF(BI8=$N$8+Equity!$G$28+Equity!$E$28+Equity!$E$28+Equity!$E$28+Equity!$E$28,5,IF(BI8=$N$8+Equity!$G$28+Equity!$E$28+Equity!$E$28+Equity!$E$28+Equity!$E$28+Equity!$E$28,6,""))))))</f>
        <v/>
      </c>
      <c r="BJ14" s="1699" t="str">
        <f>IF(BJ8=$N$8+Equity!$G$28,1,IF(BJ8=$N$8+Equity!$G$28+Equity!$E$28,2,IF(BJ8=$N$8+Equity!$G$28+Equity!$E$28+Equity!$E$28,3,IF(BJ8=$N$8+Equity!$G$28+Equity!$E$28+Equity!$E$28+Equity!$E$28,4,IF(BJ8=$N$8+Equity!$G$28+Equity!$E$28+Equity!$E$28+Equity!$E$28+Equity!$E$28,5,IF(BJ8=$N$8+Equity!$G$28+Equity!$E$28+Equity!$E$28+Equity!$E$28+Equity!$E$28+Equity!$E$28,6,""))))))</f>
        <v/>
      </c>
      <c r="BK14" s="1699" t="str">
        <f>IF(BK8=$N$8+Equity!$G$28,1,IF(BK8=$N$8+Equity!$G$28+Equity!$E$28,2,IF(BK8=$N$8+Equity!$G$28+Equity!$E$28+Equity!$E$28,3,IF(BK8=$N$8+Equity!$G$28+Equity!$E$28+Equity!$E$28+Equity!$E$28,4,IF(BK8=$N$8+Equity!$G$28+Equity!$E$28+Equity!$E$28+Equity!$E$28+Equity!$E$28,5,IF(BK8=$N$8+Equity!$G$28+Equity!$E$28+Equity!$E$28+Equity!$E$28+Equity!$E$28+Equity!$E$28,6,""))))))</f>
        <v/>
      </c>
      <c r="BL14" s="1699" t="str">
        <f>IF(BL8=$N$8+Equity!$G$28,1,IF(BL8=$N$8+Equity!$G$28+Equity!$E$28,2,IF(BL8=$N$8+Equity!$G$28+Equity!$E$28+Equity!$E$28,3,IF(BL8=$N$8+Equity!$G$28+Equity!$E$28+Equity!$E$28+Equity!$E$28,4,IF(BL8=$N$8+Equity!$G$28+Equity!$E$28+Equity!$E$28+Equity!$E$28+Equity!$E$28,5,IF(BL8=$N$8+Equity!$G$28+Equity!$E$28+Equity!$E$28+Equity!$E$28+Equity!$E$28+Equity!$E$28,6,""))))))</f>
        <v/>
      </c>
      <c r="BM14" s="1699" t="str">
        <f>IF(BM8=$N$8+Equity!$G$28,1,IF(BM8=$N$8+Equity!$G$28+Equity!$E$28,2,IF(BM8=$N$8+Equity!$G$28+Equity!$E$28+Equity!$E$28,3,IF(BM8=$N$8+Equity!$G$28+Equity!$E$28+Equity!$E$28+Equity!$E$28,4,IF(BM8=$N$8+Equity!$G$28+Equity!$E$28+Equity!$E$28+Equity!$E$28+Equity!$E$28,5,IF(BM8=$N$8+Equity!$G$28+Equity!$E$28+Equity!$E$28+Equity!$E$28+Equity!$E$28+Equity!$E$28,6,""))))))</f>
        <v/>
      </c>
      <c r="BN14" s="1699" t="str">
        <f>IF(BN8=$N$8+Equity!$G$28,1,IF(BN8=$N$8+Equity!$G$28+Equity!$E$28,2,IF(BN8=$N$8+Equity!$G$28+Equity!$E$28+Equity!$E$28,3,IF(BN8=$N$8+Equity!$G$28+Equity!$E$28+Equity!$E$28+Equity!$E$28,4,IF(BN8=$N$8+Equity!$G$28+Equity!$E$28+Equity!$E$28+Equity!$E$28+Equity!$E$28,5,IF(BN8=$N$8+Equity!$G$28+Equity!$E$28+Equity!$E$28+Equity!$E$28+Equity!$E$28+Equity!$E$28,6,""))))))</f>
        <v/>
      </c>
      <c r="BO14" s="1699" t="str">
        <f>IF(BO8=$N$8+Equity!$G$28,1,IF(BO8=$N$8+Equity!$G$28+Equity!$E$28,2,IF(BO8=$N$8+Equity!$G$28+Equity!$E$28+Equity!$E$28,3,IF(BO8=$N$8+Equity!$G$28+Equity!$E$28+Equity!$E$28+Equity!$E$28,4,IF(BO8=$N$8+Equity!$G$28+Equity!$E$28+Equity!$E$28+Equity!$E$28+Equity!$E$28,5,IF(BO8=$N$8+Equity!$G$28+Equity!$E$28+Equity!$E$28+Equity!$E$28+Equity!$E$28+Equity!$E$28,6,""))))))</f>
        <v/>
      </c>
      <c r="BP14" s="1699" t="str">
        <f>IF(BP8=$N$8+Equity!$G$28,1,IF(BP8=$N$8+Equity!$G$28+Equity!$E$28,2,IF(BP8=$N$8+Equity!$G$28+Equity!$E$28+Equity!$E$28,3,IF(BP8=$N$8+Equity!$G$28+Equity!$E$28+Equity!$E$28+Equity!$E$28,4,IF(BP8=$N$8+Equity!$G$28+Equity!$E$28+Equity!$E$28+Equity!$E$28+Equity!$E$28,5,IF(BP8=$N$8+Equity!$G$28+Equity!$E$28+Equity!$E$28+Equity!$E$28+Equity!$E$28+Equity!$E$28,6,""))))))</f>
        <v/>
      </c>
      <c r="BQ14" s="1699" t="str">
        <f>IF(BQ8=$N$8+Equity!$G$28,1,IF(BQ8=$N$8+Equity!$G$28+Equity!$E$28,2,IF(BQ8=$N$8+Equity!$G$28+Equity!$E$28+Equity!$E$28,3,IF(BQ8=$N$8+Equity!$G$28+Equity!$E$28+Equity!$E$28+Equity!$E$28,4,IF(BQ8=$N$8+Equity!$G$28+Equity!$E$28+Equity!$E$28+Equity!$E$28+Equity!$E$28,5,IF(BQ8=$N$8+Equity!$G$28+Equity!$E$28+Equity!$E$28+Equity!$E$28+Equity!$E$28+Equity!$E$28,6,""))))))</f>
        <v/>
      </c>
      <c r="BR14" s="1699" t="str">
        <f>IF(BR8=$N$8+Equity!$G$28,1,IF(BR8=$N$8+Equity!$G$28+Equity!$E$28,2,IF(BR8=$N$8+Equity!$G$28+Equity!$E$28+Equity!$E$28,3,IF(BR8=$N$8+Equity!$G$28+Equity!$E$28+Equity!$E$28+Equity!$E$28,4,IF(BR8=$N$8+Equity!$G$28+Equity!$E$28+Equity!$E$28+Equity!$E$28+Equity!$E$28,5,IF(BR8=$N$8+Equity!$G$28+Equity!$E$28+Equity!$E$28+Equity!$E$28+Equity!$E$28+Equity!$E$28,6,""))))))</f>
        <v/>
      </c>
      <c r="BS14" s="1699" t="str">
        <f>IF(BS8=$N$8+Equity!$G$28,1,IF(BS8=$N$8+Equity!$G$28+Equity!$E$28,2,IF(BS8=$N$8+Equity!$G$28+Equity!$E$28+Equity!$E$28,3,IF(BS8=$N$8+Equity!$G$28+Equity!$E$28+Equity!$E$28+Equity!$E$28,4,IF(BS8=$N$8+Equity!$G$28+Equity!$E$28+Equity!$E$28+Equity!$E$28+Equity!$E$28,5,IF(BS8=$N$8+Equity!$G$28+Equity!$E$28+Equity!$E$28+Equity!$E$28+Equity!$E$28+Equity!$E$28,6,""))))))</f>
        <v/>
      </c>
      <c r="BT14" s="1699" t="str">
        <f>IF(BT8=$N$8+Equity!$G$28,1,IF(BT8=$N$8+Equity!$G$28+Equity!$E$28,2,IF(BT8=$N$8+Equity!$G$28+Equity!$E$28+Equity!$E$28,3,IF(BT8=$N$8+Equity!$G$28+Equity!$E$28+Equity!$E$28+Equity!$E$28,4,IF(BT8=$N$8+Equity!$G$28+Equity!$E$28+Equity!$E$28+Equity!$E$28+Equity!$E$28,5,IF(BT8=$N$8+Equity!$G$28+Equity!$E$28+Equity!$E$28+Equity!$E$28+Equity!$E$28+Equity!$E$28,6,""))))))</f>
        <v/>
      </c>
      <c r="BU14" s="1699" t="str">
        <f>IF(BU8=$N$8+Equity!$G$28,1,IF(BU8=$N$8+Equity!$G$28+Equity!$E$28,2,IF(BU8=$N$8+Equity!$G$28+Equity!$E$28+Equity!$E$28,3,IF(BU8=$N$8+Equity!$G$28+Equity!$E$28+Equity!$E$28+Equity!$E$28,4,IF(BU8=$N$8+Equity!$G$28+Equity!$E$28+Equity!$E$28+Equity!$E$28+Equity!$E$28,5,IF(BU8=$N$8+Equity!$G$28+Equity!$E$28+Equity!$E$28+Equity!$E$28+Equity!$E$28+Equity!$E$28,6,""))))))</f>
        <v/>
      </c>
      <c r="BV14" s="1699"/>
      <c r="BW14" s="1699"/>
      <c r="BX14" s="1699"/>
      <c r="BY14" s="980"/>
    </row>
    <row r="15" spans="2:78">
      <c r="B15" s="733" t="s">
        <v>1231</v>
      </c>
      <c r="C15" s="1878"/>
      <c r="D15" s="981"/>
      <c r="E15" s="981"/>
      <c r="F15" s="982"/>
      <c r="G15" s="982"/>
      <c r="H15" s="983"/>
      <c r="I15" s="983"/>
      <c r="J15" s="983"/>
      <c r="K15" s="984">
        <f>비용집행계획!F11</f>
        <v>0</v>
      </c>
      <c r="L15" s="984">
        <f>비용집행계획!G11</f>
        <v>0</v>
      </c>
      <c r="M15" s="984">
        <f>비용집행계획!H11</f>
        <v>0</v>
      </c>
      <c r="N15" s="984">
        <f>비용집행계획!I11</f>
        <v>0</v>
      </c>
      <c r="O15" s="984">
        <f>비용집행계획!J11</f>
        <v>0</v>
      </c>
      <c r="P15" s="984">
        <f>비용집행계획!K11</f>
        <v>0</v>
      </c>
      <c r="Q15" s="984">
        <f>비용집행계획!L11</f>
        <v>0</v>
      </c>
      <c r="R15" s="984">
        <f>비용집행계획!M11</f>
        <v>0</v>
      </c>
      <c r="S15" s="984">
        <f>비용집행계획!N11</f>
        <v>0</v>
      </c>
      <c r="T15" s="984">
        <f>비용집행계획!O11</f>
        <v>0</v>
      </c>
      <c r="U15" s="984">
        <f>비용집행계획!P11</f>
        <v>0</v>
      </c>
      <c r="V15" s="984">
        <f>비용집행계획!Q11</f>
        <v>0</v>
      </c>
      <c r="W15" s="984">
        <f>비용집행계획!R11</f>
        <v>0</v>
      </c>
      <c r="X15" s="984">
        <f>비용집행계획!S11</f>
        <v>0</v>
      </c>
      <c r="Y15" s="984">
        <f>비용집행계획!T11</f>
        <v>0</v>
      </c>
      <c r="Z15" s="984">
        <f>비용집행계획!U11</f>
        <v>0</v>
      </c>
      <c r="AA15" s="984">
        <f>비용집행계획!V11</f>
        <v>0</v>
      </c>
      <c r="AB15" s="984">
        <f>비용집행계획!W11</f>
        <v>0</v>
      </c>
      <c r="AC15" s="984">
        <f>비용집행계획!X11</f>
        <v>0</v>
      </c>
      <c r="AD15" s="984">
        <f>비용집행계획!Y11</f>
        <v>0</v>
      </c>
      <c r="AE15" s="984">
        <f>비용집행계획!Z11</f>
        <v>0</v>
      </c>
      <c r="AF15" s="984">
        <f>비용집행계획!AA11</f>
        <v>0</v>
      </c>
      <c r="AG15" s="984">
        <f>비용집행계획!AB11</f>
        <v>0</v>
      </c>
      <c r="AH15" s="984">
        <f>비용집행계획!AC11</f>
        <v>0</v>
      </c>
      <c r="AI15" s="984">
        <f>비용집행계획!AD11</f>
        <v>0</v>
      </c>
      <c r="AJ15" s="984">
        <f>비용집행계획!AE11</f>
        <v>0</v>
      </c>
      <c r="AK15" s="984">
        <f>비용집행계획!AF11</f>
        <v>0</v>
      </c>
      <c r="AL15" s="984">
        <f>비용집행계획!AG11</f>
        <v>0</v>
      </c>
      <c r="AM15" s="984">
        <f>비용집행계획!AH11</f>
        <v>0</v>
      </c>
      <c r="AN15" s="984">
        <f>비용집행계획!AI11</f>
        <v>0</v>
      </c>
      <c r="AO15" s="984">
        <f>비용집행계획!AJ11</f>
        <v>0</v>
      </c>
      <c r="AP15" s="984">
        <f>비용집행계획!AK11</f>
        <v>0</v>
      </c>
      <c r="AQ15" s="984">
        <f>비용집행계획!AL11</f>
        <v>0</v>
      </c>
      <c r="AR15" s="984">
        <f>비용집행계획!AM11</f>
        <v>0</v>
      </c>
      <c r="AS15" s="984">
        <f>비용집행계획!AN11</f>
        <v>0</v>
      </c>
      <c r="AT15" s="984">
        <f>비용집행계획!AO11</f>
        <v>0</v>
      </c>
      <c r="AU15" s="984">
        <f>비용집행계획!AP11</f>
        <v>0</v>
      </c>
      <c r="AV15" s="984">
        <f>비용집행계획!AQ11</f>
        <v>0</v>
      </c>
      <c r="AW15" s="984">
        <f>비용집행계획!AR11</f>
        <v>0</v>
      </c>
      <c r="AX15" s="984">
        <f>비용집행계획!AS11</f>
        <v>0</v>
      </c>
      <c r="AY15" s="984">
        <f>비용집행계획!AT11</f>
        <v>0</v>
      </c>
      <c r="AZ15" s="984">
        <f>비용집행계획!AU11</f>
        <v>0</v>
      </c>
      <c r="BA15" s="984">
        <f>비용집행계획!AV11</f>
        <v>0</v>
      </c>
      <c r="BB15" s="984">
        <f>비용집행계획!AW11</f>
        <v>0</v>
      </c>
      <c r="BC15" s="984">
        <f>비용집행계획!AX11</f>
        <v>0</v>
      </c>
      <c r="BD15" s="984">
        <f>비용집행계획!AY11</f>
        <v>0</v>
      </c>
      <c r="BE15" s="984">
        <f>비용집행계획!AZ11</f>
        <v>0</v>
      </c>
      <c r="BF15" s="984">
        <f>비용집행계획!BA11</f>
        <v>0</v>
      </c>
      <c r="BG15" s="984">
        <f>비용집행계획!BB11</f>
        <v>0</v>
      </c>
      <c r="BH15" s="984">
        <f>비용집행계획!BC11</f>
        <v>0</v>
      </c>
      <c r="BI15" s="984">
        <f>비용집행계획!BD11</f>
        <v>0</v>
      </c>
      <c r="BJ15" s="984">
        <f>비용집행계획!BE11</f>
        <v>0</v>
      </c>
      <c r="BK15" s="984">
        <f>비용집행계획!BF11</f>
        <v>0</v>
      </c>
      <c r="BL15" s="984">
        <f>비용집행계획!BG11</f>
        <v>0</v>
      </c>
      <c r="BM15" s="984">
        <f>비용집행계획!BH11</f>
        <v>0</v>
      </c>
      <c r="BN15" s="984">
        <f>비용집행계획!BI11</f>
        <v>0</v>
      </c>
      <c r="BO15" s="984">
        <f>비용집행계획!BJ11</f>
        <v>0</v>
      </c>
      <c r="BP15" s="984">
        <f>비용집행계획!BK11</f>
        <v>0</v>
      </c>
      <c r="BQ15" s="984">
        <f>비용집행계획!BL11</f>
        <v>0</v>
      </c>
      <c r="BR15" s="984">
        <f>비용집행계획!BM11</f>
        <v>0</v>
      </c>
      <c r="BS15" s="984">
        <f>비용집행계획!BN11</f>
        <v>0</v>
      </c>
      <c r="BT15" s="984">
        <f>비용집행계획!BO11</f>
        <v>0</v>
      </c>
      <c r="BU15" s="984">
        <f>비용집행계획!BP11</f>
        <v>0</v>
      </c>
      <c r="BV15" s="984"/>
      <c r="BW15" s="984"/>
      <c r="BX15" s="984"/>
      <c r="BY15" s="985"/>
    </row>
    <row r="16" spans="2:78">
      <c r="B16" s="736" t="s">
        <v>1031</v>
      </c>
      <c r="C16" s="1879"/>
      <c r="D16" s="986"/>
      <c r="E16" s="986"/>
      <c r="F16" s="982"/>
      <c r="G16" s="982"/>
      <c r="H16" s="983"/>
      <c r="I16" s="983"/>
      <c r="J16" s="983"/>
      <c r="K16" s="987">
        <f>K15</f>
        <v>0</v>
      </c>
      <c r="L16" s="987">
        <f>L15+K16</f>
        <v>0</v>
      </c>
      <c r="M16" s="987">
        <f t="shared" ref="M16:AP16" si="37">L16+M15</f>
        <v>0</v>
      </c>
      <c r="N16" s="987">
        <f t="shared" si="37"/>
        <v>0</v>
      </c>
      <c r="O16" s="987">
        <f t="shared" si="37"/>
        <v>0</v>
      </c>
      <c r="P16" s="987">
        <f t="shared" si="37"/>
        <v>0</v>
      </c>
      <c r="Q16" s="987">
        <f t="shared" si="37"/>
        <v>0</v>
      </c>
      <c r="R16" s="987">
        <f t="shared" si="37"/>
        <v>0</v>
      </c>
      <c r="S16" s="987">
        <f t="shared" si="37"/>
        <v>0</v>
      </c>
      <c r="T16" s="987">
        <f t="shared" si="37"/>
        <v>0</v>
      </c>
      <c r="U16" s="987">
        <f t="shared" si="37"/>
        <v>0</v>
      </c>
      <c r="V16" s="987">
        <f t="shared" si="37"/>
        <v>0</v>
      </c>
      <c r="W16" s="987">
        <f t="shared" si="37"/>
        <v>0</v>
      </c>
      <c r="X16" s="987">
        <f t="shared" si="37"/>
        <v>0</v>
      </c>
      <c r="Y16" s="987">
        <f t="shared" si="37"/>
        <v>0</v>
      </c>
      <c r="Z16" s="987">
        <f t="shared" si="37"/>
        <v>0</v>
      </c>
      <c r="AA16" s="987">
        <f t="shared" si="37"/>
        <v>0</v>
      </c>
      <c r="AB16" s="987">
        <f t="shared" si="37"/>
        <v>0</v>
      </c>
      <c r="AC16" s="987">
        <f t="shared" si="37"/>
        <v>0</v>
      </c>
      <c r="AD16" s="987">
        <f t="shared" si="37"/>
        <v>0</v>
      </c>
      <c r="AE16" s="987">
        <f t="shared" si="37"/>
        <v>0</v>
      </c>
      <c r="AF16" s="987">
        <f t="shared" si="37"/>
        <v>0</v>
      </c>
      <c r="AG16" s="987">
        <f t="shared" si="37"/>
        <v>0</v>
      </c>
      <c r="AH16" s="987">
        <f t="shared" si="37"/>
        <v>0</v>
      </c>
      <c r="AI16" s="987">
        <f t="shared" si="37"/>
        <v>0</v>
      </c>
      <c r="AJ16" s="987">
        <f t="shared" si="37"/>
        <v>0</v>
      </c>
      <c r="AK16" s="987">
        <f t="shared" si="37"/>
        <v>0</v>
      </c>
      <c r="AL16" s="987">
        <f t="shared" si="37"/>
        <v>0</v>
      </c>
      <c r="AM16" s="987">
        <f t="shared" si="37"/>
        <v>0</v>
      </c>
      <c r="AN16" s="987">
        <f t="shared" si="37"/>
        <v>0</v>
      </c>
      <c r="AO16" s="987">
        <f t="shared" si="37"/>
        <v>0</v>
      </c>
      <c r="AP16" s="987">
        <f t="shared" si="37"/>
        <v>0</v>
      </c>
      <c r="AQ16" s="988">
        <f t="shared" ref="AQ16:AV16" si="38">AP16+AQ15</f>
        <v>0</v>
      </c>
      <c r="AR16" s="987">
        <f t="shared" si="38"/>
        <v>0</v>
      </c>
      <c r="AS16" s="987">
        <f t="shared" si="38"/>
        <v>0</v>
      </c>
      <c r="AT16" s="987">
        <f t="shared" si="38"/>
        <v>0</v>
      </c>
      <c r="AU16" s="987">
        <f t="shared" si="38"/>
        <v>0</v>
      </c>
      <c r="AV16" s="987">
        <f t="shared" si="38"/>
        <v>0</v>
      </c>
      <c r="AW16" s="987">
        <f>AU16+AW15</f>
        <v>0</v>
      </c>
      <c r="AX16" s="987">
        <f>AW16+AX15</f>
        <v>0</v>
      </c>
      <c r="AY16" s="987">
        <f>AX16+AY15</f>
        <v>0</v>
      </c>
      <c r="AZ16" s="987">
        <f>AY16+AZ15</f>
        <v>0</v>
      </c>
      <c r="BA16" s="987">
        <f>AZ16+BA15</f>
        <v>0</v>
      </c>
      <c r="BB16" s="987">
        <f>AZ16+BB15</f>
        <v>0</v>
      </c>
      <c r="BC16" s="987">
        <f>BB16+BC15</f>
        <v>0</v>
      </c>
      <c r="BD16" s="987">
        <f>BC16+BD15</f>
        <v>0</v>
      </c>
      <c r="BE16" s="987">
        <f>BD16+BE15</f>
        <v>0</v>
      </c>
      <c r="BF16" s="987">
        <f t="shared" ref="BF16:BU16" si="39">BE16+BF15</f>
        <v>0</v>
      </c>
      <c r="BG16" s="987">
        <f t="shared" si="39"/>
        <v>0</v>
      </c>
      <c r="BH16" s="987">
        <f t="shared" si="39"/>
        <v>0</v>
      </c>
      <c r="BI16" s="987">
        <f t="shared" si="39"/>
        <v>0</v>
      </c>
      <c r="BJ16" s="987">
        <f t="shared" si="39"/>
        <v>0</v>
      </c>
      <c r="BK16" s="987">
        <f t="shared" si="39"/>
        <v>0</v>
      </c>
      <c r="BL16" s="987">
        <f t="shared" si="39"/>
        <v>0</v>
      </c>
      <c r="BM16" s="987">
        <f t="shared" si="39"/>
        <v>0</v>
      </c>
      <c r="BN16" s="987">
        <f t="shared" si="39"/>
        <v>0</v>
      </c>
      <c r="BO16" s="987">
        <f t="shared" si="39"/>
        <v>0</v>
      </c>
      <c r="BP16" s="987">
        <f t="shared" si="39"/>
        <v>0</v>
      </c>
      <c r="BQ16" s="987">
        <f t="shared" si="39"/>
        <v>0</v>
      </c>
      <c r="BR16" s="987">
        <f t="shared" si="39"/>
        <v>0</v>
      </c>
      <c r="BS16" s="987">
        <f t="shared" si="39"/>
        <v>0</v>
      </c>
      <c r="BT16" s="987">
        <f t="shared" si="39"/>
        <v>0</v>
      </c>
      <c r="BU16" s="987">
        <f t="shared" si="39"/>
        <v>0</v>
      </c>
      <c r="BV16" s="987">
        <f t="shared" ref="BV16" si="40">BU16+BV15</f>
        <v>0</v>
      </c>
      <c r="BW16" s="987">
        <f t="shared" ref="BW16" si="41">BV16+BW15</f>
        <v>0</v>
      </c>
      <c r="BX16" s="987">
        <f t="shared" ref="BX16" si="42">BW16+BX15</f>
        <v>0</v>
      </c>
      <c r="BY16" s="976"/>
    </row>
    <row r="17" spans="2:78" s="970" customFormat="1" ht="15.6">
      <c r="L17" s="970" t="str">
        <f t="shared" ref="L17:M17" si="43">L14</f>
        <v/>
      </c>
      <c r="M17" s="970" t="str">
        <f t="shared" si="43"/>
        <v/>
      </c>
      <c r="O17" s="1699" t="str">
        <f>IF(O8=$N$8+Equity!$G$29,1,IF(O8=$N$8+Equity!$G$29+Equity!$E$29,2,IF(O8=$N$8+Equity!$G$29+Equity!$E$29+Equity!$E$29,3,IF(O8=$N$8+Equity!$G$29+Equity!$E$29+Equity!$E$29+Equity!$E$29,4,IF(O8=$N$8+Equity!$G$29+Equity!$E$29+Equity!$E$29+Equity!$E$29+Equity!$E$29,5,IF(O8=$N$8+Equity!$G$29+Equity!$E$29+Equity!$E$29+Equity!$E$29+Equity!$E$29+Equity!$E$29,6,""))))))</f>
        <v/>
      </c>
      <c r="P17" s="1699" t="str">
        <f>IF(P8=$N$8+Equity!$G$29,1,IF(P8=$N$8+Equity!$G$29+Equity!$E$29,2,IF(P8=$N$8+Equity!$G$29+Equity!$E$29+Equity!$E$29,3,IF(P8=$N$8+Equity!$G$29+Equity!$E$29+Equity!$E$29+Equity!$E$29,4,IF(P8=$N$8+Equity!$G$29+Equity!$E$29+Equity!$E$29+Equity!$E$29+Equity!$E$29,5,IF(P8=$N$8+Equity!$G$29+Equity!$E$29+Equity!$E$29+Equity!$E$29+Equity!$E$29+Equity!$E$29,6,""))))))</f>
        <v/>
      </c>
      <c r="Q17" s="1699">
        <f>IF(Q8=$N$8+Equity!$G$29,1,IF(Q8=$N$8+Equity!$G$29+Equity!$E$29,2,IF(Q8=$N$8+Equity!$G$29+Equity!$E$29+Equity!$E$29,3,IF(Q8=$N$8+Equity!$G$29+Equity!$E$29+Equity!$E$29+Equity!$E$29,4,IF(Q8=$N$8+Equity!$G$29+Equity!$E$29+Equity!$E$29+Equity!$E$29+Equity!$E$29,5,IF(Q8=$N$8+Equity!$G$29+Equity!$E$29+Equity!$E$29+Equity!$E$29+Equity!$E$29+Equity!$E$29,6,""))))))</f>
        <v>1</v>
      </c>
      <c r="R17" s="1699" t="str">
        <f>IF(R8=$N$8+Equity!$G$29,1,IF(R8=$N$8+Equity!$G$29+Equity!$E$29,2,IF(R8=$N$8+Equity!$G$29+Equity!$E$29+Equity!$E$29,3,IF(R8=$N$8+Equity!$G$29+Equity!$E$29+Equity!$E$29+Equity!$E$29,4,IF(R8=$N$8+Equity!$G$29+Equity!$E$29+Equity!$E$29+Equity!$E$29+Equity!$E$29,5,IF(R8=$N$8+Equity!$G$29+Equity!$E$29+Equity!$E$29+Equity!$E$29+Equity!$E$29+Equity!$E$29,6,""))))))</f>
        <v/>
      </c>
      <c r="S17" s="1699" t="str">
        <f>IF(S8=$N$8+Equity!$G$29,1,IF(S8=$N$8+Equity!$G$29+Equity!$E$29,2,IF(S8=$N$8+Equity!$G$29+Equity!$E$29+Equity!$E$29,3,IF(S8=$N$8+Equity!$G$29+Equity!$E$29+Equity!$E$29+Equity!$E$29,4,IF(S8=$N$8+Equity!$G$29+Equity!$E$29+Equity!$E$29+Equity!$E$29+Equity!$E$29,5,IF(S8=$N$8+Equity!$G$29+Equity!$E$29+Equity!$E$29+Equity!$E$29+Equity!$E$29+Equity!$E$29,6,""))))))</f>
        <v/>
      </c>
      <c r="T17" s="1699" t="str">
        <f>IF(T8=$N$8+Equity!$G$29,1,IF(T8=$N$8+Equity!$G$29+Equity!$E$29,2,IF(T8=$N$8+Equity!$G$29+Equity!$E$29+Equity!$E$29,3,IF(T8=$N$8+Equity!$G$29+Equity!$E$29+Equity!$E$29+Equity!$E$29,4,IF(T8=$N$8+Equity!$G$29+Equity!$E$29+Equity!$E$29+Equity!$E$29+Equity!$E$29,5,IF(T8=$N$8+Equity!$G$29+Equity!$E$29+Equity!$E$29+Equity!$E$29+Equity!$E$29+Equity!$E$29,6,""))))))</f>
        <v/>
      </c>
      <c r="U17" s="1699" t="str">
        <f>IF(U8=$N$8+Equity!$G$29,1,IF(U8=$N$8+Equity!$G$29+Equity!$E$29,2,IF(U8=$N$8+Equity!$G$29+Equity!$E$29+Equity!$E$29,3,IF(U8=$N$8+Equity!$G$29+Equity!$E$29+Equity!$E$29+Equity!$E$29,4,IF(U8=$N$8+Equity!$G$29+Equity!$E$29+Equity!$E$29+Equity!$E$29+Equity!$E$29,5,IF(U8=$N$8+Equity!$G$29+Equity!$E$29+Equity!$E$29+Equity!$E$29+Equity!$E$29+Equity!$E$29,6,""))))))</f>
        <v/>
      </c>
      <c r="V17" s="1699" t="str">
        <f>IF(V8=$N$8+Equity!$G$29,1,IF(V8=$N$8+Equity!$G$29+Equity!$E$29,2,IF(V8=$N$8+Equity!$G$29+Equity!$E$29+Equity!$E$29,3,IF(V8=$N$8+Equity!$G$29+Equity!$E$29+Equity!$E$29+Equity!$E$29,4,IF(V8=$N$8+Equity!$G$29+Equity!$E$29+Equity!$E$29+Equity!$E$29+Equity!$E$29,5,IF(V8=$N$8+Equity!$G$29+Equity!$E$29+Equity!$E$29+Equity!$E$29+Equity!$E$29+Equity!$E$29,6,""))))))</f>
        <v/>
      </c>
      <c r="W17" s="1699" t="str">
        <f>IF(W8=$N$8+Equity!$G$29,1,IF(W8=$N$8+Equity!$G$29+Equity!$E$29,2,IF(W8=$N$8+Equity!$G$29+Equity!$E$29+Equity!$E$29,3,IF(W8=$N$8+Equity!$G$29+Equity!$E$29+Equity!$E$29+Equity!$E$29,4,IF(W8=$N$8+Equity!$G$29+Equity!$E$29+Equity!$E$29+Equity!$E$29+Equity!$E$29,5,IF(W8=$N$8+Equity!$G$29+Equity!$E$29+Equity!$E$29+Equity!$E$29+Equity!$E$29+Equity!$E$29,6,""))))))</f>
        <v/>
      </c>
      <c r="X17" s="1699">
        <f>IF(X8=$N$8+Equity!$G$29,1,IF(X8=$N$8+Equity!$G$29+Equity!$E$29,2,IF(X8=$N$8+Equity!$G$29+Equity!$E$29+Equity!$E$29,3,IF(X8=$N$8+Equity!$G$29+Equity!$E$29+Equity!$E$29+Equity!$E$29,4,IF(X8=$N$8+Equity!$G$29+Equity!$E$29+Equity!$E$29+Equity!$E$29+Equity!$E$29,5,IF(X8=$N$8+Equity!$G$29+Equity!$E$29+Equity!$E$29+Equity!$E$29+Equity!$E$29+Equity!$E$29,6,""))))))</f>
        <v>2</v>
      </c>
      <c r="Y17" s="1699" t="str">
        <f>IF(Y8=$N$8+Equity!$G$29,1,IF(Y8=$N$8+Equity!$G$29+Equity!$E$29,2,IF(Y8=$N$8+Equity!$G$29+Equity!$E$29+Equity!$E$29,3,IF(Y8=$N$8+Equity!$G$29+Equity!$E$29+Equity!$E$29+Equity!$E$29,4,IF(Y8=$N$8+Equity!$G$29+Equity!$E$29+Equity!$E$29+Equity!$E$29+Equity!$E$29,5,IF(Y8=$N$8+Equity!$G$29+Equity!$E$29+Equity!$E$29+Equity!$E$29+Equity!$E$29+Equity!$E$29,6,""))))))</f>
        <v/>
      </c>
      <c r="Z17" s="1699" t="str">
        <f>IF(Z8=$N$8+Equity!$G$29,1,IF(Z8=$N$8+Equity!$G$29+Equity!$E$29,2,IF(Z8=$N$8+Equity!$G$29+Equity!$E$29+Equity!$E$29,3,IF(Z8=$N$8+Equity!$G$29+Equity!$E$29+Equity!$E$29+Equity!$E$29,4,IF(Z8=$N$8+Equity!$G$29+Equity!$E$29+Equity!$E$29+Equity!$E$29+Equity!$E$29,5,IF(Z8=$N$8+Equity!$G$29+Equity!$E$29+Equity!$E$29+Equity!$E$29+Equity!$E$29+Equity!$E$29,6,""))))))</f>
        <v/>
      </c>
      <c r="AA17" s="1699" t="str">
        <f>IF(AA8=$N$8+Equity!$G$29,1,IF(AA8=$N$8+Equity!$G$29+Equity!$E$29,2,IF(AA8=$N$8+Equity!$G$29+Equity!$E$29+Equity!$E$29,3,IF(AA8=$N$8+Equity!$G$29+Equity!$E$29+Equity!$E$29+Equity!$E$29,4,IF(AA8=$N$8+Equity!$G$29+Equity!$E$29+Equity!$E$29+Equity!$E$29+Equity!$E$29,5,IF(AA8=$N$8+Equity!$G$29+Equity!$E$29+Equity!$E$29+Equity!$E$29+Equity!$E$29+Equity!$E$29,6,""))))))</f>
        <v/>
      </c>
      <c r="AB17" s="1699" t="str">
        <f>IF(AB8=$N$8+Equity!$G$29,1,IF(AB8=$N$8+Equity!$G$29+Equity!$E$29,2,IF(AB8=$N$8+Equity!$G$29+Equity!$E$29+Equity!$E$29,3,IF(AB8=$N$8+Equity!$G$29+Equity!$E$29+Equity!$E$29+Equity!$E$29,4,IF(AB8=$N$8+Equity!$G$29+Equity!$E$29+Equity!$E$29+Equity!$E$29+Equity!$E$29,5,IF(AB8=$N$8+Equity!$G$29+Equity!$E$29+Equity!$E$29+Equity!$E$29+Equity!$E$29+Equity!$E$29,6,""))))))</f>
        <v/>
      </c>
      <c r="AC17" s="1699" t="str">
        <f>IF(AC8=$N$8+Equity!$G$29,1,IF(AC8=$N$8+Equity!$G$29+Equity!$E$29,2,IF(AC8=$N$8+Equity!$G$29+Equity!$E$29+Equity!$E$29,3,IF(AC8=$N$8+Equity!$G$29+Equity!$E$29+Equity!$E$29+Equity!$E$29,4,IF(AC8=$N$8+Equity!$G$29+Equity!$E$29+Equity!$E$29+Equity!$E$29+Equity!$E$29,5,IF(AC8=$N$8+Equity!$G$29+Equity!$E$29+Equity!$E$29+Equity!$E$29+Equity!$E$29+Equity!$E$29,6,""))))))</f>
        <v/>
      </c>
      <c r="AD17" s="1699" t="str">
        <f>IF(AD8=$N$8+Equity!$G$29,1,IF(AD8=$N$8+Equity!$G$29+Equity!$E$29,2,IF(AD8=$N$8+Equity!$G$29+Equity!$E$29+Equity!$E$29,3,IF(AD8=$N$8+Equity!$G$29+Equity!$E$29+Equity!$E$29+Equity!$E$29,4,IF(AD8=$N$8+Equity!$G$29+Equity!$E$29+Equity!$E$29+Equity!$E$29+Equity!$E$29,5,IF(AD8=$N$8+Equity!$G$29+Equity!$E$29+Equity!$E$29+Equity!$E$29+Equity!$E$29+Equity!$E$29,6,""))))))</f>
        <v/>
      </c>
      <c r="AE17" s="1699">
        <f>IF(AE8=$N$8+Equity!$G$29,1,IF(AE8=$N$8+Equity!$G$29+Equity!$E$29,2,IF(AE8=$N$8+Equity!$G$29+Equity!$E$29+Equity!$E$29,3,IF(AE8=$N$8+Equity!$G$29+Equity!$E$29+Equity!$E$29+Equity!$E$29,4,IF(AE8=$N$8+Equity!$G$29+Equity!$E$29+Equity!$E$29+Equity!$E$29+Equity!$E$29,5,IF(AE8=$N$8+Equity!$G$29+Equity!$E$29+Equity!$E$29+Equity!$E$29+Equity!$E$29+Equity!$E$29,6,""))))))</f>
        <v>3</v>
      </c>
      <c r="AF17" s="1699" t="str">
        <f>IF(AF8=$N$8+Equity!$G$29,1,IF(AF8=$N$8+Equity!$G$29+Equity!$E$29,2,IF(AF8=$N$8+Equity!$G$29+Equity!$E$29+Equity!$E$29,3,IF(AF8=$N$8+Equity!$G$29+Equity!$E$29+Equity!$E$29+Equity!$E$29,4,IF(AF8=$N$8+Equity!$G$29+Equity!$E$29+Equity!$E$29+Equity!$E$29+Equity!$E$29,5,IF(AF8=$N$8+Equity!$G$29+Equity!$E$29+Equity!$E$29+Equity!$E$29+Equity!$E$29+Equity!$E$29,6,""))))))</f>
        <v/>
      </c>
      <c r="AG17" s="1699" t="str">
        <f>IF(AG8=$N$8+Equity!$G$29,1,IF(AG8=$N$8+Equity!$G$29+Equity!$E$29,2,IF(AG8=$N$8+Equity!$G$29+Equity!$E$29+Equity!$E$29,3,IF(AG8=$N$8+Equity!$G$29+Equity!$E$29+Equity!$E$29+Equity!$E$29,4,IF(AG8=$N$8+Equity!$G$29+Equity!$E$29+Equity!$E$29+Equity!$E$29+Equity!$E$29,5,IF(AG8=$N$8+Equity!$G$29+Equity!$E$29+Equity!$E$29+Equity!$E$29+Equity!$E$29+Equity!$E$29,6,""))))))</f>
        <v/>
      </c>
      <c r="AH17" s="1699" t="str">
        <f>IF(AH8=$N$8+Equity!$G$29,1,IF(AH8=$N$8+Equity!$G$29+Equity!$E$29,2,IF(AH8=$N$8+Equity!$G$29+Equity!$E$29+Equity!$E$29,3,IF(AH8=$N$8+Equity!$G$29+Equity!$E$29+Equity!$E$29+Equity!$E$29,4,IF(AH8=$N$8+Equity!$G$29+Equity!$E$29+Equity!$E$29+Equity!$E$29+Equity!$E$29,5,IF(AH8=$N$8+Equity!$G$29+Equity!$E$29+Equity!$E$29+Equity!$E$29+Equity!$E$29+Equity!$E$29,6,""))))))</f>
        <v/>
      </c>
      <c r="AI17" s="1699" t="str">
        <f>IF(AI8=$N$8+Equity!$G$29,1,IF(AI8=$N$8+Equity!$G$29+Equity!$E$29,2,IF(AI8=$N$8+Equity!$G$29+Equity!$E$29+Equity!$E$29,3,IF(AI8=$N$8+Equity!$G$29+Equity!$E$29+Equity!$E$29+Equity!$E$29,4,IF(AI8=$N$8+Equity!$G$29+Equity!$E$29+Equity!$E$29+Equity!$E$29+Equity!$E$29,5,IF(AI8=$N$8+Equity!$G$29+Equity!$E$29+Equity!$E$29+Equity!$E$29+Equity!$E$29+Equity!$E$29,6,""))))))</f>
        <v/>
      </c>
      <c r="AJ17" s="1699" t="str">
        <f>IF(AJ8=$N$8+Equity!$G$29,1,IF(AJ8=$N$8+Equity!$G$29+Equity!$E$29,2,IF(AJ8=$N$8+Equity!$G$29+Equity!$E$29+Equity!$E$29,3,IF(AJ8=$N$8+Equity!$G$29+Equity!$E$29+Equity!$E$29+Equity!$E$29,4,IF(AJ8=$N$8+Equity!$G$29+Equity!$E$29+Equity!$E$29+Equity!$E$29+Equity!$E$29,5,IF(AJ8=$N$8+Equity!$G$29+Equity!$E$29+Equity!$E$29+Equity!$E$29+Equity!$E$29+Equity!$E$29,6,""))))))</f>
        <v/>
      </c>
      <c r="AK17" s="1699" t="str">
        <f>IF(AK8=$N$8+Equity!$G$29,1,IF(AK8=$N$8+Equity!$G$29+Equity!$E$29,2,IF(AK8=$N$8+Equity!$G$29+Equity!$E$29+Equity!$E$29,3,IF(AK8=$N$8+Equity!$G$29+Equity!$E$29+Equity!$E$29+Equity!$E$29,4,IF(AK8=$N$8+Equity!$G$29+Equity!$E$29+Equity!$E$29+Equity!$E$29+Equity!$E$29,5,IF(AK8=$N$8+Equity!$G$29+Equity!$E$29+Equity!$E$29+Equity!$E$29+Equity!$E$29+Equity!$E$29,6,""))))))</f>
        <v/>
      </c>
      <c r="AL17" s="1699">
        <f>IF(AL8=$N$8+Equity!$G$29,1,IF(AL8=$N$8+Equity!$G$29+Equity!$E$29,2,IF(AL8=$N$8+Equity!$G$29+Equity!$E$29+Equity!$E$29,3,IF(AL8=$N$8+Equity!$G$29+Equity!$E$29+Equity!$E$29+Equity!$E$29,4,IF(AL8=$N$8+Equity!$G$29+Equity!$E$29+Equity!$E$29+Equity!$E$29+Equity!$E$29,5,IF(AL8=$N$8+Equity!$G$29+Equity!$E$29+Equity!$E$29+Equity!$E$29+Equity!$E$29+Equity!$E$29,6,""))))))</f>
        <v>4</v>
      </c>
      <c r="AM17" s="1699" t="str">
        <f>IF(AM8=$N$8+Equity!$G$29,1,IF(AM8=$N$8+Equity!$G$29+Equity!$E$29,2,IF(AM8=$N$8+Equity!$G$29+Equity!$E$29+Equity!$E$29,3,IF(AM8=$N$8+Equity!$G$29+Equity!$E$29+Equity!$E$29+Equity!$E$29,4,IF(AM8=$N$8+Equity!$G$29+Equity!$E$29+Equity!$E$29+Equity!$E$29+Equity!$E$29,5,IF(AM8=$N$8+Equity!$G$29+Equity!$E$29+Equity!$E$29+Equity!$E$29+Equity!$E$29+Equity!$E$29,6,""))))))</f>
        <v/>
      </c>
      <c r="AN17" s="1699" t="str">
        <f>IF(AN8=$N$8+Equity!$G$29,1,IF(AN8=$N$8+Equity!$G$29+Equity!$E$29,2,IF(AN8=$N$8+Equity!$G$29+Equity!$E$29+Equity!$E$29,3,IF(AN8=$N$8+Equity!$G$29+Equity!$E$29+Equity!$E$29+Equity!$E$29,4,IF(AN8=$N$8+Equity!$G$29+Equity!$E$29+Equity!$E$29+Equity!$E$29+Equity!$E$29,5,IF(AN8=$N$8+Equity!$G$29+Equity!$E$29+Equity!$E$29+Equity!$E$29+Equity!$E$29+Equity!$E$29,6,""))))))</f>
        <v/>
      </c>
      <c r="AO17" s="1699" t="str">
        <f>IF(AO8=$N$8+Equity!$G$29,1,IF(AO8=$N$8+Equity!$G$29+Equity!$E$29,2,IF(AO8=$N$8+Equity!$G$29+Equity!$E$29+Equity!$E$29,3,IF(AO8=$N$8+Equity!$G$29+Equity!$E$29+Equity!$E$29+Equity!$E$29,4,IF(AO8=$N$8+Equity!$G$29+Equity!$E$29+Equity!$E$29+Equity!$E$29+Equity!$E$29,5,IF(AO8=$N$8+Equity!$G$29+Equity!$E$29+Equity!$E$29+Equity!$E$29+Equity!$E$29+Equity!$E$29,6,""))))))</f>
        <v/>
      </c>
      <c r="AP17" s="1699" t="str">
        <f>IF(AP8=$N$8+Equity!$G$29,1,IF(AP8=$N$8+Equity!$G$29+Equity!$E$29,2,IF(AP8=$N$8+Equity!$G$29+Equity!$E$29+Equity!$E$29,3,IF(AP8=$N$8+Equity!$G$29+Equity!$E$29+Equity!$E$29+Equity!$E$29,4,IF(AP8=$N$8+Equity!$G$29+Equity!$E$29+Equity!$E$29+Equity!$E$29+Equity!$E$29,5,IF(AP8=$N$8+Equity!$G$29+Equity!$E$29+Equity!$E$29+Equity!$E$29+Equity!$E$29+Equity!$E$29,6,""))))))</f>
        <v/>
      </c>
      <c r="AQ17" s="1699" t="str">
        <f>IF(AQ8=$N$8+Equity!$G$29,1,IF(AQ8=$N$8+Equity!$G$29+Equity!$E$29,2,IF(AQ8=$N$8+Equity!$G$29+Equity!$E$29+Equity!$E$29,3,IF(AQ8=$N$8+Equity!$G$29+Equity!$E$29+Equity!$E$29+Equity!$E$29,4,IF(AQ8=$N$8+Equity!$G$29+Equity!$E$29+Equity!$E$29+Equity!$E$29+Equity!$E$29,5,IF(AQ8=$N$8+Equity!$G$29+Equity!$E$29+Equity!$E$29+Equity!$E$29+Equity!$E$29+Equity!$E$29,6,""))))))</f>
        <v/>
      </c>
      <c r="AR17" s="1699" t="str">
        <f>IF(AR8=$N$8+Equity!$G$29,1,IF(AR8=$N$8+Equity!$G$29+Equity!$E$29,2,IF(AR8=$N$8+Equity!$G$29+Equity!$E$29+Equity!$E$29,3,IF(AR8=$N$8+Equity!$G$29+Equity!$E$29+Equity!$E$29+Equity!$E$29,4,IF(AR8=$N$8+Equity!$G$29+Equity!$E$29+Equity!$E$29+Equity!$E$29+Equity!$E$29,5,IF(AR8=$N$8+Equity!$G$29+Equity!$E$29+Equity!$E$29+Equity!$E$29+Equity!$E$29+Equity!$E$29,6,""))))))</f>
        <v/>
      </c>
      <c r="AS17" s="1699">
        <f>IF(AS8=$N$8+Equity!$G$29,1,IF(AS8=$N$8+Equity!$G$29+Equity!$E$29,2,IF(AS8=$N$8+Equity!$G$29+Equity!$E$29+Equity!$E$29,3,IF(AS8=$N$8+Equity!$G$29+Equity!$E$29+Equity!$E$29+Equity!$E$29,4,IF(AS8=$N$8+Equity!$G$29+Equity!$E$29+Equity!$E$29+Equity!$E$29+Equity!$E$29,5,IF(AS8=$N$8+Equity!$G$29+Equity!$E$29+Equity!$E$29+Equity!$E$29+Equity!$E$29+Equity!$E$29,6,""))))))</f>
        <v>5</v>
      </c>
      <c r="AT17" s="1699" t="str">
        <f>IF(AT8=$N$8+Equity!$G$29,1,IF(AT8=$N$8+Equity!$G$29+Equity!$E$29,2,IF(AT8=$N$8+Equity!$G$29+Equity!$E$29+Equity!$E$29,3,IF(AT8=$N$8+Equity!$G$29+Equity!$E$29+Equity!$E$29+Equity!$E$29,4,IF(AT8=$N$8+Equity!$G$29+Equity!$E$29+Equity!$E$29+Equity!$E$29+Equity!$E$29,5,IF(AT8=$N$8+Equity!$G$29+Equity!$E$29+Equity!$E$29+Equity!$E$29+Equity!$E$29+Equity!$E$29,6,""))))))</f>
        <v/>
      </c>
      <c r="AU17" s="1699" t="str">
        <f>IF(AU8=$N$8+Equity!$G$29,1,IF(AU8=$N$8+Equity!$G$29+Equity!$E$29,2,IF(AU8=$N$8+Equity!$G$29+Equity!$E$29+Equity!$E$29,3,IF(AU8=$N$8+Equity!$G$29+Equity!$E$29+Equity!$E$29+Equity!$E$29,4,IF(AU8=$N$8+Equity!$G$29+Equity!$E$29+Equity!$E$29+Equity!$E$29+Equity!$E$29,5,IF(AU8=$N$8+Equity!$G$29+Equity!$E$29+Equity!$E$29+Equity!$E$29+Equity!$E$29+Equity!$E$29,6,""))))))</f>
        <v/>
      </c>
      <c r="AV17" s="1699" t="str">
        <f>IF(AV8=$N$8+Equity!$G$29,1,IF(AV8=$N$8+Equity!$G$29+Equity!$E$29,2,IF(AV8=$N$8+Equity!$G$29+Equity!$E$29+Equity!$E$29,3,IF(AV8=$N$8+Equity!$G$29+Equity!$E$29+Equity!$E$29+Equity!$E$29,4,IF(AV8=$N$8+Equity!$G$29+Equity!$E$29+Equity!$E$29+Equity!$E$29+Equity!$E$29,5,IF(AV8=$N$8+Equity!$G$29+Equity!$E$29+Equity!$E$29+Equity!$E$29+Equity!$E$29+Equity!$E$29,6,""))))))</f>
        <v/>
      </c>
      <c r="AW17" s="1699" t="str">
        <f>IF(AW8=$N$8+Equity!$G$29,1,IF(AW8=$N$8+Equity!$G$29+Equity!$E$29,2,IF(AW8=$N$8+Equity!$G$29+Equity!$E$29+Equity!$E$29,3,IF(AW8=$N$8+Equity!$G$29+Equity!$E$29+Equity!$E$29+Equity!$E$29,4,IF(AW8=$N$8+Equity!$G$29+Equity!$E$29+Equity!$E$29+Equity!$E$29+Equity!$E$29,5,IF(AW8=$N$8+Equity!$G$29+Equity!$E$29+Equity!$E$29+Equity!$E$29+Equity!$E$29+Equity!$E$29,6,""))))))</f>
        <v/>
      </c>
      <c r="AX17" s="1699" t="str">
        <f>IF(AX8=$N$8+Equity!$G$29,1,IF(AX8=$N$8+Equity!$G$29+Equity!$E$29,2,IF(AX8=$N$8+Equity!$G$29+Equity!$E$29+Equity!$E$29,3,IF(AX8=$N$8+Equity!$G$29+Equity!$E$29+Equity!$E$29+Equity!$E$29,4,IF(AX8=$N$8+Equity!$G$29+Equity!$E$29+Equity!$E$29+Equity!$E$29+Equity!$E$29,5,IF(AX8=$N$8+Equity!$G$29+Equity!$E$29+Equity!$E$29+Equity!$E$29+Equity!$E$29+Equity!$E$29,6,""))))))</f>
        <v/>
      </c>
      <c r="AY17" s="1699" t="str">
        <f>IF(AY8=$N$8+Equity!$G$29,1,IF(AY8=$N$8+Equity!$G$29+Equity!$E$29,2,IF(AY8=$N$8+Equity!$G$29+Equity!$E$29+Equity!$E$29,3,IF(AY8=$N$8+Equity!$G$29+Equity!$E$29+Equity!$E$29+Equity!$E$29,4,IF(AY8=$N$8+Equity!$G$29+Equity!$E$29+Equity!$E$29+Equity!$E$29+Equity!$E$29,5,IF(AY8=$N$8+Equity!$G$29+Equity!$E$29+Equity!$E$29+Equity!$E$29+Equity!$E$29+Equity!$E$29,6,""))))))</f>
        <v/>
      </c>
      <c r="AZ17" s="1699">
        <f>IF(AZ8=$N$8+Equity!$G$29,1,IF(AZ8=$N$8+Equity!$G$29+Equity!$E$29,2,IF(AZ8=$N$8+Equity!$G$29+Equity!$E$29+Equity!$E$29,3,IF(AZ8=$N$8+Equity!$G$29+Equity!$E$29+Equity!$E$29+Equity!$E$29,4,IF(AZ8=$N$8+Equity!$G$29+Equity!$E$29+Equity!$E$29+Equity!$E$29+Equity!$E$29,5,IF(AZ8=$N$8+Equity!$G$29+Equity!$E$29+Equity!$E$29+Equity!$E$29+Equity!$E$29+Equity!$E$29,6,""))))))</f>
        <v>6</v>
      </c>
      <c r="BA17" s="1699" t="str">
        <f>IF(BA8=$N$8+Equity!$G$29,1,IF(BA8=$N$8+Equity!$G$29+Equity!$E$29,2,IF(BA8=$N$8+Equity!$G$29+Equity!$E$29+Equity!$E$29,3,IF(BA8=$N$8+Equity!$G$29+Equity!$E$29+Equity!$E$29+Equity!$E$29,4,IF(BA8=$N$8+Equity!$G$29+Equity!$E$29+Equity!$E$29+Equity!$E$29+Equity!$E$29,5,IF(BA8=$N$8+Equity!$G$29+Equity!$E$29+Equity!$E$29+Equity!$E$29+Equity!$E$29+Equity!$E$29,6,""))))))</f>
        <v/>
      </c>
      <c r="BB17" s="1699" t="str">
        <f>IF(BB8=$N$8+Equity!$G$29,1,IF(BB8=$N$8+Equity!$G$29+Equity!$E$29,2,IF(BB8=$N$8+Equity!$G$29+Equity!$E$29+Equity!$E$29,3,IF(BB8=$N$8+Equity!$G$29+Equity!$E$29+Equity!$E$29+Equity!$E$29,4,IF(BB8=$N$8+Equity!$G$29+Equity!$E$29+Equity!$E$29+Equity!$E$29+Equity!$E$29,5,IF(BB8=$N$8+Equity!$G$29+Equity!$E$29+Equity!$E$29+Equity!$E$29+Equity!$E$29+Equity!$E$29,6,""))))))</f>
        <v/>
      </c>
      <c r="BC17" s="1699" t="str">
        <f>IF(BC8=$N$8+Equity!$G$29,1,IF(BC8=$N$8+Equity!$G$29+Equity!$E$29,2,IF(BC8=$N$8+Equity!$G$29+Equity!$E$29+Equity!$E$29,3,IF(BC8=$N$8+Equity!$G$29+Equity!$E$29+Equity!$E$29+Equity!$E$29,4,IF(BC8=$N$8+Equity!$G$29+Equity!$E$29+Equity!$E$29+Equity!$E$29+Equity!$E$29,5,IF(BC8=$N$8+Equity!$G$29+Equity!$E$29+Equity!$E$29+Equity!$E$29+Equity!$E$29+Equity!$E$29,6,""))))))</f>
        <v/>
      </c>
      <c r="BD17" s="1699" t="str">
        <f>IF(BD8=$N$8+Equity!$G$29,1,IF(BD8=$N$8+Equity!$G$29+Equity!$E$29,2,IF(BD8=$N$8+Equity!$G$29+Equity!$E$29+Equity!$E$29,3,IF(BD8=$N$8+Equity!$G$29+Equity!$E$29+Equity!$E$29+Equity!$E$29,4,IF(BD8=$N$8+Equity!$G$29+Equity!$E$29+Equity!$E$29+Equity!$E$29+Equity!$E$29,5,IF(BD8=$N$8+Equity!$G$29+Equity!$E$29+Equity!$E$29+Equity!$E$29+Equity!$E$29+Equity!$E$29,6,""))))))</f>
        <v/>
      </c>
      <c r="BE17" s="1699" t="str">
        <f>IF(BE8=$N$8+Equity!$G$29,1,IF(BE8=$N$8+Equity!$G$29+Equity!$E$29,2,IF(BE8=$N$8+Equity!$G$29+Equity!$E$29+Equity!$E$29,3,IF(BE8=$N$8+Equity!$G$29+Equity!$E$29+Equity!$E$29+Equity!$E$29,4,IF(BE8=$N$8+Equity!$G$29+Equity!$E$29+Equity!$E$29+Equity!$E$29+Equity!$E$29,5,IF(BE8=$N$8+Equity!$G$29+Equity!$E$29+Equity!$E$29+Equity!$E$29+Equity!$E$29+Equity!$E$29,6,""))))))</f>
        <v/>
      </c>
      <c r="BF17" s="1699" t="str">
        <f>IF(BF8=$N$8+Equity!$G$29,1,IF(BF8=$N$8+Equity!$G$29+Equity!$E$29,2,IF(BF8=$N$8+Equity!$G$29+Equity!$E$29+Equity!$E$29,3,IF(BF8=$N$8+Equity!$G$29+Equity!$E$29+Equity!$E$29+Equity!$E$29,4,IF(BF8=$N$8+Equity!$G$29+Equity!$E$29+Equity!$E$29+Equity!$E$29+Equity!$E$29,5,IF(BF8=$N$8+Equity!$G$29+Equity!$E$29+Equity!$E$29+Equity!$E$29+Equity!$E$29+Equity!$E$29,6,""))))))</f>
        <v/>
      </c>
      <c r="BG17" s="1699" t="str">
        <f>IF(BG8=$N$8+Equity!$G$29,1,IF(BG8=$N$8+Equity!$G$29+Equity!$E$29,2,IF(BG8=$N$8+Equity!$G$29+Equity!$E$29+Equity!$E$29,3,IF(BG8=$N$8+Equity!$G$29+Equity!$E$29+Equity!$E$29+Equity!$E$29,4,IF(BG8=$N$8+Equity!$G$29+Equity!$E$29+Equity!$E$29+Equity!$E$29+Equity!$E$29,5,IF(BG8=$N$8+Equity!$G$29+Equity!$E$29+Equity!$E$29+Equity!$E$29+Equity!$E$29+Equity!$E$29,6,""))))))</f>
        <v/>
      </c>
      <c r="BH17" s="1699" t="str">
        <f>IF(BH8=$N$8+Equity!$G$29,1,IF(BH8=$N$8+Equity!$G$29+Equity!$E$29,2,IF(BH8=$N$8+Equity!$G$29+Equity!$E$29+Equity!$E$29,3,IF(BH8=$N$8+Equity!$G$29+Equity!$E$29+Equity!$E$29+Equity!$E$29,4,IF(BH8=$N$8+Equity!$G$29+Equity!$E$29+Equity!$E$29+Equity!$E$29+Equity!$E$29,5,IF(BH8=$N$8+Equity!$G$29+Equity!$E$29+Equity!$E$29+Equity!$E$29+Equity!$E$29+Equity!$E$29,6,""))))))</f>
        <v/>
      </c>
      <c r="BI17" s="1699" t="str">
        <f>IF(BI8=$N$8+Equity!$G$29,1,IF(BI8=$N$8+Equity!$G$29+Equity!$E$29,2,IF(BI8=$N$8+Equity!$G$29+Equity!$E$29+Equity!$E$29,3,IF(BI8=$N$8+Equity!$G$29+Equity!$E$29+Equity!$E$29+Equity!$E$29,4,IF(BI8=$N$8+Equity!$G$29+Equity!$E$29+Equity!$E$29+Equity!$E$29+Equity!$E$29,5,IF(BI8=$N$8+Equity!$G$29+Equity!$E$29+Equity!$E$29+Equity!$E$29+Equity!$E$29+Equity!$E$29,6,""))))))</f>
        <v/>
      </c>
      <c r="BJ17" s="1699" t="str">
        <f>IF(BJ8=$N$8+Equity!$G$29,1,IF(BJ8=$N$8+Equity!$G$29+Equity!$E$29,2,IF(BJ8=$N$8+Equity!$G$29+Equity!$E$29+Equity!$E$29,3,IF(BJ8=$N$8+Equity!$G$29+Equity!$E$29+Equity!$E$29+Equity!$E$29,4,IF(BJ8=$N$8+Equity!$G$29+Equity!$E$29+Equity!$E$29+Equity!$E$29+Equity!$E$29,5,IF(BJ8=$N$8+Equity!$G$29+Equity!$E$29+Equity!$E$29+Equity!$E$29+Equity!$E$29+Equity!$E$29,6,""))))))</f>
        <v/>
      </c>
      <c r="BK17" s="1699" t="str">
        <f>IF(BK8=$N$8+Equity!$G$29,1,IF(BK8=$N$8+Equity!$G$29+Equity!$E$29,2,IF(BK8=$N$8+Equity!$G$29+Equity!$E$29+Equity!$E$29,3,IF(BK8=$N$8+Equity!$G$29+Equity!$E$29+Equity!$E$29+Equity!$E$29,4,IF(BK8=$N$8+Equity!$G$29+Equity!$E$29+Equity!$E$29+Equity!$E$29+Equity!$E$29,5,IF(BK8=$N$8+Equity!$G$29+Equity!$E$29+Equity!$E$29+Equity!$E$29+Equity!$E$29+Equity!$E$29,6,""))))))</f>
        <v/>
      </c>
      <c r="BL17" s="1699" t="str">
        <f>IF(BL8=$N$8+Equity!$G$29,1,IF(BL8=$N$8+Equity!$G$29+Equity!$E$29,2,IF(BL8=$N$8+Equity!$G$29+Equity!$E$29+Equity!$E$29,3,IF(BL8=$N$8+Equity!$G$29+Equity!$E$29+Equity!$E$29+Equity!$E$29,4,IF(BL8=$N$8+Equity!$G$29+Equity!$E$29+Equity!$E$29+Equity!$E$29+Equity!$E$29,5,IF(BL8=$N$8+Equity!$G$29+Equity!$E$29+Equity!$E$29+Equity!$E$29+Equity!$E$29+Equity!$E$29,6,""))))))</f>
        <v/>
      </c>
      <c r="BM17" s="1699" t="str">
        <f>IF(BM8=$N$8+Equity!$G$29,1,IF(BM8=$N$8+Equity!$G$29+Equity!$E$29,2,IF(BM8=$N$8+Equity!$G$29+Equity!$E$29+Equity!$E$29,3,IF(BM8=$N$8+Equity!$G$29+Equity!$E$29+Equity!$E$29+Equity!$E$29,4,IF(BM8=$N$8+Equity!$G$29+Equity!$E$29+Equity!$E$29+Equity!$E$29+Equity!$E$29,5,IF(BM8=$N$8+Equity!$G$29+Equity!$E$29+Equity!$E$29+Equity!$E$29+Equity!$E$29+Equity!$E$29,6,""))))))</f>
        <v/>
      </c>
      <c r="BN17" s="1699" t="str">
        <f>IF(BN8=$N$8+Equity!$G$29,1,IF(BN8=$N$8+Equity!$G$29+Equity!$E$29,2,IF(BN8=$N$8+Equity!$G$29+Equity!$E$29+Equity!$E$29,3,IF(BN8=$N$8+Equity!$G$29+Equity!$E$29+Equity!$E$29+Equity!$E$29,4,IF(BN8=$N$8+Equity!$G$29+Equity!$E$29+Equity!$E$29+Equity!$E$29+Equity!$E$29,5,IF(BN8=$N$8+Equity!$G$29+Equity!$E$29+Equity!$E$29+Equity!$E$29+Equity!$E$29+Equity!$E$29,6,""))))))</f>
        <v/>
      </c>
      <c r="BO17" s="1699" t="str">
        <f>IF(BO8=$N$8+Equity!$G$29,1,IF(BO8=$N$8+Equity!$G$29+Equity!$E$29,2,IF(BO8=$N$8+Equity!$G$29+Equity!$E$29+Equity!$E$29,3,IF(BO8=$N$8+Equity!$G$29+Equity!$E$29+Equity!$E$29+Equity!$E$29,4,IF(BO8=$N$8+Equity!$G$29+Equity!$E$29+Equity!$E$29+Equity!$E$29+Equity!$E$29,5,IF(BO8=$N$8+Equity!$G$29+Equity!$E$29+Equity!$E$29+Equity!$E$29+Equity!$E$29+Equity!$E$29,6,""))))))</f>
        <v/>
      </c>
      <c r="BP17" s="1699" t="str">
        <f>IF(BP8=$N$8+Equity!$G$29,1,IF(BP8=$N$8+Equity!$G$29+Equity!$E$29,2,IF(BP8=$N$8+Equity!$G$29+Equity!$E$29+Equity!$E$29,3,IF(BP8=$N$8+Equity!$G$29+Equity!$E$29+Equity!$E$29+Equity!$E$29,4,IF(BP8=$N$8+Equity!$G$29+Equity!$E$29+Equity!$E$29+Equity!$E$29+Equity!$E$29,5,IF(BP8=$N$8+Equity!$G$29+Equity!$E$29+Equity!$E$29+Equity!$E$29+Equity!$E$29+Equity!$E$29,6,""))))))</f>
        <v/>
      </c>
      <c r="BQ17" s="1699" t="str">
        <f>IF(BQ8=$N$8+Equity!$G$29,1,IF(BQ8=$N$8+Equity!$G$29+Equity!$E$29,2,IF(BQ8=$N$8+Equity!$G$29+Equity!$E$29+Equity!$E$29,3,IF(BQ8=$N$8+Equity!$G$29+Equity!$E$29+Equity!$E$29+Equity!$E$29,4,IF(BQ8=$N$8+Equity!$G$29+Equity!$E$29+Equity!$E$29+Equity!$E$29+Equity!$E$29,5,IF(BQ8=$N$8+Equity!$G$29+Equity!$E$29+Equity!$E$29+Equity!$E$29+Equity!$E$29+Equity!$E$29,6,""))))))</f>
        <v/>
      </c>
      <c r="BR17" s="1699" t="str">
        <f>IF(BR8=$N$8+Equity!$G$29,1,IF(BR8=$N$8+Equity!$G$29+Equity!$E$29,2,IF(BR8=$N$8+Equity!$G$29+Equity!$E$29+Equity!$E$29,3,IF(BR8=$N$8+Equity!$G$29+Equity!$E$29+Equity!$E$29+Equity!$E$29,4,IF(BR8=$N$8+Equity!$G$29+Equity!$E$29+Equity!$E$29+Equity!$E$29+Equity!$E$29,5,IF(BR8=$N$8+Equity!$G$29+Equity!$E$29+Equity!$E$29+Equity!$E$29+Equity!$E$29+Equity!$E$29,6,""))))))</f>
        <v/>
      </c>
      <c r="BS17" s="1699" t="str">
        <f>IF(BS8=$N$8+Equity!$G$29,1,IF(BS8=$N$8+Equity!$G$29+Equity!$E$29,2,IF(BS8=$N$8+Equity!$G$29+Equity!$E$29+Equity!$E$29,3,IF(BS8=$N$8+Equity!$G$29+Equity!$E$29+Equity!$E$29+Equity!$E$29,4,IF(BS8=$N$8+Equity!$G$29+Equity!$E$29+Equity!$E$29+Equity!$E$29+Equity!$E$29,5,IF(BS8=$N$8+Equity!$G$29+Equity!$E$29+Equity!$E$29+Equity!$E$29+Equity!$E$29+Equity!$E$29,6,""))))))</f>
        <v/>
      </c>
      <c r="BT17" s="1699" t="str">
        <f>IF(BT8=$N$8+Equity!$G$29,1,IF(BT8=$N$8+Equity!$G$29+Equity!$E$29,2,IF(BT8=$N$8+Equity!$G$29+Equity!$E$29+Equity!$E$29,3,IF(BT8=$N$8+Equity!$G$29+Equity!$E$29+Equity!$E$29+Equity!$E$29,4,IF(BT8=$N$8+Equity!$G$29+Equity!$E$29+Equity!$E$29+Equity!$E$29+Equity!$E$29,5,IF(BT8=$N$8+Equity!$G$29+Equity!$E$29+Equity!$E$29+Equity!$E$29+Equity!$E$29+Equity!$E$29,6,""))))))</f>
        <v/>
      </c>
      <c r="BU17" s="1699" t="str">
        <f>IF(BU8=$N$8+Equity!$G$29,1,IF(BU8=$N$8+Equity!$G$29+Equity!$E$29,2,IF(BU8=$N$8+Equity!$G$29+Equity!$E$29+Equity!$E$29,3,IF(BU8=$N$8+Equity!$G$29+Equity!$E$29+Equity!$E$29+Equity!$E$29,4,IF(BU8=$N$8+Equity!$G$29+Equity!$E$29+Equity!$E$29+Equity!$E$29+Equity!$E$29,5,IF(BU8=$N$8+Equity!$G$29+Equity!$E$29+Equity!$E$29+Equity!$E$29+Equity!$E$29+Equity!$E$29,6,""))))))</f>
        <v/>
      </c>
      <c r="BV17" s="1699"/>
      <c r="BW17" s="1699"/>
      <c r="BX17" s="1699"/>
    </row>
    <row r="18" spans="2:78">
      <c r="B18" s="741" t="s">
        <v>1232</v>
      </c>
      <c r="C18" s="1880"/>
      <c r="D18" s="989"/>
      <c r="E18" s="989"/>
      <c r="F18" s="990"/>
      <c r="G18" s="990"/>
      <c r="H18" s="991"/>
      <c r="I18" s="991"/>
      <c r="J18" s="991"/>
      <c r="K18" s="992">
        <f>비용집행계획!F14</f>
        <v>0</v>
      </c>
      <c r="L18" s="992">
        <f>비용집행계획!G14</f>
        <v>0</v>
      </c>
      <c r="M18" s="992">
        <f>비용집행계획!H14</f>
        <v>0</v>
      </c>
      <c r="N18" s="992">
        <f>비용집행계획!I14</f>
        <v>0</v>
      </c>
      <c r="O18" s="992">
        <f>비용집행계획!J14</f>
        <v>0</v>
      </c>
      <c r="P18" s="992">
        <f>비용집행계획!K14</f>
        <v>0</v>
      </c>
      <c r="Q18" s="992">
        <f>비용집행계획!L14</f>
        <v>0</v>
      </c>
      <c r="R18" s="992">
        <f>비용집행계획!M14</f>
        <v>0</v>
      </c>
      <c r="S18" s="992">
        <f>비용집행계획!N14</f>
        <v>0</v>
      </c>
      <c r="T18" s="992">
        <f>비용집행계획!O14</f>
        <v>0</v>
      </c>
      <c r="U18" s="992">
        <f>비용집행계획!P14</f>
        <v>0</v>
      </c>
      <c r="V18" s="992">
        <f>비용집행계획!Q14</f>
        <v>0</v>
      </c>
      <c r="W18" s="992">
        <f>비용집행계획!R14</f>
        <v>0</v>
      </c>
      <c r="X18" s="992">
        <f>비용집행계획!S14</f>
        <v>0</v>
      </c>
      <c r="Y18" s="992">
        <f>비용집행계획!T14</f>
        <v>0</v>
      </c>
      <c r="Z18" s="992">
        <f>비용집행계획!U14</f>
        <v>0</v>
      </c>
      <c r="AA18" s="992">
        <f>비용집행계획!V14</f>
        <v>0</v>
      </c>
      <c r="AB18" s="992">
        <f>비용집행계획!W14</f>
        <v>0</v>
      </c>
      <c r="AC18" s="992">
        <f>비용집행계획!X14</f>
        <v>0</v>
      </c>
      <c r="AD18" s="992">
        <f>비용집행계획!Y14</f>
        <v>0</v>
      </c>
      <c r="AE18" s="992">
        <f>비용집행계획!Z14</f>
        <v>0</v>
      </c>
      <c r="AF18" s="992">
        <f>비용집행계획!AA14</f>
        <v>0</v>
      </c>
      <c r="AG18" s="992">
        <f>비용집행계획!AB14</f>
        <v>0</v>
      </c>
      <c r="AH18" s="992">
        <f>비용집행계획!AC14</f>
        <v>0</v>
      </c>
      <c r="AI18" s="992">
        <f>비용집행계획!AD14</f>
        <v>0</v>
      </c>
      <c r="AJ18" s="992">
        <f>비용집행계획!AE14</f>
        <v>0</v>
      </c>
      <c r="AK18" s="992">
        <f>비용집행계획!AF14</f>
        <v>0.2</v>
      </c>
      <c r="AL18" s="992">
        <f>비용집행계획!AG14</f>
        <v>0</v>
      </c>
      <c r="AM18" s="992">
        <f>비용집행계획!AH14</f>
        <v>0.2</v>
      </c>
      <c r="AN18" s="992">
        <f>비용집행계획!AI14</f>
        <v>0</v>
      </c>
      <c r="AO18" s="992">
        <f>비용집행계획!AJ14</f>
        <v>0.3</v>
      </c>
      <c r="AP18" s="992">
        <f>비용집행계획!AK14</f>
        <v>0</v>
      </c>
      <c r="AQ18" s="992">
        <f>비용집행계획!AL14</f>
        <v>0.3</v>
      </c>
      <c r="AR18" s="992">
        <f>비용집행계획!AM14</f>
        <v>0</v>
      </c>
      <c r="AS18" s="992">
        <f>비용집행계획!AN14</f>
        <v>0</v>
      </c>
      <c r="AT18" s="992">
        <f>비용집행계획!AO14</f>
        <v>0</v>
      </c>
      <c r="AU18" s="992">
        <f>비용집행계획!AP14</f>
        <v>0</v>
      </c>
      <c r="AV18" s="992">
        <f>비용집행계획!AQ14</f>
        <v>0</v>
      </c>
      <c r="AW18" s="992">
        <f>비용집행계획!AR14</f>
        <v>0</v>
      </c>
      <c r="AX18" s="992">
        <f>비용집행계획!AS14</f>
        <v>0</v>
      </c>
      <c r="AY18" s="992">
        <f>비용집행계획!AT14</f>
        <v>0</v>
      </c>
      <c r="AZ18" s="992">
        <f>비용집행계획!AU14</f>
        <v>0</v>
      </c>
      <c r="BA18" s="992">
        <f>비용집행계획!AV14</f>
        <v>0</v>
      </c>
      <c r="BB18" s="992">
        <f>비용집행계획!AW14</f>
        <v>0</v>
      </c>
      <c r="BC18" s="992">
        <f>비용집행계획!AX14</f>
        <v>0</v>
      </c>
      <c r="BD18" s="992">
        <f>비용집행계획!AY14</f>
        <v>0</v>
      </c>
      <c r="BE18" s="992">
        <f>비용집행계획!AZ14</f>
        <v>0</v>
      </c>
      <c r="BF18" s="992">
        <f>비용집행계획!BA14</f>
        <v>0</v>
      </c>
      <c r="BG18" s="992">
        <f>비용집행계획!BB14</f>
        <v>0</v>
      </c>
      <c r="BH18" s="992">
        <f>비용집행계획!BC14</f>
        <v>0</v>
      </c>
      <c r="BI18" s="992">
        <f>비용집행계획!BD14</f>
        <v>0</v>
      </c>
      <c r="BJ18" s="992">
        <f>비용집행계획!BE14</f>
        <v>0</v>
      </c>
      <c r="BK18" s="992">
        <f>비용집행계획!BF14</f>
        <v>0</v>
      </c>
      <c r="BL18" s="992">
        <f>비용집행계획!BG14</f>
        <v>0</v>
      </c>
      <c r="BM18" s="992">
        <f>비용집행계획!BH14</f>
        <v>0</v>
      </c>
      <c r="BN18" s="992">
        <f>비용집행계획!BI14</f>
        <v>0</v>
      </c>
      <c r="BO18" s="992">
        <f>비용집행계획!BJ14</f>
        <v>0</v>
      </c>
      <c r="BP18" s="992">
        <f>비용집행계획!BK14</f>
        <v>0</v>
      </c>
      <c r="BQ18" s="992">
        <f>비용집행계획!BL14</f>
        <v>0</v>
      </c>
      <c r="BR18" s="992">
        <f>비용집행계획!BM14</f>
        <v>0</v>
      </c>
      <c r="BS18" s="992">
        <f>비용집행계획!BN14</f>
        <v>0</v>
      </c>
      <c r="BT18" s="992">
        <f>비용집행계획!BO14</f>
        <v>0</v>
      </c>
      <c r="BU18" s="992">
        <f>비용집행계획!BP14</f>
        <v>0</v>
      </c>
      <c r="BV18" s="992"/>
      <c r="BW18" s="992"/>
      <c r="BX18" s="992"/>
      <c r="BY18" s="985"/>
    </row>
    <row r="19" spans="2:78">
      <c r="B19" s="744" t="s">
        <v>1031</v>
      </c>
      <c r="C19" s="1881"/>
      <c r="D19" s="993"/>
      <c r="E19" s="993"/>
      <c r="F19" s="990"/>
      <c r="G19" s="990"/>
      <c r="H19" s="991"/>
      <c r="I19" s="991"/>
      <c r="J19" s="991"/>
      <c r="K19" s="994">
        <f t="shared" ref="K19:L19" si="44">J19+K18</f>
        <v>0</v>
      </c>
      <c r="L19" s="994">
        <f t="shared" si="44"/>
        <v>0</v>
      </c>
      <c r="M19" s="994">
        <f>L19+M18</f>
        <v>0</v>
      </c>
      <c r="N19" s="994">
        <f t="shared" ref="N19:AP19" si="45">M19+N18</f>
        <v>0</v>
      </c>
      <c r="O19" s="994">
        <f t="shared" si="45"/>
        <v>0</v>
      </c>
      <c r="P19" s="994">
        <f t="shared" si="45"/>
        <v>0</v>
      </c>
      <c r="Q19" s="994">
        <f t="shared" si="45"/>
        <v>0</v>
      </c>
      <c r="R19" s="994">
        <f t="shared" si="45"/>
        <v>0</v>
      </c>
      <c r="S19" s="994">
        <f t="shared" si="45"/>
        <v>0</v>
      </c>
      <c r="T19" s="994">
        <f t="shared" si="45"/>
        <v>0</v>
      </c>
      <c r="U19" s="994">
        <f t="shared" si="45"/>
        <v>0</v>
      </c>
      <c r="V19" s="994">
        <f t="shared" si="45"/>
        <v>0</v>
      </c>
      <c r="W19" s="994">
        <f t="shared" si="45"/>
        <v>0</v>
      </c>
      <c r="X19" s="994">
        <f t="shared" si="45"/>
        <v>0</v>
      </c>
      <c r="Y19" s="994">
        <f t="shared" si="45"/>
        <v>0</v>
      </c>
      <c r="Z19" s="994">
        <f t="shared" si="45"/>
        <v>0</v>
      </c>
      <c r="AA19" s="994">
        <f t="shared" si="45"/>
        <v>0</v>
      </c>
      <c r="AB19" s="994">
        <f t="shared" si="45"/>
        <v>0</v>
      </c>
      <c r="AC19" s="994">
        <f t="shared" si="45"/>
        <v>0</v>
      </c>
      <c r="AD19" s="994">
        <f t="shared" si="45"/>
        <v>0</v>
      </c>
      <c r="AE19" s="994">
        <f t="shared" si="45"/>
        <v>0</v>
      </c>
      <c r="AF19" s="994">
        <f t="shared" si="45"/>
        <v>0</v>
      </c>
      <c r="AG19" s="994">
        <f t="shared" si="45"/>
        <v>0</v>
      </c>
      <c r="AH19" s="994">
        <f t="shared" si="45"/>
        <v>0</v>
      </c>
      <c r="AI19" s="994">
        <f t="shared" si="45"/>
        <v>0</v>
      </c>
      <c r="AJ19" s="994">
        <f t="shared" si="45"/>
        <v>0</v>
      </c>
      <c r="AK19" s="994">
        <f t="shared" si="45"/>
        <v>0.2</v>
      </c>
      <c r="AL19" s="994">
        <f t="shared" si="45"/>
        <v>0.2</v>
      </c>
      <c r="AM19" s="994">
        <f t="shared" si="45"/>
        <v>0.4</v>
      </c>
      <c r="AN19" s="994">
        <f t="shared" si="45"/>
        <v>0.4</v>
      </c>
      <c r="AO19" s="994">
        <f t="shared" si="45"/>
        <v>0.7</v>
      </c>
      <c r="AP19" s="994">
        <f t="shared" si="45"/>
        <v>0.7</v>
      </c>
      <c r="AQ19" s="995">
        <f t="shared" ref="AQ19:AV19" si="46">AP19+AQ18</f>
        <v>1</v>
      </c>
      <c r="AR19" s="994">
        <f t="shared" si="46"/>
        <v>1</v>
      </c>
      <c r="AS19" s="994">
        <f t="shared" si="46"/>
        <v>1</v>
      </c>
      <c r="AT19" s="994">
        <f t="shared" si="46"/>
        <v>1</v>
      </c>
      <c r="AU19" s="994">
        <f t="shared" si="46"/>
        <v>1</v>
      </c>
      <c r="AV19" s="994">
        <f t="shared" si="46"/>
        <v>1</v>
      </c>
      <c r="AW19" s="994">
        <f>AU19+AW18</f>
        <v>1</v>
      </c>
      <c r="AX19" s="994">
        <f>AW19+AX18</f>
        <v>1</v>
      </c>
      <c r="AY19" s="994">
        <f>AX19+AY18</f>
        <v>1</v>
      </c>
      <c r="AZ19" s="994">
        <f>AY19+AZ18</f>
        <v>1</v>
      </c>
      <c r="BA19" s="994">
        <f t="shared" ref="BA19:BU19" si="47">AZ19+BA18</f>
        <v>1</v>
      </c>
      <c r="BB19" s="994">
        <f t="shared" si="47"/>
        <v>1</v>
      </c>
      <c r="BC19" s="994">
        <f t="shared" si="47"/>
        <v>1</v>
      </c>
      <c r="BD19" s="994">
        <f t="shared" si="47"/>
        <v>1</v>
      </c>
      <c r="BE19" s="994">
        <f t="shared" si="47"/>
        <v>1</v>
      </c>
      <c r="BF19" s="994">
        <f t="shared" si="47"/>
        <v>1</v>
      </c>
      <c r="BG19" s="994">
        <f t="shared" si="47"/>
        <v>1</v>
      </c>
      <c r="BH19" s="994">
        <f t="shared" si="47"/>
        <v>1</v>
      </c>
      <c r="BI19" s="994">
        <f t="shared" si="47"/>
        <v>1</v>
      </c>
      <c r="BJ19" s="994">
        <f t="shared" si="47"/>
        <v>1</v>
      </c>
      <c r="BK19" s="994">
        <f t="shared" si="47"/>
        <v>1</v>
      </c>
      <c r="BL19" s="994">
        <f t="shared" si="47"/>
        <v>1</v>
      </c>
      <c r="BM19" s="994">
        <f t="shared" si="47"/>
        <v>1</v>
      </c>
      <c r="BN19" s="994">
        <f t="shared" si="47"/>
        <v>1</v>
      </c>
      <c r="BO19" s="994">
        <f t="shared" si="47"/>
        <v>1</v>
      </c>
      <c r="BP19" s="994">
        <f t="shared" si="47"/>
        <v>1</v>
      </c>
      <c r="BQ19" s="994">
        <f t="shared" si="47"/>
        <v>1</v>
      </c>
      <c r="BR19" s="994">
        <f t="shared" si="47"/>
        <v>1</v>
      </c>
      <c r="BS19" s="994">
        <f t="shared" si="47"/>
        <v>1</v>
      </c>
      <c r="BT19" s="994">
        <f t="shared" si="47"/>
        <v>1</v>
      </c>
      <c r="BU19" s="994">
        <f t="shared" si="47"/>
        <v>1</v>
      </c>
      <c r="BV19" s="994">
        <f t="shared" ref="BV19" si="48">BU19+BV18</f>
        <v>1</v>
      </c>
      <c r="BW19" s="994">
        <f t="shared" ref="BW19" si="49">BV19+BW18</f>
        <v>1</v>
      </c>
      <c r="BX19" s="994">
        <f t="shared" ref="BX19" si="50">BW19+BX18</f>
        <v>1</v>
      </c>
      <c r="BY19" s="976"/>
    </row>
    <row r="20" spans="2:78" s="957" customFormat="1" ht="15.6">
      <c r="B20" s="996"/>
      <c r="C20" s="963"/>
      <c r="E20" s="997"/>
      <c r="F20" s="998"/>
      <c r="G20" s="998"/>
      <c r="H20" s="998"/>
      <c r="I20" s="998"/>
      <c r="J20" s="998"/>
      <c r="K20" s="999"/>
      <c r="L20" s="999"/>
      <c r="M20" s="999"/>
      <c r="N20" s="1699" t="str">
        <f>IFERROR(IF(N8=$N$8+Equity!$G$30,1,IF(N8=$N$8+Equity!$G$30+Equity!$E$30,2,IF(N8=$N$8+Equity!$G$30+Equity!$E$30+Equity!$E$30,3,IF(N8=$N$8+Equity!$G$30+Equity!$E$30+Equity!$E$30+Equity!$E$30,4,IF(N8=$N$8+Equity!$G$30+Equity!$E$30+Equity!$E$30+Equity!$E$30+Equity!$E$30,5,IF(N8=$N$8+Equity!$G$30+Equity!$E$30+Equity!$E$30+Equity!$E$30+Equity!$E$30+Equity!$E$30,6,"")))))),"")</f>
        <v/>
      </c>
      <c r="O20" s="1699" t="str">
        <f>IFERROR(IF(O8=$N$8+Equity!$G$30,1,IF(O8=$N$8+Equity!$G$30+Equity!$E$30,2,IF(O8=$N$8+Equity!$G$30+Equity!$E$30+Equity!$E$30,3,IF(O8=$N$8+Equity!$G$30+Equity!$E$30+Equity!$E$30+Equity!$E$30,4,IF(O8=$N$8+Equity!$G$30+Equity!$E$30+Equity!$E$30+Equity!$E$30+Equity!$E$30,5,IF(O8=$N$8+Equity!$G$30+Equity!$E$30+Equity!$E$30+Equity!$E$30+Equity!$E$30+Equity!$E$30,6,"")))))),"")</f>
        <v/>
      </c>
      <c r="P20" s="1699" t="str">
        <f>IFERROR(IF(P8=$N$8+Equity!$G$30,1,IF(P8=$N$8+Equity!$G$30+Equity!$E$30,2,IF(P8=$N$8+Equity!$G$30+Equity!$E$30+Equity!$E$30,3,IF(P8=$N$8+Equity!$G$30+Equity!$E$30+Equity!$E$30+Equity!$E$30,4,IF(P8=$N$8+Equity!$G$30+Equity!$E$30+Equity!$E$30+Equity!$E$30+Equity!$E$30,5,IF(P8=$N$8+Equity!$G$30+Equity!$E$30+Equity!$E$30+Equity!$E$30+Equity!$E$30+Equity!$E$30,6,"")))))),"")</f>
        <v/>
      </c>
      <c r="Q20" s="1699" t="str">
        <f>IFERROR(IF(Q8=$N$8+Equity!$G$30,1,IF(Q8=$N$8+Equity!$G$30+Equity!$E$30,2,IF(Q8=$N$8+Equity!$G$30+Equity!$E$30+Equity!$E$30,3,IF(Q8=$N$8+Equity!$G$30+Equity!$E$30+Equity!$E$30+Equity!$E$30,4,IF(Q8=$N$8+Equity!$G$30+Equity!$E$30+Equity!$E$30+Equity!$E$30+Equity!$E$30,5,IF(Q8=$N$8+Equity!$G$30+Equity!$E$30+Equity!$E$30+Equity!$E$30+Equity!$E$30+Equity!$E$30,6,"")))))),"")</f>
        <v/>
      </c>
      <c r="R20" s="1699">
        <f>IFERROR(IF(R8=$N$8+Equity!$G$30,1,IF(R8=$N$8+Equity!$G$30+Equity!$E$30,2,IF(R8=$N$8+Equity!$G$30+Equity!$E$30+Equity!$E$30,3,IF(R8=$N$8+Equity!$G$30+Equity!$E$30+Equity!$E$30+Equity!$E$30,4,IF(R8=$N$8+Equity!$G$30+Equity!$E$30+Equity!$E$30+Equity!$E$30+Equity!$E$30,5,IF(R8=$N$8+Equity!$G$30+Equity!$E$30+Equity!$E$30+Equity!$E$30+Equity!$E$30+Equity!$E$30,6,"")))))),"")</f>
        <v>1</v>
      </c>
      <c r="S20" s="1699" t="str">
        <f>IFERROR(IF(S8=$N$8+Equity!$G$30,1,IF(S8=$N$8+Equity!$G$30+Equity!$E$30,2,IF(S8=$N$8+Equity!$G$30+Equity!$E$30+Equity!$E$30,3,IF(S8=$N$8+Equity!$G$30+Equity!$E$30+Equity!$E$30+Equity!$E$30,4,IF(S8=$N$8+Equity!$G$30+Equity!$E$30+Equity!$E$30+Equity!$E$30+Equity!$E$30,5,IF(S8=$N$8+Equity!$G$30+Equity!$E$30+Equity!$E$30+Equity!$E$30+Equity!$E$30+Equity!$E$30,6,"")))))),"")</f>
        <v/>
      </c>
      <c r="T20" s="1699" t="str">
        <f>IFERROR(IF(T8=$N$8+Equity!$G$30,1,IF(T8=$N$8+Equity!$G$30+Equity!$E$30,2,IF(T8=$N$8+Equity!$G$30+Equity!$E$30+Equity!$E$30,3,IF(T8=$N$8+Equity!$G$30+Equity!$E$30+Equity!$E$30+Equity!$E$30,4,IF(T8=$N$8+Equity!$G$30+Equity!$E$30+Equity!$E$30+Equity!$E$30+Equity!$E$30,5,IF(T8=$N$8+Equity!$G$30+Equity!$E$30+Equity!$E$30+Equity!$E$30+Equity!$E$30+Equity!$E$30,6,"")))))),"")</f>
        <v/>
      </c>
      <c r="U20" s="1699" t="str">
        <f>IFERROR(IF(U8=$N$8+Equity!$G$30,1,IF(U8=$N$8+Equity!$G$30+Equity!$E$30,2,IF(U8=$N$8+Equity!$G$30+Equity!$E$30+Equity!$E$30,3,IF(U8=$N$8+Equity!$G$30+Equity!$E$30+Equity!$E$30+Equity!$E$30,4,IF(U8=$N$8+Equity!$G$30+Equity!$E$30+Equity!$E$30+Equity!$E$30+Equity!$E$30,5,IF(U8=$N$8+Equity!$G$30+Equity!$E$30+Equity!$E$30+Equity!$E$30+Equity!$E$30+Equity!$E$30,6,"")))))),"")</f>
        <v/>
      </c>
      <c r="V20" s="1699">
        <f>IFERROR(IF(V8=$N$8+Equity!$G$30,1,IF(V8=$N$8+Equity!$G$30+Equity!$E$30,2,IF(V8=$N$8+Equity!$G$30+Equity!$E$30+Equity!$E$30,3,IF(V8=$N$8+Equity!$G$30+Equity!$E$30+Equity!$E$30+Equity!$E$30,4,IF(V8=$N$8+Equity!$G$30+Equity!$E$30+Equity!$E$30+Equity!$E$30+Equity!$E$30,5,IF(V8=$N$8+Equity!$G$30+Equity!$E$30+Equity!$E$30+Equity!$E$30+Equity!$E$30+Equity!$E$30,6,"")))))),"")</f>
        <v>2</v>
      </c>
      <c r="W20" s="1699" t="str">
        <f>IFERROR(IF(W8=$N$8+Equity!$G$30,1,IF(W8=$N$8+Equity!$G$30+Equity!$E$30,2,IF(W8=$N$8+Equity!$G$30+Equity!$E$30+Equity!$E$30,3,IF(W8=$N$8+Equity!$G$30+Equity!$E$30+Equity!$E$30+Equity!$E$30,4,IF(W8=$N$8+Equity!$G$30+Equity!$E$30+Equity!$E$30+Equity!$E$30+Equity!$E$30,5,IF(W8=$N$8+Equity!$G$30+Equity!$E$30+Equity!$E$30+Equity!$E$30+Equity!$E$30+Equity!$E$30,6,"")))))),"")</f>
        <v/>
      </c>
      <c r="X20" s="1699" t="str">
        <f>IFERROR(IF(X8=$N$8+Equity!$G$30,1,IF(X8=$N$8+Equity!$G$30+Equity!$E$30,2,IF(X8=$N$8+Equity!$G$30+Equity!$E$30+Equity!$E$30,3,IF(X8=$N$8+Equity!$G$30+Equity!$E$30+Equity!$E$30+Equity!$E$30,4,IF(X8=$N$8+Equity!$G$30+Equity!$E$30+Equity!$E$30+Equity!$E$30+Equity!$E$30,5,IF(X8=$N$8+Equity!$G$30+Equity!$E$30+Equity!$E$30+Equity!$E$30+Equity!$E$30+Equity!$E$30,6,"")))))),"")</f>
        <v/>
      </c>
      <c r="Y20" s="1699" t="str">
        <f>IFERROR(IF(Y8=$N$8+Equity!$G$30,1,IF(Y8=$N$8+Equity!$G$30+Equity!$E$30,2,IF(Y8=$N$8+Equity!$G$30+Equity!$E$30+Equity!$E$30,3,IF(Y8=$N$8+Equity!$G$30+Equity!$E$30+Equity!$E$30+Equity!$E$30,4,IF(Y8=$N$8+Equity!$G$30+Equity!$E$30+Equity!$E$30+Equity!$E$30+Equity!$E$30,5,IF(Y8=$N$8+Equity!$G$30+Equity!$E$30+Equity!$E$30+Equity!$E$30+Equity!$E$30+Equity!$E$30,6,"")))))),"")</f>
        <v/>
      </c>
      <c r="Z20" s="1699">
        <f>IFERROR(IF(Z8=$N$8+Equity!$G$30,1,IF(Z8=$N$8+Equity!$G$30+Equity!$E$30,2,IF(Z8=$N$8+Equity!$G$30+Equity!$E$30+Equity!$E$30,3,IF(Z8=$N$8+Equity!$G$30+Equity!$E$30+Equity!$E$30+Equity!$E$30,4,IF(Z8=$N$8+Equity!$G$30+Equity!$E$30+Equity!$E$30+Equity!$E$30+Equity!$E$30,5,IF(Z8=$N$8+Equity!$G$30+Equity!$E$30+Equity!$E$30+Equity!$E$30+Equity!$E$30+Equity!$E$30,6,"")))))),"")</f>
        <v>3</v>
      </c>
      <c r="AA20" s="1699" t="str">
        <f>IFERROR(IF(AA8=$N$8+Equity!$G$30,1,IF(AA8=$N$8+Equity!$G$30+Equity!$E$30,2,IF(AA8=$N$8+Equity!$G$30+Equity!$E$30+Equity!$E$30,3,IF(AA8=$N$8+Equity!$G$30+Equity!$E$30+Equity!$E$30+Equity!$E$30,4,IF(AA8=$N$8+Equity!$G$30+Equity!$E$30+Equity!$E$30+Equity!$E$30+Equity!$E$30,5,IF(AA8=$N$8+Equity!$G$30+Equity!$E$30+Equity!$E$30+Equity!$E$30+Equity!$E$30+Equity!$E$30,6,"")))))),"")</f>
        <v/>
      </c>
      <c r="AB20" s="1699" t="str">
        <f>IFERROR(IF(AB8=$N$8+Equity!$G$30,1,IF(AB8=$N$8+Equity!$G$30+Equity!$E$30,2,IF(AB8=$N$8+Equity!$G$30+Equity!$E$30+Equity!$E$30,3,IF(AB8=$N$8+Equity!$G$30+Equity!$E$30+Equity!$E$30+Equity!$E$30,4,IF(AB8=$N$8+Equity!$G$30+Equity!$E$30+Equity!$E$30+Equity!$E$30+Equity!$E$30,5,IF(AB8=$N$8+Equity!$G$30+Equity!$E$30+Equity!$E$30+Equity!$E$30+Equity!$E$30+Equity!$E$30,6,"")))))),"")</f>
        <v/>
      </c>
      <c r="AC20" s="1699" t="str">
        <f>IFERROR(IF(AC8=$N$8+Equity!$G$30,1,IF(AC8=$N$8+Equity!$G$30+Equity!$E$30,2,IF(AC8=$N$8+Equity!$G$30+Equity!$E$30+Equity!$E$30,3,IF(AC8=$N$8+Equity!$G$30+Equity!$E$30+Equity!$E$30+Equity!$E$30,4,IF(AC8=$N$8+Equity!$G$30+Equity!$E$30+Equity!$E$30+Equity!$E$30+Equity!$E$30,5,IF(AC8=$N$8+Equity!$G$30+Equity!$E$30+Equity!$E$30+Equity!$E$30+Equity!$E$30+Equity!$E$30,6,"")))))),"")</f>
        <v/>
      </c>
      <c r="AD20" s="1699">
        <f>IFERROR(IF(AD8=$N$8+Equity!$G$30,1,IF(AD8=$N$8+Equity!$G$30+Equity!$E$30,2,IF(AD8=$N$8+Equity!$G$30+Equity!$E$30+Equity!$E$30,3,IF(AD8=$N$8+Equity!$G$30+Equity!$E$30+Equity!$E$30+Equity!$E$30,4,IF(AD8=$N$8+Equity!$G$30+Equity!$E$30+Equity!$E$30+Equity!$E$30+Equity!$E$30,5,IF(AD8=$N$8+Equity!$G$30+Equity!$E$30+Equity!$E$30+Equity!$E$30+Equity!$E$30+Equity!$E$30,6,"")))))),"")</f>
        <v>4</v>
      </c>
      <c r="AE20" s="1699" t="str">
        <f>IFERROR(IF(AE8=$N$8+Equity!$G$30,1,IF(AE8=$N$8+Equity!$G$30+Equity!$E$30,2,IF(AE8=$N$8+Equity!$G$30+Equity!$E$30+Equity!$E$30,3,IF(AE8=$N$8+Equity!$G$30+Equity!$E$30+Equity!$E$30+Equity!$E$30,4,IF(AE8=$N$8+Equity!$G$30+Equity!$E$30+Equity!$E$30+Equity!$E$30+Equity!$E$30,5,IF(AE8=$N$8+Equity!$G$30+Equity!$E$30+Equity!$E$30+Equity!$E$30+Equity!$E$30+Equity!$E$30,6,"")))))),"")</f>
        <v/>
      </c>
      <c r="AF20" s="1699" t="str">
        <f>IFERROR(IF(AF8=$N$8+Equity!$G$30,1,IF(AF8=$N$8+Equity!$G$30+Equity!$E$30,2,IF(AF8=$N$8+Equity!$G$30+Equity!$E$30+Equity!$E$30,3,IF(AF8=$N$8+Equity!$G$30+Equity!$E$30+Equity!$E$30+Equity!$E$30,4,IF(AF8=$N$8+Equity!$G$30+Equity!$E$30+Equity!$E$30+Equity!$E$30+Equity!$E$30,5,IF(AF8=$N$8+Equity!$G$30+Equity!$E$30+Equity!$E$30+Equity!$E$30+Equity!$E$30+Equity!$E$30,6,"")))))),"")</f>
        <v/>
      </c>
      <c r="AG20" s="1699" t="str">
        <f>IFERROR(IF(AG8=$N$8+Equity!$G$30,1,IF(AG8=$N$8+Equity!$G$30+Equity!$E$30,2,IF(AG8=$N$8+Equity!$G$30+Equity!$E$30+Equity!$E$30,3,IF(AG8=$N$8+Equity!$G$30+Equity!$E$30+Equity!$E$30+Equity!$E$30,4,IF(AG8=$N$8+Equity!$G$30+Equity!$E$30+Equity!$E$30+Equity!$E$30+Equity!$E$30,5,IF(AG8=$N$8+Equity!$G$30+Equity!$E$30+Equity!$E$30+Equity!$E$30+Equity!$E$30+Equity!$E$30,6,"")))))),"")</f>
        <v/>
      </c>
      <c r="AH20" s="1699">
        <f>IFERROR(IF(AH8=$N$8+Equity!$G$30,1,IF(AH8=$N$8+Equity!$G$30+Equity!$E$30,2,IF(AH8=$N$8+Equity!$G$30+Equity!$E$30+Equity!$E$30,3,IF(AH8=$N$8+Equity!$G$30+Equity!$E$30+Equity!$E$30+Equity!$E$30,4,IF(AH8=$N$8+Equity!$G$30+Equity!$E$30+Equity!$E$30+Equity!$E$30+Equity!$E$30,5,IF(AH8=$N$8+Equity!$G$30+Equity!$E$30+Equity!$E$30+Equity!$E$30+Equity!$E$30+Equity!$E$30,6,"")))))),"")</f>
        <v>5</v>
      </c>
      <c r="AI20" s="1699" t="str">
        <f>IFERROR(IF(AI8=$N$8+Equity!$G$30,1,IF(AI8=$N$8+Equity!$G$30+Equity!$E$30,2,IF(AI8=$N$8+Equity!$G$30+Equity!$E$30+Equity!$E$30,3,IF(AI8=$N$8+Equity!$G$30+Equity!$E$30+Equity!$E$30+Equity!$E$30,4,IF(AI8=$N$8+Equity!$G$30+Equity!$E$30+Equity!$E$30+Equity!$E$30+Equity!$E$30,5,IF(AI8=$N$8+Equity!$G$30+Equity!$E$30+Equity!$E$30+Equity!$E$30+Equity!$E$30+Equity!$E$30,6,"")))))),"")</f>
        <v/>
      </c>
      <c r="AJ20" s="1699" t="str">
        <f>IFERROR(IF(AJ8=$N$8+Equity!$G$30,1,IF(AJ8=$N$8+Equity!$G$30+Equity!$E$30,2,IF(AJ8=$N$8+Equity!$G$30+Equity!$E$30+Equity!$E$30,3,IF(AJ8=$N$8+Equity!$G$30+Equity!$E$30+Equity!$E$30+Equity!$E$30,4,IF(AJ8=$N$8+Equity!$G$30+Equity!$E$30+Equity!$E$30+Equity!$E$30+Equity!$E$30,5,IF(AJ8=$N$8+Equity!$G$30+Equity!$E$30+Equity!$E$30+Equity!$E$30+Equity!$E$30+Equity!$E$30,6,"")))))),"")</f>
        <v/>
      </c>
      <c r="AK20" s="1699" t="str">
        <f>IFERROR(IF(AK8=$N$8+Equity!$G$30,1,IF(AK8=$N$8+Equity!$G$30+Equity!$E$30,2,IF(AK8=$N$8+Equity!$G$30+Equity!$E$30+Equity!$E$30,3,IF(AK8=$N$8+Equity!$G$30+Equity!$E$30+Equity!$E$30+Equity!$E$30,4,IF(AK8=$N$8+Equity!$G$30+Equity!$E$30+Equity!$E$30+Equity!$E$30+Equity!$E$30,5,IF(AK8=$N$8+Equity!$G$30+Equity!$E$30+Equity!$E$30+Equity!$E$30+Equity!$E$30+Equity!$E$30,6,"")))))),"")</f>
        <v/>
      </c>
      <c r="AL20" s="1699">
        <f>IFERROR(IF(AL8=$N$8+Equity!$G$30,1,IF(AL8=$N$8+Equity!$G$30+Equity!$E$30,2,IF(AL8=$N$8+Equity!$G$30+Equity!$E$30+Equity!$E$30,3,IF(AL8=$N$8+Equity!$G$30+Equity!$E$30+Equity!$E$30+Equity!$E$30,4,IF(AL8=$N$8+Equity!$G$30+Equity!$E$30+Equity!$E$30+Equity!$E$30+Equity!$E$30,5,IF(AL8=$N$8+Equity!$G$30+Equity!$E$30+Equity!$E$30+Equity!$E$30+Equity!$E$30+Equity!$E$30,6,"")))))),"")</f>
        <v>6</v>
      </c>
      <c r="AM20" s="1699" t="str">
        <f>IFERROR(IF(AM8=$N$8+Equity!$G$30,1,IF(AM8=$N$8+Equity!$G$30+Equity!$E$30,2,IF(AM8=$N$8+Equity!$G$30+Equity!$E$30+Equity!$E$30,3,IF(AM8=$N$8+Equity!$G$30+Equity!$E$30+Equity!$E$30+Equity!$E$30,4,IF(AM8=$N$8+Equity!$G$30+Equity!$E$30+Equity!$E$30+Equity!$E$30+Equity!$E$30,5,IF(AM8=$N$8+Equity!$G$30+Equity!$E$30+Equity!$E$30+Equity!$E$30+Equity!$E$30+Equity!$E$30,6,"")))))),"")</f>
        <v/>
      </c>
      <c r="AN20" s="1699" t="str">
        <f>IFERROR(IF(AN8=$N$8+Equity!$G$30,1,IF(AN8=$N$8+Equity!$G$30+Equity!$E$30,2,IF(AN8=$N$8+Equity!$G$30+Equity!$E$30+Equity!$E$30,3,IF(AN8=$N$8+Equity!$G$30+Equity!$E$30+Equity!$E$30+Equity!$E$30,4,IF(AN8=$N$8+Equity!$G$30+Equity!$E$30+Equity!$E$30+Equity!$E$30+Equity!$E$30,5,IF(AN8=$N$8+Equity!$G$30+Equity!$E$30+Equity!$E$30+Equity!$E$30+Equity!$E$30+Equity!$E$30,6,"")))))),"")</f>
        <v/>
      </c>
      <c r="AO20" s="1699" t="str">
        <f>IFERROR(IF(AO8=$N$8+Equity!$G$30,1,IF(AO8=$N$8+Equity!$G$30+Equity!$E$30,2,IF(AO8=$N$8+Equity!$G$30+Equity!$E$30+Equity!$E$30,3,IF(AO8=$N$8+Equity!$G$30+Equity!$E$30+Equity!$E$30+Equity!$E$30,4,IF(AO8=$N$8+Equity!$G$30+Equity!$E$30+Equity!$E$30+Equity!$E$30+Equity!$E$30,5,IF(AO8=$N$8+Equity!$G$30+Equity!$E$30+Equity!$E$30+Equity!$E$30+Equity!$E$30+Equity!$E$30,6,"")))))),"")</f>
        <v/>
      </c>
      <c r="AP20" s="1699" t="str">
        <f>IFERROR(IF(AP8=$N$8+Equity!$G$30,1,IF(AP8=$N$8+Equity!$G$30+Equity!$E$30,2,IF(AP8=$N$8+Equity!$G$30+Equity!$E$30+Equity!$E$30,3,IF(AP8=$N$8+Equity!$G$30+Equity!$E$30+Equity!$E$30+Equity!$E$30,4,IF(AP8=$N$8+Equity!$G$30+Equity!$E$30+Equity!$E$30+Equity!$E$30+Equity!$E$30,5,IF(AP8=$N$8+Equity!$G$30+Equity!$E$30+Equity!$E$30+Equity!$E$30+Equity!$E$30+Equity!$E$30,6,"")))))),"")</f>
        <v/>
      </c>
      <c r="AQ20" s="1699" t="str">
        <f>IFERROR(IF(AQ8=$N$8+Equity!$G$30,1,IF(AQ8=$N$8+Equity!$G$30+Equity!$E$30,2,IF(AQ8=$N$8+Equity!$G$30+Equity!$E$30+Equity!$E$30,3,IF(AQ8=$N$8+Equity!$G$30+Equity!$E$30+Equity!$E$30+Equity!$E$30,4,IF(AQ8=$N$8+Equity!$G$30+Equity!$E$30+Equity!$E$30+Equity!$E$30+Equity!$E$30,5,IF(AQ8=$N$8+Equity!$G$30+Equity!$E$30+Equity!$E$30+Equity!$E$30+Equity!$E$30+Equity!$E$30,6,"")))))),"")</f>
        <v/>
      </c>
      <c r="AR20" s="1699" t="str">
        <f>IFERROR(IF(AR8=$N$8+Equity!$G$30,1,IF(AR8=$N$8+Equity!$G$30+Equity!$E$30,2,IF(AR8=$N$8+Equity!$G$30+Equity!$E$30+Equity!$E$30,3,IF(AR8=$N$8+Equity!$G$30+Equity!$E$30+Equity!$E$30+Equity!$E$30,4,IF(AR8=$N$8+Equity!$G$30+Equity!$E$30+Equity!$E$30+Equity!$E$30+Equity!$E$30,5,IF(AR8=$N$8+Equity!$G$30+Equity!$E$30+Equity!$E$30+Equity!$E$30+Equity!$E$30+Equity!$E$30,6,"")))))),"")</f>
        <v/>
      </c>
      <c r="AS20" s="1699" t="str">
        <f>IFERROR(IF(AS8=$N$8+Equity!$G$30,1,IF(AS8=$N$8+Equity!$G$30+Equity!$E$30,2,IF(AS8=$N$8+Equity!$G$30+Equity!$E$30+Equity!$E$30,3,IF(AS8=$N$8+Equity!$G$30+Equity!$E$30+Equity!$E$30+Equity!$E$30,4,IF(AS8=$N$8+Equity!$G$30+Equity!$E$30+Equity!$E$30+Equity!$E$30+Equity!$E$30,5,IF(AS8=$N$8+Equity!$G$30+Equity!$E$30+Equity!$E$30+Equity!$E$30+Equity!$E$30+Equity!$E$30,6,"")))))),"")</f>
        <v/>
      </c>
      <c r="AT20" s="1699" t="str">
        <f>IFERROR(IF(AT8=$N$8+Equity!$G$30,1,IF(AT8=$N$8+Equity!$G$30+Equity!$E$30,2,IF(AT8=$N$8+Equity!$G$30+Equity!$E$30+Equity!$E$30,3,IF(AT8=$N$8+Equity!$G$30+Equity!$E$30+Equity!$E$30+Equity!$E$30,4,IF(AT8=$N$8+Equity!$G$30+Equity!$E$30+Equity!$E$30+Equity!$E$30+Equity!$E$30,5,IF(AT8=$N$8+Equity!$G$30+Equity!$E$30+Equity!$E$30+Equity!$E$30+Equity!$E$30+Equity!$E$30,6,"")))))),"")</f>
        <v/>
      </c>
      <c r="AU20" s="1699" t="str">
        <f>IFERROR(IF(AU8=$N$8+Equity!$G$30,1,IF(AU8=$N$8+Equity!$G$30+Equity!$E$30,2,IF(AU8=$N$8+Equity!$G$30+Equity!$E$30+Equity!$E$30,3,IF(AU8=$N$8+Equity!$G$30+Equity!$E$30+Equity!$E$30+Equity!$E$30,4,IF(AU8=$N$8+Equity!$G$30+Equity!$E$30+Equity!$E$30+Equity!$E$30+Equity!$E$30,5,IF(AU8=$N$8+Equity!$G$30+Equity!$E$30+Equity!$E$30+Equity!$E$30+Equity!$E$30+Equity!$E$30,6,"")))))),"")</f>
        <v/>
      </c>
      <c r="AV20" s="1699" t="str">
        <f>IFERROR(IF(AV8=$N$8+Equity!$G$30,1,IF(AV8=$N$8+Equity!$G$30+Equity!$E$30,2,IF(AV8=$N$8+Equity!$G$30+Equity!$E$30+Equity!$E$30,3,IF(AV8=$N$8+Equity!$G$30+Equity!$E$30+Equity!$E$30+Equity!$E$30,4,IF(AV8=$N$8+Equity!$G$30+Equity!$E$30+Equity!$E$30+Equity!$E$30+Equity!$E$30,5,IF(AV8=$N$8+Equity!$G$30+Equity!$E$30+Equity!$E$30+Equity!$E$30+Equity!$E$30+Equity!$E$30,6,"")))))),"")</f>
        <v/>
      </c>
      <c r="AW20" s="1699" t="str">
        <f>IFERROR(IF(AW8=$N$8+Equity!$G$30,1,IF(AW8=$N$8+Equity!$G$30+Equity!$E$30,2,IF(AW8=$N$8+Equity!$G$30+Equity!$E$30+Equity!$E$30,3,IF(AW8=$N$8+Equity!$G$30+Equity!$E$30+Equity!$E$30+Equity!$E$30,4,IF(AW8=$N$8+Equity!$G$30+Equity!$E$30+Equity!$E$30+Equity!$E$30+Equity!$E$30,5,IF(AW8=$N$8+Equity!$G$30+Equity!$E$30+Equity!$E$30+Equity!$E$30+Equity!$E$30+Equity!$E$30,6,"")))))),"")</f>
        <v/>
      </c>
      <c r="AX20" s="1699" t="str">
        <f>IFERROR(IF(AX8=$N$8+Equity!$G$30,1,IF(AX8=$N$8+Equity!$G$30+Equity!$E$30,2,IF(AX8=$N$8+Equity!$G$30+Equity!$E$30+Equity!$E$30,3,IF(AX8=$N$8+Equity!$G$30+Equity!$E$30+Equity!$E$30+Equity!$E$30,4,IF(AX8=$N$8+Equity!$G$30+Equity!$E$30+Equity!$E$30+Equity!$E$30+Equity!$E$30,5,IF(AX8=$N$8+Equity!$G$30+Equity!$E$30+Equity!$E$30+Equity!$E$30+Equity!$E$30+Equity!$E$30,6,"")))))),"")</f>
        <v/>
      </c>
      <c r="AY20" s="1699" t="str">
        <f>IFERROR(IF(AY8=$N$8+Equity!$G$30,1,IF(AY8=$N$8+Equity!$G$30+Equity!$E$30,2,IF(AY8=$N$8+Equity!$G$30+Equity!$E$30+Equity!$E$30,3,IF(AY8=$N$8+Equity!$G$30+Equity!$E$30+Equity!$E$30+Equity!$E$30,4,IF(AY8=$N$8+Equity!$G$30+Equity!$E$30+Equity!$E$30+Equity!$E$30+Equity!$E$30,5,IF(AY8=$N$8+Equity!$G$30+Equity!$E$30+Equity!$E$30+Equity!$E$30+Equity!$E$30+Equity!$E$30,6,"")))))),"")</f>
        <v/>
      </c>
      <c r="AZ20" s="1699" t="str">
        <f>IFERROR(IF(AZ8=$N$8+Equity!$G$30,1,IF(AZ8=$N$8+Equity!$G$30+Equity!$E$30,2,IF(AZ8=$N$8+Equity!$G$30+Equity!$E$30+Equity!$E$30,3,IF(AZ8=$N$8+Equity!$G$30+Equity!$E$30+Equity!$E$30+Equity!$E$30,4,IF(AZ8=$N$8+Equity!$G$30+Equity!$E$30+Equity!$E$30+Equity!$E$30+Equity!$E$30,5,IF(AZ8=$N$8+Equity!$G$30+Equity!$E$30+Equity!$E$30+Equity!$E$30+Equity!$E$30+Equity!$E$30,6,"")))))),"")</f>
        <v/>
      </c>
      <c r="BA20" s="1699" t="str">
        <f>IFERROR(IF(BA8=$N$8+Equity!$G$30,1,IF(BA8=$N$8+Equity!$G$30+Equity!$E$30,2,IF(BA8=$N$8+Equity!$G$30+Equity!$E$30+Equity!$E$30,3,IF(BA8=$N$8+Equity!$G$30+Equity!$E$30+Equity!$E$30+Equity!$E$30,4,IF(BA8=$N$8+Equity!$G$30+Equity!$E$30+Equity!$E$30+Equity!$E$30+Equity!$E$30,5,IF(BA8=$N$8+Equity!$G$30+Equity!$E$30+Equity!$E$30+Equity!$E$30+Equity!$E$30+Equity!$E$30,6,"")))))),"")</f>
        <v/>
      </c>
      <c r="BB20" s="1699" t="str">
        <f>IFERROR(IF(BB8=$N$8+Equity!$G$30,1,IF(BB8=$N$8+Equity!$G$30+Equity!$E$30,2,IF(BB8=$N$8+Equity!$G$30+Equity!$E$30+Equity!$E$30,3,IF(BB8=$N$8+Equity!$G$30+Equity!$E$30+Equity!$E$30+Equity!$E$30,4,IF(BB8=$N$8+Equity!$G$30+Equity!$E$30+Equity!$E$30+Equity!$E$30+Equity!$E$30,5,IF(BB8=$N$8+Equity!$G$30+Equity!$E$30+Equity!$E$30+Equity!$E$30+Equity!$E$30+Equity!$E$30,6,"")))))),"")</f>
        <v/>
      </c>
      <c r="BC20" s="1699" t="str">
        <f>IFERROR(IF(BC8=$N$8+Equity!$G$30,1,IF(BC8=$N$8+Equity!$G$30+Equity!$E$30,2,IF(BC8=$N$8+Equity!$G$30+Equity!$E$30+Equity!$E$30,3,IF(BC8=$N$8+Equity!$G$30+Equity!$E$30+Equity!$E$30+Equity!$E$30,4,IF(BC8=$N$8+Equity!$G$30+Equity!$E$30+Equity!$E$30+Equity!$E$30+Equity!$E$30,5,IF(BC8=$N$8+Equity!$G$30+Equity!$E$30+Equity!$E$30+Equity!$E$30+Equity!$E$30+Equity!$E$30,6,"")))))),"")</f>
        <v/>
      </c>
      <c r="BD20" s="1699" t="str">
        <f>IFERROR(IF(BD8=$N$8+Equity!$G$30,1,IF(BD8=$N$8+Equity!$G$30+Equity!$E$30,2,IF(BD8=$N$8+Equity!$G$30+Equity!$E$30+Equity!$E$30,3,IF(BD8=$N$8+Equity!$G$30+Equity!$E$30+Equity!$E$30+Equity!$E$30,4,IF(BD8=$N$8+Equity!$G$30+Equity!$E$30+Equity!$E$30+Equity!$E$30+Equity!$E$30,5,IF(BD8=$N$8+Equity!$G$30+Equity!$E$30+Equity!$E$30+Equity!$E$30+Equity!$E$30+Equity!$E$30,6,"")))))),"")</f>
        <v/>
      </c>
      <c r="BE20" s="1699" t="str">
        <f>IFERROR(IF(BE8=$N$8+Equity!$G$30,1,IF(BE8=$N$8+Equity!$G$30+Equity!$E$30,2,IF(BE8=$N$8+Equity!$G$30+Equity!$E$30+Equity!$E$30,3,IF(BE8=$N$8+Equity!$G$30+Equity!$E$30+Equity!$E$30+Equity!$E$30,4,IF(BE8=$N$8+Equity!$G$30+Equity!$E$30+Equity!$E$30+Equity!$E$30+Equity!$E$30,5,IF(BE8=$N$8+Equity!$G$30+Equity!$E$30+Equity!$E$30+Equity!$E$30+Equity!$E$30+Equity!$E$30,6,"")))))),"")</f>
        <v/>
      </c>
      <c r="BF20" s="1699" t="str">
        <f>IFERROR(IF(BF8=$N$8+Equity!$G$30,1,IF(BF8=$N$8+Equity!$G$30+Equity!$E$30,2,IF(BF8=$N$8+Equity!$G$30+Equity!$E$30+Equity!$E$30,3,IF(BF8=$N$8+Equity!$G$30+Equity!$E$30+Equity!$E$30+Equity!$E$30,4,IF(BF8=$N$8+Equity!$G$30+Equity!$E$30+Equity!$E$30+Equity!$E$30+Equity!$E$30,5,IF(BF8=$N$8+Equity!$G$30+Equity!$E$30+Equity!$E$30+Equity!$E$30+Equity!$E$30+Equity!$E$30,6,"")))))),"")</f>
        <v/>
      </c>
      <c r="BG20" s="1699" t="str">
        <f>IFERROR(IF(BG8=$N$8+Equity!$G$30,1,IF(BG8=$N$8+Equity!$G$30+Equity!$E$30,2,IF(BG8=$N$8+Equity!$G$30+Equity!$E$30+Equity!$E$30,3,IF(BG8=$N$8+Equity!$G$30+Equity!$E$30+Equity!$E$30+Equity!$E$30,4,IF(BG8=$N$8+Equity!$G$30+Equity!$E$30+Equity!$E$30+Equity!$E$30+Equity!$E$30,5,IF(BG8=$N$8+Equity!$G$30+Equity!$E$30+Equity!$E$30+Equity!$E$30+Equity!$E$30+Equity!$E$30,6,"")))))),"")</f>
        <v/>
      </c>
      <c r="BH20" s="1699" t="str">
        <f>IFERROR(IF(BH8=$N$8+Equity!$G$30,1,IF(BH8=$N$8+Equity!$G$30+Equity!$E$30,2,IF(BH8=$N$8+Equity!$G$30+Equity!$E$30+Equity!$E$30,3,IF(BH8=$N$8+Equity!$G$30+Equity!$E$30+Equity!$E$30+Equity!$E$30,4,IF(BH8=$N$8+Equity!$G$30+Equity!$E$30+Equity!$E$30+Equity!$E$30+Equity!$E$30,5,IF(BH8=$N$8+Equity!$G$30+Equity!$E$30+Equity!$E$30+Equity!$E$30+Equity!$E$30+Equity!$E$30,6,"")))))),"")</f>
        <v/>
      </c>
      <c r="BI20" s="1699" t="str">
        <f>IFERROR(IF(BI8=$N$8+Equity!$G$30,1,IF(BI8=$N$8+Equity!$G$30+Equity!$E$30,2,IF(BI8=$N$8+Equity!$G$30+Equity!$E$30+Equity!$E$30,3,IF(BI8=$N$8+Equity!$G$30+Equity!$E$30+Equity!$E$30+Equity!$E$30,4,IF(BI8=$N$8+Equity!$G$30+Equity!$E$30+Equity!$E$30+Equity!$E$30+Equity!$E$30,5,IF(BI8=$N$8+Equity!$G$30+Equity!$E$30+Equity!$E$30+Equity!$E$30+Equity!$E$30+Equity!$E$30,6,"")))))),"")</f>
        <v/>
      </c>
      <c r="BJ20" s="1699" t="str">
        <f>IFERROR(IF(BJ8=$N$8+Equity!$G$30,1,IF(BJ8=$N$8+Equity!$G$30+Equity!$E$30,2,IF(BJ8=$N$8+Equity!$G$30+Equity!$E$30+Equity!$E$30,3,IF(BJ8=$N$8+Equity!$G$30+Equity!$E$30+Equity!$E$30+Equity!$E$30,4,IF(BJ8=$N$8+Equity!$G$30+Equity!$E$30+Equity!$E$30+Equity!$E$30+Equity!$E$30,5,IF(BJ8=$N$8+Equity!$G$30+Equity!$E$30+Equity!$E$30+Equity!$E$30+Equity!$E$30+Equity!$E$30,6,"")))))),"")</f>
        <v/>
      </c>
      <c r="BK20" s="1699" t="str">
        <f>IFERROR(IF(BK8=$N$8+Equity!$G$30,1,IF(BK8=$N$8+Equity!$G$30+Equity!$E$30,2,IF(BK8=$N$8+Equity!$G$30+Equity!$E$30+Equity!$E$30,3,IF(BK8=$N$8+Equity!$G$30+Equity!$E$30+Equity!$E$30+Equity!$E$30,4,IF(BK8=$N$8+Equity!$G$30+Equity!$E$30+Equity!$E$30+Equity!$E$30+Equity!$E$30,5,IF(BK8=$N$8+Equity!$G$30+Equity!$E$30+Equity!$E$30+Equity!$E$30+Equity!$E$30+Equity!$E$30,6,"")))))),"")</f>
        <v/>
      </c>
      <c r="BL20" s="1699" t="str">
        <f>IFERROR(IF(BL8=$N$8+Equity!$G$30,1,IF(BL8=$N$8+Equity!$G$30+Equity!$E$30,2,IF(BL8=$N$8+Equity!$G$30+Equity!$E$30+Equity!$E$30,3,IF(BL8=$N$8+Equity!$G$30+Equity!$E$30+Equity!$E$30+Equity!$E$30,4,IF(BL8=$N$8+Equity!$G$30+Equity!$E$30+Equity!$E$30+Equity!$E$30+Equity!$E$30,5,IF(BL8=$N$8+Equity!$G$30+Equity!$E$30+Equity!$E$30+Equity!$E$30+Equity!$E$30+Equity!$E$30,6,"")))))),"")</f>
        <v/>
      </c>
      <c r="BM20" s="1699" t="str">
        <f>IFERROR(IF(BM8=$N$8+Equity!$G$30,1,IF(BM8=$N$8+Equity!$G$30+Equity!$E$30,2,IF(BM8=$N$8+Equity!$G$30+Equity!$E$30+Equity!$E$30,3,IF(BM8=$N$8+Equity!$G$30+Equity!$E$30+Equity!$E$30+Equity!$E$30,4,IF(BM8=$N$8+Equity!$G$30+Equity!$E$30+Equity!$E$30+Equity!$E$30+Equity!$E$30,5,IF(BM8=$N$8+Equity!$G$30+Equity!$E$30+Equity!$E$30+Equity!$E$30+Equity!$E$30+Equity!$E$30,6,"")))))),"")</f>
        <v/>
      </c>
      <c r="BN20" s="1699" t="str">
        <f>IFERROR(IF(BN8=$N$8+Equity!$G$30,1,IF(BN8=$N$8+Equity!$G$30+Equity!$E$30,2,IF(BN8=$N$8+Equity!$G$30+Equity!$E$30+Equity!$E$30,3,IF(BN8=$N$8+Equity!$G$30+Equity!$E$30+Equity!$E$30+Equity!$E$30,4,IF(BN8=$N$8+Equity!$G$30+Equity!$E$30+Equity!$E$30+Equity!$E$30+Equity!$E$30,5,IF(BN8=$N$8+Equity!$G$30+Equity!$E$30+Equity!$E$30+Equity!$E$30+Equity!$E$30+Equity!$E$30,6,"")))))),"")</f>
        <v/>
      </c>
      <c r="BO20" s="1699" t="str">
        <f>IFERROR(IF(BO8=$N$8+Equity!$G$30,1,IF(BO8=$N$8+Equity!$G$30+Equity!$E$30,2,IF(BO8=$N$8+Equity!$G$30+Equity!$E$30+Equity!$E$30,3,IF(BO8=$N$8+Equity!$G$30+Equity!$E$30+Equity!$E$30+Equity!$E$30,4,IF(BO8=$N$8+Equity!$G$30+Equity!$E$30+Equity!$E$30+Equity!$E$30+Equity!$E$30,5,IF(BO8=$N$8+Equity!$G$30+Equity!$E$30+Equity!$E$30+Equity!$E$30+Equity!$E$30+Equity!$E$30,6,"")))))),"")</f>
        <v/>
      </c>
      <c r="BP20" s="1699" t="str">
        <f>IFERROR(IF(BP8=$N$8+Equity!$G$30,1,IF(BP8=$N$8+Equity!$G$30+Equity!$E$30,2,IF(BP8=$N$8+Equity!$G$30+Equity!$E$30+Equity!$E$30,3,IF(BP8=$N$8+Equity!$G$30+Equity!$E$30+Equity!$E$30+Equity!$E$30,4,IF(BP8=$N$8+Equity!$G$30+Equity!$E$30+Equity!$E$30+Equity!$E$30+Equity!$E$30,5,IF(BP8=$N$8+Equity!$G$30+Equity!$E$30+Equity!$E$30+Equity!$E$30+Equity!$E$30+Equity!$E$30,6,"")))))),"")</f>
        <v/>
      </c>
      <c r="BQ20" s="1699" t="str">
        <f>IFERROR(IF(BQ8=$N$8+Equity!$G$30,1,IF(BQ8=$N$8+Equity!$G$30+Equity!$E$30,2,IF(BQ8=$N$8+Equity!$G$30+Equity!$E$30+Equity!$E$30,3,IF(BQ8=$N$8+Equity!$G$30+Equity!$E$30+Equity!$E$30+Equity!$E$30,4,IF(BQ8=$N$8+Equity!$G$30+Equity!$E$30+Equity!$E$30+Equity!$E$30+Equity!$E$30,5,IF(BQ8=$N$8+Equity!$G$30+Equity!$E$30+Equity!$E$30+Equity!$E$30+Equity!$E$30+Equity!$E$30,6,"")))))),"")</f>
        <v/>
      </c>
      <c r="BR20" s="1699" t="str">
        <f>IFERROR(IF(BR8=$N$8+Equity!$G$30,1,IF(BR8=$N$8+Equity!$G$30+Equity!$E$30,2,IF(BR8=$N$8+Equity!$G$30+Equity!$E$30+Equity!$E$30,3,IF(BR8=$N$8+Equity!$G$30+Equity!$E$30+Equity!$E$30+Equity!$E$30,4,IF(BR8=$N$8+Equity!$G$30+Equity!$E$30+Equity!$E$30+Equity!$E$30+Equity!$E$30,5,IF(BR8=$N$8+Equity!$G$30+Equity!$E$30+Equity!$E$30+Equity!$E$30+Equity!$E$30+Equity!$E$30,6,"")))))),"")</f>
        <v/>
      </c>
      <c r="BS20" s="1699" t="str">
        <f>IFERROR(IF(BS8=$N$8+Equity!$G$30,1,IF(BS8=$N$8+Equity!$G$30+Equity!$E$30,2,IF(BS8=$N$8+Equity!$G$30+Equity!$E$30+Equity!$E$30,3,IF(BS8=$N$8+Equity!$G$30+Equity!$E$30+Equity!$E$30+Equity!$E$30,4,IF(BS8=$N$8+Equity!$G$30+Equity!$E$30+Equity!$E$30+Equity!$E$30+Equity!$E$30,5,IF(BS8=$N$8+Equity!$G$30+Equity!$E$30+Equity!$E$30+Equity!$E$30+Equity!$E$30+Equity!$E$30,6,"")))))),"")</f>
        <v/>
      </c>
      <c r="BT20" s="1699" t="str">
        <f>IFERROR(IF(BT8=$N$8+Equity!$G$30,1,IF(BT8=$N$8+Equity!$G$30+Equity!$E$30,2,IF(BT8=$N$8+Equity!$G$30+Equity!$E$30+Equity!$E$30,3,IF(BT8=$N$8+Equity!$G$30+Equity!$E$30+Equity!$E$30+Equity!$E$30,4,IF(BT8=$N$8+Equity!$G$30+Equity!$E$30+Equity!$E$30+Equity!$E$30+Equity!$E$30,5,IF(BT8=$N$8+Equity!$G$30+Equity!$E$30+Equity!$E$30+Equity!$E$30+Equity!$E$30+Equity!$E$30,6,"")))))),"")</f>
        <v/>
      </c>
      <c r="BU20" s="1699" t="str">
        <f>IFERROR(IF(BU8=$N$8+Equity!$G$30,1,IF(BU8=$N$8+Equity!$G$30+Equity!$E$30,2,IF(BU8=$N$8+Equity!$G$30+Equity!$E$30+Equity!$E$30,3,IF(BU8=$N$8+Equity!$G$30+Equity!$E$30+Equity!$E$30+Equity!$E$30,4,IF(BU8=$N$8+Equity!$G$30+Equity!$E$30+Equity!$E$30+Equity!$E$30+Equity!$E$30,5,IF(BU8=$N$8+Equity!$G$30+Equity!$E$30+Equity!$E$30+Equity!$E$30+Equity!$E$30+Equity!$E$30,6,"")))))),"")</f>
        <v/>
      </c>
      <c r="BV20" s="1699"/>
      <c r="BW20" s="1699"/>
      <c r="BX20" s="1699"/>
      <c r="BY20" s="976"/>
      <c r="BZ20" s="998"/>
    </row>
    <row r="21" spans="2:78">
      <c r="B21" s="749" t="s">
        <v>1235</v>
      </c>
      <c r="C21" s="1882"/>
      <c r="D21" s="1000"/>
      <c r="E21" s="1000"/>
      <c r="F21" s="1001"/>
      <c r="G21" s="1001"/>
      <c r="H21" s="1002"/>
      <c r="I21" s="1002"/>
      <c r="J21" s="1002"/>
      <c r="K21" s="1003">
        <f>비용집행계획!F17</f>
        <v>0</v>
      </c>
      <c r="L21" s="1003">
        <f>비용집행계획!G17</f>
        <v>0</v>
      </c>
      <c r="M21" s="1003">
        <f>비용집행계획!H17</f>
        <v>0</v>
      </c>
      <c r="N21" s="1003">
        <f>비용집행계획!I17</f>
        <v>0</v>
      </c>
      <c r="O21" s="1003">
        <f>비용집행계획!J17</f>
        <v>0</v>
      </c>
      <c r="P21" s="1003">
        <f>비용집행계획!K17</f>
        <v>0</v>
      </c>
      <c r="Q21" s="1003">
        <f>비용집행계획!L17</f>
        <v>0</v>
      </c>
      <c r="R21" s="1003">
        <f>비용집행계획!M17</f>
        <v>0</v>
      </c>
      <c r="S21" s="1003">
        <f>비용집행계획!N17</f>
        <v>0</v>
      </c>
      <c r="T21" s="1003">
        <f>비용집행계획!O17</f>
        <v>0</v>
      </c>
      <c r="U21" s="1003">
        <f>비용집행계획!P17</f>
        <v>0</v>
      </c>
      <c r="V21" s="1003">
        <f>비용집행계획!Q17</f>
        <v>0</v>
      </c>
      <c r="W21" s="1003">
        <f>비용집행계획!R17</f>
        <v>0</v>
      </c>
      <c r="X21" s="1003">
        <f>비용집행계획!S17</f>
        <v>0</v>
      </c>
      <c r="Y21" s="1003">
        <f>비용집행계획!T17</f>
        <v>0</v>
      </c>
      <c r="Z21" s="1003">
        <f>비용집행계획!U17</f>
        <v>0</v>
      </c>
      <c r="AA21" s="1003">
        <f>비용집행계획!V17</f>
        <v>0</v>
      </c>
      <c r="AB21" s="1003">
        <f>비용집행계획!W17</f>
        <v>0</v>
      </c>
      <c r="AC21" s="1003">
        <f>비용집행계획!X17</f>
        <v>0</v>
      </c>
      <c r="AD21" s="1003">
        <f>비용집행계획!Y17</f>
        <v>0</v>
      </c>
      <c r="AE21" s="1003">
        <f>비용집행계획!Z17</f>
        <v>0</v>
      </c>
      <c r="AF21" s="1003">
        <f>비용집행계획!AA17</f>
        <v>0</v>
      </c>
      <c r="AG21" s="1003">
        <f>비용집행계획!AB17</f>
        <v>0</v>
      </c>
      <c r="AH21" s="1003">
        <f>비용집행계획!AC17</f>
        <v>0</v>
      </c>
      <c r="AI21" s="1003">
        <f>비용집행계획!AD17</f>
        <v>0</v>
      </c>
      <c r="AJ21" s="1003">
        <f>비용집행계획!AE17</f>
        <v>0</v>
      </c>
      <c r="AK21" s="1003">
        <f>비용집행계획!AF17</f>
        <v>0</v>
      </c>
      <c r="AL21" s="1003">
        <f>비용집행계획!AG17</f>
        <v>0</v>
      </c>
      <c r="AM21" s="1003">
        <f>비용집행계획!AH17</f>
        <v>0</v>
      </c>
      <c r="AN21" s="1003">
        <f>비용집행계획!AI17</f>
        <v>0</v>
      </c>
      <c r="AO21" s="1003">
        <f>비용집행계획!AJ17</f>
        <v>0</v>
      </c>
      <c r="AP21" s="1003">
        <f>비용집행계획!AK17</f>
        <v>0</v>
      </c>
      <c r="AQ21" s="1003">
        <f>비용집행계획!AL17</f>
        <v>0</v>
      </c>
      <c r="AR21" s="1003">
        <f>비용집행계획!AM17</f>
        <v>0</v>
      </c>
      <c r="AS21" s="1003">
        <f>비용집행계획!AN17</f>
        <v>0</v>
      </c>
      <c r="AT21" s="1003">
        <f>비용집행계획!AO17</f>
        <v>0</v>
      </c>
      <c r="AU21" s="1003">
        <f>비용집행계획!AP17</f>
        <v>0</v>
      </c>
      <c r="AV21" s="1003">
        <f>비용집행계획!AQ17</f>
        <v>0</v>
      </c>
      <c r="AW21" s="1003">
        <f>비용집행계획!AR17</f>
        <v>0</v>
      </c>
      <c r="AX21" s="1003">
        <f>비용집행계획!AS17</f>
        <v>0</v>
      </c>
      <c r="AY21" s="1003">
        <f>비용집행계획!AT17</f>
        <v>0</v>
      </c>
      <c r="AZ21" s="1003">
        <f>비용집행계획!AU17</f>
        <v>0</v>
      </c>
      <c r="BA21" s="1003">
        <f>비용집행계획!AV17</f>
        <v>0</v>
      </c>
      <c r="BB21" s="1003">
        <f>비용집행계획!AW17</f>
        <v>0</v>
      </c>
      <c r="BC21" s="1003">
        <f>비용집행계획!AX17</f>
        <v>0</v>
      </c>
      <c r="BD21" s="1003">
        <f>비용집행계획!AY17</f>
        <v>0</v>
      </c>
      <c r="BE21" s="1003">
        <f>비용집행계획!AZ17</f>
        <v>0</v>
      </c>
      <c r="BF21" s="1003">
        <f>비용집행계획!BA17</f>
        <v>0</v>
      </c>
      <c r="BG21" s="1003">
        <f>비용집행계획!BB17</f>
        <v>0</v>
      </c>
      <c r="BH21" s="1003">
        <f>비용집행계획!BC17</f>
        <v>0</v>
      </c>
      <c r="BI21" s="1003">
        <f>비용집행계획!BD17</f>
        <v>0</v>
      </c>
      <c r="BJ21" s="1003">
        <f>비용집행계획!BE17</f>
        <v>0</v>
      </c>
      <c r="BK21" s="1003">
        <f>비용집행계획!BF17</f>
        <v>0</v>
      </c>
      <c r="BL21" s="1003">
        <f>비용집행계획!BG17</f>
        <v>0</v>
      </c>
      <c r="BM21" s="1003">
        <f>비용집행계획!BH17</f>
        <v>0</v>
      </c>
      <c r="BN21" s="1003">
        <f>비용집행계획!BI17</f>
        <v>0</v>
      </c>
      <c r="BO21" s="1003">
        <f>비용집행계획!BJ17</f>
        <v>0</v>
      </c>
      <c r="BP21" s="1003">
        <f>비용집행계획!BK17</f>
        <v>0</v>
      </c>
      <c r="BQ21" s="1003">
        <f>비용집행계획!BL17</f>
        <v>0</v>
      </c>
      <c r="BR21" s="1003">
        <f>비용집행계획!BM17</f>
        <v>0</v>
      </c>
      <c r="BS21" s="1003">
        <f>비용집행계획!BN17</f>
        <v>0</v>
      </c>
      <c r="BT21" s="1003">
        <f>비용집행계획!BO17</f>
        <v>0</v>
      </c>
      <c r="BU21" s="1003">
        <f>비용집행계획!BP17</f>
        <v>0</v>
      </c>
      <c r="BV21" s="1003"/>
      <c r="BW21" s="1003"/>
      <c r="BX21" s="1003"/>
      <c r="BY21" s="985"/>
    </row>
    <row r="22" spans="2:78">
      <c r="B22" s="752" t="s">
        <v>1031</v>
      </c>
      <c r="C22" s="1883"/>
      <c r="D22" s="1004"/>
      <c r="E22" s="1004"/>
      <c r="F22" s="1001"/>
      <c r="G22" s="1001"/>
      <c r="H22" s="1002"/>
      <c r="I22" s="1002"/>
      <c r="J22" s="1002"/>
      <c r="K22" s="1005">
        <f>K21</f>
        <v>0</v>
      </c>
      <c r="L22" s="1005">
        <f>L21+K22</f>
        <v>0</v>
      </c>
      <c r="M22" s="1005">
        <f t="shared" ref="M22:AP22" si="51">L22+M21</f>
        <v>0</v>
      </c>
      <c r="N22" s="1005">
        <f t="shared" si="51"/>
        <v>0</v>
      </c>
      <c r="O22" s="1005">
        <f t="shared" si="51"/>
        <v>0</v>
      </c>
      <c r="P22" s="1005">
        <f t="shared" si="51"/>
        <v>0</v>
      </c>
      <c r="Q22" s="1005">
        <f t="shared" si="51"/>
        <v>0</v>
      </c>
      <c r="R22" s="1005">
        <f t="shared" si="51"/>
        <v>0</v>
      </c>
      <c r="S22" s="1005">
        <f t="shared" si="51"/>
        <v>0</v>
      </c>
      <c r="T22" s="1005">
        <f t="shared" si="51"/>
        <v>0</v>
      </c>
      <c r="U22" s="1005">
        <f t="shared" si="51"/>
        <v>0</v>
      </c>
      <c r="V22" s="1005">
        <f t="shared" si="51"/>
        <v>0</v>
      </c>
      <c r="W22" s="1005">
        <f t="shared" si="51"/>
        <v>0</v>
      </c>
      <c r="X22" s="1005">
        <f t="shared" si="51"/>
        <v>0</v>
      </c>
      <c r="Y22" s="1005">
        <f t="shared" si="51"/>
        <v>0</v>
      </c>
      <c r="Z22" s="1005">
        <f t="shared" si="51"/>
        <v>0</v>
      </c>
      <c r="AA22" s="1005">
        <f t="shared" si="51"/>
        <v>0</v>
      </c>
      <c r="AB22" s="1005">
        <f t="shared" si="51"/>
        <v>0</v>
      </c>
      <c r="AC22" s="1005">
        <f t="shared" si="51"/>
        <v>0</v>
      </c>
      <c r="AD22" s="1005">
        <f t="shared" si="51"/>
        <v>0</v>
      </c>
      <c r="AE22" s="1005">
        <f t="shared" si="51"/>
        <v>0</v>
      </c>
      <c r="AF22" s="1005">
        <f t="shared" si="51"/>
        <v>0</v>
      </c>
      <c r="AG22" s="1005">
        <f t="shared" si="51"/>
        <v>0</v>
      </c>
      <c r="AH22" s="1005">
        <f t="shared" si="51"/>
        <v>0</v>
      </c>
      <c r="AI22" s="1005">
        <f t="shared" si="51"/>
        <v>0</v>
      </c>
      <c r="AJ22" s="1005">
        <f t="shared" si="51"/>
        <v>0</v>
      </c>
      <c r="AK22" s="1005">
        <f t="shared" si="51"/>
        <v>0</v>
      </c>
      <c r="AL22" s="1005">
        <f t="shared" si="51"/>
        <v>0</v>
      </c>
      <c r="AM22" s="1005">
        <f t="shared" si="51"/>
        <v>0</v>
      </c>
      <c r="AN22" s="1005">
        <f t="shared" si="51"/>
        <v>0</v>
      </c>
      <c r="AO22" s="1005">
        <f t="shared" si="51"/>
        <v>0</v>
      </c>
      <c r="AP22" s="1005">
        <f t="shared" si="51"/>
        <v>0</v>
      </c>
      <c r="AQ22" s="1006">
        <f t="shared" ref="AQ22:AV22" si="52">AP22+AQ21</f>
        <v>0</v>
      </c>
      <c r="AR22" s="1005">
        <f t="shared" si="52"/>
        <v>0</v>
      </c>
      <c r="AS22" s="1005">
        <f t="shared" si="52"/>
        <v>0</v>
      </c>
      <c r="AT22" s="1005">
        <f t="shared" si="52"/>
        <v>0</v>
      </c>
      <c r="AU22" s="1005">
        <f t="shared" si="52"/>
        <v>0</v>
      </c>
      <c r="AV22" s="1005">
        <f t="shared" si="52"/>
        <v>0</v>
      </c>
      <c r="AW22" s="1005">
        <f>AU22+AW21</f>
        <v>0</v>
      </c>
      <c r="AX22" s="1005">
        <f>AW22+AX21</f>
        <v>0</v>
      </c>
      <c r="AY22" s="1005">
        <f>AX22+AY21</f>
        <v>0</v>
      </c>
      <c r="AZ22" s="1005">
        <f>AY22+AZ21</f>
        <v>0</v>
      </c>
      <c r="BA22" s="1005">
        <f>AZ22+BA21</f>
        <v>0</v>
      </c>
      <c r="BB22" s="1005">
        <f>AZ22+BB21</f>
        <v>0</v>
      </c>
      <c r="BC22" s="1005">
        <f>BB22+BC21</f>
        <v>0</v>
      </c>
      <c r="BD22" s="1005">
        <f>BC22+BD21</f>
        <v>0</v>
      </c>
      <c r="BE22" s="1005">
        <f>BD22+BE21</f>
        <v>0</v>
      </c>
      <c r="BF22" s="1005">
        <f t="shared" ref="BF22:BU22" si="53">BE22+BF21</f>
        <v>0</v>
      </c>
      <c r="BG22" s="1005">
        <f t="shared" si="53"/>
        <v>0</v>
      </c>
      <c r="BH22" s="1005">
        <f t="shared" si="53"/>
        <v>0</v>
      </c>
      <c r="BI22" s="1005">
        <f t="shared" si="53"/>
        <v>0</v>
      </c>
      <c r="BJ22" s="1005">
        <f t="shared" si="53"/>
        <v>0</v>
      </c>
      <c r="BK22" s="1005">
        <f t="shared" si="53"/>
        <v>0</v>
      </c>
      <c r="BL22" s="1005">
        <f t="shared" si="53"/>
        <v>0</v>
      </c>
      <c r="BM22" s="1005">
        <f t="shared" si="53"/>
        <v>0</v>
      </c>
      <c r="BN22" s="1005">
        <f t="shared" si="53"/>
        <v>0</v>
      </c>
      <c r="BO22" s="1005">
        <f t="shared" si="53"/>
        <v>0</v>
      </c>
      <c r="BP22" s="1005">
        <f t="shared" si="53"/>
        <v>0</v>
      </c>
      <c r="BQ22" s="1005">
        <f t="shared" si="53"/>
        <v>0</v>
      </c>
      <c r="BR22" s="1005">
        <f t="shared" si="53"/>
        <v>0</v>
      </c>
      <c r="BS22" s="1005">
        <f t="shared" si="53"/>
        <v>0</v>
      </c>
      <c r="BT22" s="1005">
        <f t="shared" si="53"/>
        <v>0</v>
      </c>
      <c r="BU22" s="1005">
        <f t="shared" si="53"/>
        <v>0</v>
      </c>
      <c r="BV22" s="1005">
        <f t="shared" ref="BV22" si="54">BU22+BV21</f>
        <v>0</v>
      </c>
      <c r="BW22" s="1005">
        <f t="shared" ref="BW22" si="55">BV22+BW21</f>
        <v>0</v>
      </c>
      <c r="BX22" s="1005">
        <f t="shared" ref="BX22" si="56">BW22+BX21</f>
        <v>0</v>
      </c>
      <c r="BY22" s="976"/>
    </row>
    <row r="23" spans="2:78" s="957" customFormat="1" ht="15.6">
      <c r="B23" s="963"/>
      <c r="C23" s="963"/>
      <c r="F23" s="998"/>
      <c r="G23" s="998"/>
      <c r="H23" s="998"/>
      <c r="I23" s="998"/>
      <c r="J23" s="998"/>
      <c r="K23" s="999"/>
      <c r="L23" s="999"/>
      <c r="M23" s="999"/>
      <c r="N23" s="970" t="str">
        <f>N20</f>
        <v/>
      </c>
      <c r="O23" s="1699" t="str">
        <f>IFERROR(IF(O8=$N$8+Equity!$G$31,1,IF(O8=$N$8+Equity!$G$31+Equity!$E$31,2,IF(O8=$N$8+Equity!$G$31+Equity!$E$31+Equity!$E$31,3,IF(O8=$N$8+Equity!$G$31+Equity!$E$31+Equity!$E$31+Equity!$E$31,4,IF(O8=$N$8+Equity!$G$31+Equity!$E$31+Equity!$E$31+Equity!$E$31+Equity!$E$31,5,IF(O8=$N$8+Equity!$G$31+Equity!$E$31+Equity!$E$31+Equity!$E$31+Equity!$E$31+Equity!$E$31,6,"")))))),"")</f>
        <v/>
      </c>
      <c r="P23" s="1699" t="str">
        <f>IFERROR(IF(P8=$N$8+Equity!$G$31,1,IF(P8=$N$8+Equity!$G$31+Equity!$E$31,2,IF(P8=$N$8+Equity!$G$31+Equity!$E$31+Equity!$E$31,3,IF(P8=$N$8+Equity!$G$31+Equity!$E$31+Equity!$E$31+Equity!$E$31,4,IF(P8=$N$8+Equity!$G$31+Equity!$E$31+Equity!$E$31+Equity!$E$31+Equity!$E$31,5,IF(P8=$N$8+Equity!$G$31+Equity!$E$31+Equity!$E$31+Equity!$E$31+Equity!$E$31+Equity!$E$31,6,"")))))),"")</f>
        <v/>
      </c>
      <c r="Q23" s="1699">
        <f>IFERROR(IF(Q8=$N$8+Equity!$G$31,1,IF(Q8=$N$8+Equity!$G$31+Equity!$E$31,2,IF(Q8=$N$8+Equity!$G$31+Equity!$E$31+Equity!$E$31,3,IF(Q8=$N$8+Equity!$G$31+Equity!$E$31+Equity!$E$31+Equity!$E$31,4,IF(Q8=$N$8+Equity!$G$31+Equity!$E$31+Equity!$E$31+Equity!$E$31+Equity!$E$31,5,IF(Q8=$N$8+Equity!$G$31+Equity!$E$31+Equity!$E$31+Equity!$E$31+Equity!$E$31+Equity!$E$31,6,"")))))),"")</f>
        <v>1</v>
      </c>
      <c r="R23" s="1699" t="str">
        <f>IFERROR(IF(R8=$N$8+Equity!$G$31,1,IF(R8=$N$8+Equity!$G$31+Equity!$E$31,2,IF(R8=$N$8+Equity!$G$31+Equity!$E$31+Equity!$E$31,3,IF(R8=$N$8+Equity!$G$31+Equity!$E$31+Equity!$E$31+Equity!$E$31,4,IF(R8=$N$8+Equity!$G$31+Equity!$E$31+Equity!$E$31+Equity!$E$31+Equity!$E$31,5,IF(R8=$N$8+Equity!$G$31+Equity!$E$31+Equity!$E$31+Equity!$E$31+Equity!$E$31+Equity!$E$31,6,"")))))),"")</f>
        <v/>
      </c>
      <c r="S23" s="1699" t="str">
        <f>IFERROR(IF(S8=$N$8+Equity!$G$31,1,IF(S8=$N$8+Equity!$G$31+Equity!$E$31,2,IF(S8=$N$8+Equity!$G$31+Equity!$E$31+Equity!$E$31,3,IF(S8=$N$8+Equity!$G$31+Equity!$E$31+Equity!$E$31+Equity!$E$31,4,IF(S8=$N$8+Equity!$G$31+Equity!$E$31+Equity!$E$31+Equity!$E$31+Equity!$E$31,5,IF(S8=$N$8+Equity!$G$31+Equity!$E$31+Equity!$E$31+Equity!$E$31+Equity!$E$31+Equity!$E$31,6,"")))))),"")</f>
        <v/>
      </c>
      <c r="T23" s="1699" t="str">
        <f>IFERROR(IF(T8=$N$8+Equity!$G$31,1,IF(T8=$N$8+Equity!$G$31+Equity!$E$31,2,IF(T8=$N$8+Equity!$G$31+Equity!$E$31+Equity!$E$31,3,IF(T8=$N$8+Equity!$G$31+Equity!$E$31+Equity!$E$31+Equity!$E$31,4,IF(T8=$N$8+Equity!$G$31+Equity!$E$31+Equity!$E$31+Equity!$E$31+Equity!$E$31,5,IF(T8=$N$8+Equity!$G$31+Equity!$E$31+Equity!$E$31+Equity!$E$31+Equity!$E$31+Equity!$E$31,6,"")))))),"")</f>
        <v/>
      </c>
      <c r="U23" s="1699" t="str">
        <f>IFERROR(IF(U8=$N$8+Equity!$G$31,1,IF(U8=$N$8+Equity!$G$31+Equity!$E$31,2,IF(U8=$N$8+Equity!$G$31+Equity!$E$31+Equity!$E$31,3,IF(U8=$N$8+Equity!$G$31+Equity!$E$31+Equity!$E$31+Equity!$E$31,4,IF(U8=$N$8+Equity!$G$31+Equity!$E$31+Equity!$E$31+Equity!$E$31+Equity!$E$31,5,IF(U8=$N$8+Equity!$G$31+Equity!$E$31+Equity!$E$31+Equity!$E$31+Equity!$E$31+Equity!$E$31,6,"")))))),"")</f>
        <v/>
      </c>
      <c r="V23" s="1699">
        <f>IFERROR(IF(V8=$N$8+Equity!$G$31,1,IF(V8=$N$8+Equity!$G$31+Equity!$E$31,2,IF(V8=$N$8+Equity!$G$31+Equity!$E$31+Equity!$E$31,3,IF(V8=$N$8+Equity!$G$31+Equity!$E$31+Equity!$E$31+Equity!$E$31,4,IF(V8=$N$8+Equity!$G$31+Equity!$E$31+Equity!$E$31+Equity!$E$31+Equity!$E$31,5,IF(V8=$N$8+Equity!$G$31+Equity!$E$31+Equity!$E$31+Equity!$E$31+Equity!$E$31+Equity!$E$31,6,"")))))),"")</f>
        <v>2</v>
      </c>
      <c r="W23" s="1699" t="str">
        <f>IFERROR(IF(W8=$N$8+Equity!$G$31,1,IF(W8=$N$8+Equity!$G$31+Equity!$E$31,2,IF(W8=$N$8+Equity!$G$31+Equity!$E$31+Equity!$E$31,3,IF(W8=$N$8+Equity!$G$31+Equity!$E$31+Equity!$E$31+Equity!$E$31,4,IF(W8=$N$8+Equity!$G$31+Equity!$E$31+Equity!$E$31+Equity!$E$31+Equity!$E$31,5,IF(W8=$N$8+Equity!$G$31+Equity!$E$31+Equity!$E$31+Equity!$E$31+Equity!$E$31+Equity!$E$31,6,"")))))),"")</f>
        <v/>
      </c>
      <c r="X23" s="1699" t="str">
        <f>IFERROR(IF(X8=$N$8+Equity!$G$31,1,IF(X8=$N$8+Equity!$G$31+Equity!$E$31,2,IF(X8=$N$8+Equity!$G$31+Equity!$E$31+Equity!$E$31,3,IF(X8=$N$8+Equity!$G$31+Equity!$E$31+Equity!$E$31+Equity!$E$31,4,IF(X8=$N$8+Equity!$G$31+Equity!$E$31+Equity!$E$31+Equity!$E$31+Equity!$E$31,5,IF(X8=$N$8+Equity!$G$31+Equity!$E$31+Equity!$E$31+Equity!$E$31+Equity!$E$31+Equity!$E$31,6,"")))))),"")</f>
        <v/>
      </c>
      <c r="Y23" s="1699" t="str">
        <f>IFERROR(IF(Y8=$N$8+Equity!$G$31,1,IF(Y8=$N$8+Equity!$G$31+Equity!$E$31,2,IF(Y8=$N$8+Equity!$G$31+Equity!$E$31+Equity!$E$31,3,IF(Y8=$N$8+Equity!$G$31+Equity!$E$31+Equity!$E$31+Equity!$E$31,4,IF(Y8=$N$8+Equity!$G$31+Equity!$E$31+Equity!$E$31+Equity!$E$31+Equity!$E$31,5,IF(Y8=$N$8+Equity!$G$31+Equity!$E$31+Equity!$E$31+Equity!$E$31+Equity!$E$31+Equity!$E$31,6,"")))))),"")</f>
        <v/>
      </c>
      <c r="Z23" s="1699" t="str">
        <f>IFERROR(IF(Z8=$N$8+Equity!$G$31,1,IF(Z8=$N$8+Equity!$G$31+Equity!$E$31,2,IF(Z8=$N$8+Equity!$G$31+Equity!$E$31+Equity!$E$31,3,IF(Z8=$N$8+Equity!$G$31+Equity!$E$31+Equity!$E$31+Equity!$E$31,4,IF(Z8=$N$8+Equity!$G$31+Equity!$E$31+Equity!$E$31+Equity!$E$31+Equity!$E$31,5,IF(Z8=$N$8+Equity!$G$31+Equity!$E$31+Equity!$E$31+Equity!$E$31+Equity!$E$31+Equity!$E$31,6,"")))))),"")</f>
        <v/>
      </c>
      <c r="AA23" s="1699">
        <f>IFERROR(IF(AA8=$N$8+Equity!$G$31,1,IF(AA8=$N$8+Equity!$G$31+Equity!$E$31,2,IF(AA8=$N$8+Equity!$G$31+Equity!$E$31+Equity!$E$31,3,IF(AA8=$N$8+Equity!$G$31+Equity!$E$31+Equity!$E$31+Equity!$E$31,4,IF(AA8=$N$8+Equity!$G$31+Equity!$E$31+Equity!$E$31+Equity!$E$31+Equity!$E$31,5,IF(AA8=$N$8+Equity!$G$31+Equity!$E$31+Equity!$E$31+Equity!$E$31+Equity!$E$31+Equity!$E$31,6,"")))))),"")</f>
        <v>3</v>
      </c>
      <c r="AB23" s="1699" t="str">
        <f>IFERROR(IF(AB8=$N$8+Equity!$G$31,1,IF(AB8=$N$8+Equity!$G$31+Equity!$E$31,2,IF(AB8=$N$8+Equity!$G$31+Equity!$E$31+Equity!$E$31,3,IF(AB8=$N$8+Equity!$G$31+Equity!$E$31+Equity!$E$31+Equity!$E$31,4,IF(AB8=$N$8+Equity!$G$31+Equity!$E$31+Equity!$E$31+Equity!$E$31+Equity!$E$31,5,IF(AB8=$N$8+Equity!$G$31+Equity!$E$31+Equity!$E$31+Equity!$E$31+Equity!$E$31+Equity!$E$31,6,"")))))),"")</f>
        <v/>
      </c>
      <c r="AC23" s="1699" t="str">
        <f>IFERROR(IF(AC8=$N$8+Equity!$G$31,1,IF(AC8=$N$8+Equity!$G$31+Equity!$E$31,2,IF(AC8=$N$8+Equity!$G$31+Equity!$E$31+Equity!$E$31,3,IF(AC8=$N$8+Equity!$G$31+Equity!$E$31+Equity!$E$31+Equity!$E$31,4,IF(AC8=$N$8+Equity!$G$31+Equity!$E$31+Equity!$E$31+Equity!$E$31+Equity!$E$31,5,IF(AC8=$N$8+Equity!$G$31+Equity!$E$31+Equity!$E$31+Equity!$E$31+Equity!$E$31+Equity!$E$31,6,"")))))),"")</f>
        <v/>
      </c>
      <c r="AD23" s="1699" t="str">
        <f>IFERROR(IF(AD8=$N$8+Equity!$G$31,1,IF(AD8=$N$8+Equity!$G$31+Equity!$E$31,2,IF(AD8=$N$8+Equity!$G$31+Equity!$E$31+Equity!$E$31,3,IF(AD8=$N$8+Equity!$G$31+Equity!$E$31+Equity!$E$31+Equity!$E$31,4,IF(AD8=$N$8+Equity!$G$31+Equity!$E$31+Equity!$E$31+Equity!$E$31+Equity!$E$31,5,IF(AD8=$N$8+Equity!$G$31+Equity!$E$31+Equity!$E$31+Equity!$E$31+Equity!$E$31+Equity!$E$31,6,"")))))),"")</f>
        <v/>
      </c>
      <c r="AE23" s="1699" t="str">
        <f>IFERROR(IF(AE8=$N$8+Equity!$G$31,1,IF(AE8=$N$8+Equity!$G$31+Equity!$E$31,2,IF(AE8=$N$8+Equity!$G$31+Equity!$E$31+Equity!$E$31,3,IF(AE8=$N$8+Equity!$G$31+Equity!$E$31+Equity!$E$31+Equity!$E$31,4,IF(AE8=$N$8+Equity!$G$31+Equity!$E$31+Equity!$E$31+Equity!$E$31+Equity!$E$31,5,IF(AE8=$N$8+Equity!$G$31+Equity!$E$31+Equity!$E$31+Equity!$E$31+Equity!$E$31+Equity!$E$31,6,"")))))),"")</f>
        <v/>
      </c>
      <c r="AF23" s="1699">
        <f>IFERROR(IF(AF8=$N$8+Equity!$G$31,1,IF(AF8=$N$8+Equity!$G$31+Equity!$E$31,2,IF(AF8=$N$8+Equity!$G$31+Equity!$E$31+Equity!$E$31,3,IF(AF8=$N$8+Equity!$G$31+Equity!$E$31+Equity!$E$31+Equity!$E$31,4,IF(AF8=$N$8+Equity!$G$31+Equity!$E$31+Equity!$E$31+Equity!$E$31+Equity!$E$31,5,IF(AF8=$N$8+Equity!$G$31+Equity!$E$31+Equity!$E$31+Equity!$E$31+Equity!$E$31+Equity!$E$31,6,"")))))),"")</f>
        <v>4</v>
      </c>
      <c r="AG23" s="1699" t="str">
        <f>IFERROR(IF(AG8=$N$8+Equity!$G$31,1,IF(AG8=$N$8+Equity!$G$31+Equity!$E$31,2,IF(AG8=$N$8+Equity!$G$31+Equity!$E$31+Equity!$E$31,3,IF(AG8=$N$8+Equity!$G$31+Equity!$E$31+Equity!$E$31+Equity!$E$31,4,IF(AG8=$N$8+Equity!$G$31+Equity!$E$31+Equity!$E$31+Equity!$E$31+Equity!$E$31,5,IF(AG8=$N$8+Equity!$G$31+Equity!$E$31+Equity!$E$31+Equity!$E$31+Equity!$E$31+Equity!$E$31,6,"")))))),"")</f>
        <v/>
      </c>
      <c r="AH23" s="1699" t="str">
        <f>IFERROR(IF(AH8=$N$8+Equity!$G$31,1,IF(AH8=$N$8+Equity!$G$31+Equity!$E$31,2,IF(AH8=$N$8+Equity!$G$31+Equity!$E$31+Equity!$E$31,3,IF(AH8=$N$8+Equity!$G$31+Equity!$E$31+Equity!$E$31+Equity!$E$31,4,IF(AH8=$N$8+Equity!$G$31+Equity!$E$31+Equity!$E$31+Equity!$E$31+Equity!$E$31,5,IF(AH8=$N$8+Equity!$G$31+Equity!$E$31+Equity!$E$31+Equity!$E$31+Equity!$E$31+Equity!$E$31,6,"")))))),"")</f>
        <v/>
      </c>
      <c r="AI23" s="1699" t="str">
        <f>IFERROR(IF(AI8=$N$8+Equity!$G$31,1,IF(AI8=$N$8+Equity!$G$31+Equity!$E$31,2,IF(AI8=$N$8+Equity!$G$31+Equity!$E$31+Equity!$E$31,3,IF(AI8=$N$8+Equity!$G$31+Equity!$E$31+Equity!$E$31+Equity!$E$31,4,IF(AI8=$N$8+Equity!$G$31+Equity!$E$31+Equity!$E$31+Equity!$E$31+Equity!$E$31,5,IF(AI8=$N$8+Equity!$G$31+Equity!$E$31+Equity!$E$31+Equity!$E$31+Equity!$E$31+Equity!$E$31,6,"")))))),"")</f>
        <v/>
      </c>
      <c r="AJ23" s="1699" t="str">
        <f>IFERROR(IF(AJ8=$N$8+Equity!$G$31,1,IF(AJ8=$N$8+Equity!$G$31+Equity!$E$31,2,IF(AJ8=$N$8+Equity!$G$31+Equity!$E$31+Equity!$E$31,3,IF(AJ8=$N$8+Equity!$G$31+Equity!$E$31+Equity!$E$31+Equity!$E$31,4,IF(AJ8=$N$8+Equity!$G$31+Equity!$E$31+Equity!$E$31+Equity!$E$31+Equity!$E$31,5,IF(AJ8=$N$8+Equity!$G$31+Equity!$E$31+Equity!$E$31+Equity!$E$31+Equity!$E$31+Equity!$E$31,6,"")))))),"")</f>
        <v/>
      </c>
      <c r="AK23" s="1699">
        <f>IFERROR(IF(AK8=$N$8+Equity!$G$31,1,IF(AK8=$N$8+Equity!$G$31+Equity!$E$31,2,IF(AK8=$N$8+Equity!$G$31+Equity!$E$31+Equity!$E$31,3,IF(AK8=$N$8+Equity!$G$31+Equity!$E$31+Equity!$E$31+Equity!$E$31,4,IF(AK8=$N$8+Equity!$G$31+Equity!$E$31+Equity!$E$31+Equity!$E$31+Equity!$E$31,5,IF(AK8=$N$8+Equity!$G$31+Equity!$E$31+Equity!$E$31+Equity!$E$31+Equity!$E$31+Equity!$E$31,6,"")))))),"")</f>
        <v>5</v>
      </c>
      <c r="AL23" s="1699" t="str">
        <f>IFERROR(IF(AL8=$N$8+Equity!$G$31,1,IF(AL8=$N$8+Equity!$G$31+Equity!$E$31,2,IF(AL8=$N$8+Equity!$G$31+Equity!$E$31+Equity!$E$31,3,IF(AL8=$N$8+Equity!$G$31+Equity!$E$31+Equity!$E$31+Equity!$E$31,4,IF(AL8=$N$8+Equity!$G$31+Equity!$E$31+Equity!$E$31+Equity!$E$31+Equity!$E$31,5,IF(AL8=$N$8+Equity!$G$31+Equity!$E$31+Equity!$E$31+Equity!$E$31+Equity!$E$31+Equity!$E$31,6,"")))))),"")</f>
        <v/>
      </c>
      <c r="AM23" s="1699" t="str">
        <f>IFERROR(IF(AM8=$N$8+Equity!$G$31,1,IF(AM8=$N$8+Equity!$G$31+Equity!$E$31,2,IF(AM8=$N$8+Equity!$G$31+Equity!$E$31+Equity!$E$31,3,IF(AM8=$N$8+Equity!$G$31+Equity!$E$31+Equity!$E$31+Equity!$E$31,4,IF(AM8=$N$8+Equity!$G$31+Equity!$E$31+Equity!$E$31+Equity!$E$31+Equity!$E$31,5,IF(AM8=$N$8+Equity!$G$31+Equity!$E$31+Equity!$E$31+Equity!$E$31+Equity!$E$31+Equity!$E$31,6,"")))))),"")</f>
        <v/>
      </c>
      <c r="AN23" s="1699" t="str">
        <f>IFERROR(IF(AN8=$N$8+Equity!$G$31,1,IF(AN8=$N$8+Equity!$G$31+Equity!$E$31,2,IF(AN8=$N$8+Equity!$G$31+Equity!$E$31+Equity!$E$31,3,IF(AN8=$N$8+Equity!$G$31+Equity!$E$31+Equity!$E$31+Equity!$E$31,4,IF(AN8=$N$8+Equity!$G$31+Equity!$E$31+Equity!$E$31+Equity!$E$31+Equity!$E$31,5,IF(AN8=$N$8+Equity!$G$31+Equity!$E$31+Equity!$E$31+Equity!$E$31+Equity!$E$31+Equity!$E$31,6,"")))))),"")</f>
        <v/>
      </c>
      <c r="AO23" s="1699" t="str">
        <f>IFERROR(IF(AO8=$N$8+Equity!$G$31,1,IF(AO8=$N$8+Equity!$G$31+Equity!$E$31,2,IF(AO8=$N$8+Equity!$G$31+Equity!$E$31+Equity!$E$31,3,IF(AO8=$N$8+Equity!$G$31+Equity!$E$31+Equity!$E$31+Equity!$E$31,4,IF(AO8=$N$8+Equity!$G$31+Equity!$E$31+Equity!$E$31+Equity!$E$31+Equity!$E$31,5,IF(AO8=$N$8+Equity!$G$31+Equity!$E$31+Equity!$E$31+Equity!$E$31+Equity!$E$31+Equity!$E$31,6,"")))))),"")</f>
        <v/>
      </c>
      <c r="AP23" s="1699">
        <f>IFERROR(IF(AP8=$N$8+Equity!$G$31,1,IF(AP8=$N$8+Equity!$G$31+Equity!$E$31,2,IF(AP8=$N$8+Equity!$G$31+Equity!$E$31+Equity!$E$31,3,IF(AP8=$N$8+Equity!$G$31+Equity!$E$31+Equity!$E$31+Equity!$E$31,4,IF(AP8=$N$8+Equity!$G$31+Equity!$E$31+Equity!$E$31+Equity!$E$31+Equity!$E$31,5,IF(AP8=$N$8+Equity!$G$31+Equity!$E$31+Equity!$E$31+Equity!$E$31+Equity!$E$31+Equity!$E$31,6,"")))))),"")</f>
        <v>6</v>
      </c>
      <c r="AQ23" s="1699" t="str">
        <f>IFERROR(IF(AQ8=$N$8+Equity!$G$31,1,IF(AQ8=$N$8+Equity!$G$31+Equity!$E$31,2,IF(AQ8=$N$8+Equity!$G$31+Equity!$E$31+Equity!$E$31,3,IF(AQ8=$N$8+Equity!$G$31+Equity!$E$31+Equity!$E$31+Equity!$E$31,4,IF(AQ8=$N$8+Equity!$G$31+Equity!$E$31+Equity!$E$31+Equity!$E$31+Equity!$E$31,5,IF(AQ8=$N$8+Equity!$G$31+Equity!$E$31+Equity!$E$31+Equity!$E$31+Equity!$E$31+Equity!$E$31,6,"")))))),"")</f>
        <v/>
      </c>
      <c r="AR23" s="1699" t="str">
        <f>IFERROR(IF(AR8=$N$8+Equity!$G$31,1,IF(AR8=$N$8+Equity!$G$31+Equity!$E$31,2,IF(AR8=$N$8+Equity!$G$31+Equity!$E$31+Equity!$E$31,3,IF(AR8=$N$8+Equity!$G$31+Equity!$E$31+Equity!$E$31+Equity!$E$31,4,IF(AR8=$N$8+Equity!$G$31+Equity!$E$31+Equity!$E$31+Equity!$E$31+Equity!$E$31,5,IF(AR8=$N$8+Equity!$G$31+Equity!$E$31+Equity!$E$31+Equity!$E$31+Equity!$E$31+Equity!$E$31,6,"")))))),"")</f>
        <v/>
      </c>
      <c r="AS23" s="1699" t="str">
        <f>IFERROR(IF(AS8=$N$8+Equity!$G$31,1,IF(AS8=$N$8+Equity!$G$31+Equity!$E$31,2,IF(AS8=$N$8+Equity!$G$31+Equity!$E$31+Equity!$E$31,3,IF(AS8=$N$8+Equity!$G$31+Equity!$E$31+Equity!$E$31+Equity!$E$31,4,IF(AS8=$N$8+Equity!$G$31+Equity!$E$31+Equity!$E$31+Equity!$E$31+Equity!$E$31,5,IF(AS8=$N$8+Equity!$G$31+Equity!$E$31+Equity!$E$31+Equity!$E$31+Equity!$E$31+Equity!$E$31,6,"")))))),"")</f>
        <v/>
      </c>
      <c r="AT23" s="1699" t="str">
        <f>IFERROR(IF(AT8=$N$8+Equity!$G$31,1,IF(AT8=$N$8+Equity!$G$31+Equity!$E$31,2,IF(AT8=$N$8+Equity!$G$31+Equity!$E$31+Equity!$E$31,3,IF(AT8=$N$8+Equity!$G$31+Equity!$E$31+Equity!$E$31+Equity!$E$31,4,IF(AT8=$N$8+Equity!$G$31+Equity!$E$31+Equity!$E$31+Equity!$E$31+Equity!$E$31,5,IF(AT8=$N$8+Equity!$G$31+Equity!$E$31+Equity!$E$31+Equity!$E$31+Equity!$E$31+Equity!$E$31,6,"")))))),"")</f>
        <v/>
      </c>
      <c r="AU23" s="1699" t="str">
        <f>IFERROR(IF(AU8=$N$8+Equity!$G$31,1,IF(AU8=$N$8+Equity!$G$31+Equity!$E$31,2,IF(AU8=$N$8+Equity!$G$31+Equity!$E$31+Equity!$E$31,3,IF(AU8=$N$8+Equity!$G$31+Equity!$E$31+Equity!$E$31+Equity!$E$31,4,IF(AU8=$N$8+Equity!$G$31+Equity!$E$31+Equity!$E$31+Equity!$E$31+Equity!$E$31,5,IF(AU8=$N$8+Equity!$G$31+Equity!$E$31+Equity!$E$31+Equity!$E$31+Equity!$E$31+Equity!$E$31,6,"")))))),"")</f>
        <v/>
      </c>
      <c r="AV23" s="1699" t="str">
        <f>IFERROR(IF(AV8=$N$8+Equity!$G$31,1,IF(AV8=$N$8+Equity!$G$31+Equity!$E$31,2,IF(AV8=$N$8+Equity!$G$31+Equity!$E$31+Equity!$E$31,3,IF(AV8=$N$8+Equity!$G$31+Equity!$E$31+Equity!$E$31+Equity!$E$31,4,IF(AV8=$N$8+Equity!$G$31+Equity!$E$31+Equity!$E$31+Equity!$E$31+Equity!$E$31,5,IF(AV8=$N$8+Equity!$G$31+Equity!$E$31+Equity!$E$31+Equity!$E$31+Equity!$E$31+Equity!$E$31,6,"")))))),"")</f>
        <v/>
      </c>
      <c r="AW23" s="1699" t="str">
        <f>IFERROR(IF(AW8=$N$8+Equity!$G$31,1,IF(AW8=$N$8+Equity!$G$31+Equity!$E$31,2,IF(AW8=$N$8+Equity!$G$31+Equity!$E$31+Equity!$E$31,3,IF(AW8=$N$8+Equity!$G$31+Equity!$E$31+Equity!$E$31+Equity!$E$31,4,IF(AW8=$N$8+Equity!$G$31+Equity!$E$31+Equity!$E$31+Equity!$E$31+Equity!$E$31,5,IF(AW8=$N$8+Equity!$G$31+Equity!$E$31+Equity!$E$31+Equity!$E$31+Equity!$E$31+Equity!$E$31,6,"")))))),"")</f>
        <v/>
      </c>
      <c r="AX23" s="1699" t="str">
        <f>IFERROR(IF(AX8=$N$8+Equity!$G$31,1,IF(AX8=$N$8+Equity!$G$31+Equity!$E$31,2,IF(AX8=$N$8+Equity!$G$31+Equity!$E$31+Equity!$E$31,3,IF(AX8=$N$8+Equity!$G$31+Equity!$E$31+Equity!$E$31+Equity!$E$31,4,IF(AX8=$N$8+Equity!$G$31+Equity!$E$31+Equity!$E$31+Equity!$E$31+Equity!$E$31,5,IF(AX8=$N$8+Equity!$G$31+Equity!$E$31+Equity!$E$31+Equity!$E$31+Equity!$E$31+Equity!$E$31,6,"")))))),"")</f>
        <v/>
      </c>
      <c r="AY23" s="1699" t="str">
        <f>IFERROR(IF(AY8=$N$8+Equity!$G$31,1,IF(AY8=$N$8+Equity!$G$31+Equity!$E$31,2,IF(AY8=$N$8+Equity!$G$31+Equity!$E$31+Equity!$E$31,3,IF(AY8=$N$8+Equity!$G$31+Equity!$E$31+Equity!$E$31+Equity!$E$31,4,IF(AY8=$N$8+Equity!$G$31+Equity!$E$31+Equity!$E$31+Equity!$E$31+Equity!$E$31,5,IF(AY8=$N$8+Equity!$G$31+Equity!$E$31+Equity!$E$31+Equity!$E$31+Equity!$E$31+Equity!$E$31,6,"")))))),"")</f>
        <v/>
      </c>
      <c r="AZ23" s="1699" t="str">
        <f>IFERROR(IF(AZ8=$N$8+Equity!$G$31,1,IF(AZ8=$N$8+Equity!$G$31+Equity!$E$31,2,IF(AZ8=$N$8+Equity!$G$31+Equity!$E$31+Equity!$E$31,3,IF(AZ8=$N$8+Equity!$G$31+Equity!$E$31+Equity!$E$31+Equity!$E$31,4,IF(AZ8=$N$8+Equity!$G$31+Equity!$E$31+Equity!$E$31+Equity!$E$31+Equity!$E$31,5,IF(AZ8=$N$8+Equity!$G$31+Equity!$E$31+Equity!$E$31+Equity!$E$31+Equity!$E$31+Equity!$E$31,6,"")))))),"")</f>
        <v/>
      </c>
      <c r="BA23" s="1699" t="str">
        <f>IFERROR(IF(BA8=$N$8+Equity!$G$31,1,IF(BA8=$N$8+Equity!$G$31+Equity!$E$31,2,IF(BA8=$N$8+Equity!$G$31+Equity!$E$31+Equity!$E$31,3,IF(BA8=$N$8+Equity!$G$31+Equity!$E$31+Equity!$E$31+Equity!$E$31,4,IF(BA8=$N$8+Equity!$G$31+Equity!$E$31+Equity!$E$31+Equity!$E$31+Equity!$E$31,5,IF(BA8=$N$8+Equity!$G$31+Equity!$E$31+Equity!$E$31+Equity!$E$31+Equity!$E$31+Equity!$E$31,6,"")))))),"")</f>
        <v/>
      </c>
      <c r="BB23" s="1699" t="str">
        <f>IFERROR(IF(BB8=$N$8+Equity!$G$31,1,IF(BB8=$N$8+Equity!$G$31+Equity!$E$31,2,IF(BB8=$N$8+Equity!$G$31+Equity!$E$31+Equity!$E$31,3,IF(BB8=$N$8+Equity!$G$31+Equity!$E$31+Equity!$E$31+Equity!$E$31,4,IF(BB8=$N$8+Equity!$G$31+Equity!$E$31+Equity!$E$31+Equity!$E$31+Equity!$E$31,5,IF(BB8=$N$8+Equity!$G$31+Equity!$E$31+Equity!$E$31+Equity!$E$31+Equity!$E$31+Equity!$E$31,6,"")))))),"")</f>
        <v/>
      </c>
      <c r="BC23" s="1699" t="str">
        <f>IFERROR(IF(BC8=$N$8+Equity!$G$31,1,IF(BC8=$N$8+Equity!$G$31+Equity!$E$31,2,IF(BC8=$N$8+Equity!$G$31+Equity!$E$31+Equity!$E$31,3,IF(BC8=$N$8+Equity!$G$31+Equity!$E$31+Equity!$E$31+Equity!$E$31,4,IF(BC8=$N$8+Equity!$G$31+Equity!$E$31+Equity!$E$31+Equity!$E$31+Equity!$E$31,5,IF(BC8=$N$8+Equity!$G$31+Equity!$E$31+Equity!$E$31+Equity!$E$31+Equity!$E$31+Equity!$E$31,6,"")))))),"")</f>
        <v/>
      </c>
      <c r="BD23" s="1699" t="str">
        <f>IFERROR(IF(BD8=$N$8+Equity!$G$31,1,IF(BD8=$N$8+Equity!$G$31+Equity!$E$31,2,IF(BD8=$N$8+Equity!$G$31+Equity!$E$31+Equity!$E$31,3,IF(BD8=$N$8+Equity!$G$31+Equity!$E$31+Equity!$E$31+Equity!$E$31,4,IF(BD8=$N$8+Equity!$G$31+Equity!$E$31+Equity!$E$31+Equity!$E$31+Equity!$E$31,5,IF(BD8=$N$8+Equity!$G$31+Equity!$E$31+Equity!$E$31+Equity!$E$31+Equity!$E$31+Equity!$E$31,6,"")))))),"")</f>
        <v/>
      </c>
      <c r="BE23" s="1699" t="str">
        <f>IFERROR(IF(BE8=$N$8+Equity!$G$31,1,IF(BE8=$N$8+Equity!$G$31+Equity!$E$31,2,IF(BE8=$N$8+Equity!$G$31+Equity!$E$31+Equity!$E$31,3,IF(BE8=$N$8+Equity!$G$31+Equity!$E$31+Equity!$E$31+Equity!$E$31,4,IF(BE8=$N$8+Equity!$G$31+Equity!$E$31+Equity!$E$31+Equity!$E$31+Equity!$E$31,5,IF(BE8=$N$8+Equity!$G$31+Equity!$E$31+Equity!$E$31+Equity!$E$31+Equity!$E$31+Equity!$E$31,6,"")))))),"")</f>
        <v/>
      </c>
      <c r="BF23" s="1699" t="str">
        <f>IFERROR(IF(BF8=$N$8+Equity!$G$31,1,IF(BF8=$N$8+Equity!$G$31+Equity!$E$31,2,IF(BF8=$N$8+Equity!$G$31+Equity!$E$31+Equity!$E$31,3,IF(BF8=$N$8+Equity!$G$31+Equity!$E$31+Equity!$E$31+Equity!$E$31,4,IF(BF8=$N$8+Equity!$G$31+Equity!$E$31+Equity!$E$31+Equity!$E$31+Equity!$E$31,5,IF(BF8=$N$8+Equity!$G$31+Equity!$E$31+Equity!$E$31+Equity!$E$31+Equity!$E$31+Equity!$E$31,6,"")))))),"")</f>
        <v/>
      </c>
      <c r="BG23" s="1699" t="str">
        <f>IFERROR(IF(BG8=$N$8+Equity!$G$31,1,IF(BG8=$N$8+Equity!$G$31+Equity!$E$31,2,IF(BG8=$N$8+Equity!$G$31+Equity!$E$31+Equity!$E$31,3,IF(BG8=$N$8+Equity!$G$31+Equity!$E$31+Equity!$E$31+Equity!$E$31,4,IF(BG8=$N$8+Equity!$G$31+Equity!$E$31+Equity!$E$31+Equity!$E$31+Equity!$E$31,5,IF(BG8=$N$8+Equity!$G$31+Equity!$E$31+Equity!$E$31+Equity!$E$31+Equity!$E$31+Equity!$E$31,6,"")))))),"")</f>
        <v/>
      </c>
      <c r="BH23" s="1699" t="str">
        <f>IFERROR(IF(BH8=$N$8+Equity!$G$31,1,IF(BH8=$N$8+Equity!$G$31+Equity!$E$31,2,IF(BH8=$N$8+Equity!$G$31+Equity!$E$31+Equity!$E$31,3,IF(BH8=$N$8+Equity!$G$31+Equity!$E$31+Equity!$E$31+Equity!$E$31,4,IF(BH8=$N$8+Equity!$G$31+Equity!$E$31+Equity!$E$31+Equity!$E$31+Equity!$E$31,5,IF(BH8=$N$8+Equity!$G$31+Equity!$E$31+Equity!$E$31+Equity!$E$31+Equity!$E$31+Equity!$E$31,6,"")))))),"")</f>
        <v/>
      </c>
      <c r="BI23" s="1699" t="str">
        <f>IFERROR(IF(BI8=$N$8+Equity!$G$31,1,IF(BI8=$N$8+Equity!$G$31+Equity!$E$31,2,IF(BI8=$N$8+Equity!$G$31+Equity!$E$31+Equity!$E$31,3,IF(BI8=$N$8+Equity!$G$31+Equity!$E$31+Equity!$E$31+Equity!$E$31,4,IF(BI8=$N$8+Equity!$G$31+Equity!$E$31+Equity!$E$31+Equity!$E$31+Equity!$E$31,5,IF(BI8=$N$8+Equity!$G$31+Equity!$E$31+Equity!$E$31+Equity!$E$31+Equity!$E$31+Equity!$E$31,6,"")))))),"")</f>
        <v/>
      </c>
      <c r="BJ23" s="1699" t="str">
        <f>IFERROR(IF(BJ8=$N$8+Equity!$G$31,1,IF(BJ8=$N$8+Equity!$G$31+Equity!$E$31,2,IF(BJ8=$N$8+Equity!$G$31+Equity!$E$31+Equity!$E$31,3,IF(BJ8=$N$8+Equity!$G$31+Equity!$E$31+Equity!$E$31+Equity!$E$31,4,IF(BJ8=$N$8+Equity!$G$31+Equity!$E$31+Equity!$E$31+Equity!$E$31+Equity!$E$31,5,IF(BJ8=$N$8+Equity!$G$31+Equity!$E$31+Equity!$E$31+Equity!$E$31+Equity!$E$31+Equity!$E$31,6,"")))))),"")</f>
        <v/>
      </c>
      <c r="BK23" s="1699" t="str">
        <f>IFERROR(IF(BK8=$N$8+Equity!$G$31,1,IF(BK8=$N$8+Equity!$G$31+Equity!$E$31,2,IF(BK8=$N$8+Equity!$G$31+Equity!$E$31+Equity!$E$31,3,IF(BK8=$N$8+Equity!$G$31+Equity!$E$31+Equity!$E$31+Equity!$E$31,4,IF(BK8=$N$8+Equity!$G$31+Equity!$E$31+Equity!$E$31+Equity!$E$31+Equity!$E$31,5,IF(BK8=$N$8+Equity!$G$31+Equity!$E$31+Equity!$E$31+Equity!$E$31+Equity!$E$31+Equity!$E$31,6,"")))))),"")</f>
        <v/>
      </c>
      <c r="BL23" s="1699" t="str">
        <f>IFERROR(IF(BL8=$N$8+Equity!$G$31,1,IF(BL8=$N$8+Equity!$G$31+Equity!$E$31,2,IF(BL8=$N$8+Equity!$G$31+Equity!$E$31+Equity!$E$31,3,IF(BL8=$N$8+Equity!$G$31+Equity!$E$31+Equity!$E$31+Equity!$E$31,4,IF(BL8=$N$8+Equity!$G$31+Equity!$E$31+Equity!$E$31+Equity!$E$31+Equity!$E$31,5,IF(BL8=$N$8+Equity!$G$31+Equity!$E$31+Equity!$E$31+Equity!$E$31+Equity!$E$31+Equity!$E$31,6,"")))))),"")</f>
        <v/>
      </c>
      <c r="BM23" s="1699" t="str">
        <f>IFERROR(IF(BM8=$N$8+Equity!$G$31,1,IF(BM8=$N$8+Equity!$G$31+Equity!$E$31,2,IF(BM8=$N$8+Equity!$G$31+Equity!$E$31+Equity!$E$31,3,IF(BM8=$N$8+Equity!$G$31+Equity!$E$31+Equity!$E$31+Equity!$E$31,4,IF(BM8=$N$8+Equity!$G$31+Equity!$E$31+Equity!$E$31+Equity!$E$31+Equity!$E$31,5,IF(BM8=$N$8+Equity!$G$31+Equity!$E$31+Equity!$E$31+Equity!$E$31+Equity!$E$31+Equity!$E$31,6,"")))))),"")</f>
        <v/>
      </c>
      <c r="BN23" s="1699" t="str">
        <f>IFERROR(IF(BN8=$N$8+Equity!$G$31,1,IF(BN8=$N$8+Equity!$G$31+Equity!$E$31,2,IF(BN8=$N$8+Equity!$G$31+Equity!$E$31+Equity!$E$31,3,IF(BN8=$N$8+Equity!$G$31+Equity!$E$31+Equity!$E$31+Equity!$E$31,4,IF(BN8=$N$8+Equity!$G$31+Equity!$E$31+Equity!$E$31+Equity!$E$31+Equity!$E$31,5,IF(BN8=$N$8+Equity!$G$31+Equity!$E$31+Equity!$E$31+Equity!$E$31+Equity!$E$31+Equity!$E$31,6,"")))))),"")</f>
        <v/>
      </c>
      <c r="BO23" s="1699" t="str">
        <f>IFERROR(IF(BO8=$N$8+Equity!$G$31,1,IF(BO8=$N$8+Equity!$G$31+Equity!$E$31,2,IF(BO8=$N$8+Equity!$G$31+Equity!$E$31+Equity!$E$31,3,IF(BO8=$N$8+Equity!$G$31+Equity!$E$31+Equity!$E$31+Equity!$E$31,4,IF(BO8=$N$8+Equity!$G$31+Equity!$E$31+Equity!$E$31+Equity!$E$31+Equity!$E$31,5,IF(BO8=$N$8+Equity!$G$31+Equity!$E$31+Equity!$E$31+Equity!$E$31+Equity!$E$31+Equity!$E$31,6,"")))))),"")</f>
        <v/>
      </c>
      <c r="BP23" s="1699" t="str">
        <f>IFERROR(IF(BP8=$N$8+Equity!$G$31,1,IF(BP8=$N$8+Equity!$G$31+Equity!$E$31,2,IF(BP8=$N$8+Equity!$G$31+Equity!$E$31+Equity!$E$31,3,IF(BP8=$N$8+Equity!$G$31+Equity!$E$31+Equity!$E$31+Equity!$E$31,4,IF(BP8=$N$8+Equity!$G$31+Equity!$E$31+Equity!$E$31+Equity!$E$31+Equity!$E$31,5,IF(BP8=$N$8+Equity!$G$31+Equity!$E$31+Equity!$E$31+Equity!$E$31+Equity!$E$31+Equity!$E$31,6,"")))))),"")</f>
        <v/>
      </c>
      <c r="BQ23" s="1699" t="str">
        <f>IFERROR(IF(BQ8=$N$8+Equity!$G$31,1,IF(BQ8=$N$8+Equity!$G$31+Equity!$E$31,2,IF(BQ8=$N$8+Equity!$G$31+Equity!$E$31+Equity!$E$31,3,IF(BQ8=$N$8+Equity!$G$31+Equity!$E$31+Equity!$E$31+Equity!$E$31,4,IF(BQ8=$N$8+Equity!$G$31+Equity!$E$31+Equity!$E$31+Equity!$E$31+Equity!$E$31,5,IF(BQ8=$N$8+Equity!$G$31+Equity!$E$31+Equity!$E$31+Equity!$E$31+Equity!$E$31+Equity!$E$31,6,"")))))),"")</f>
        <v/>
      </c>
      <c r="BR23" s="1699" t="str">
        <f>IFERROR(IF(BR8=$N$8+Equity!$G$31,1,IF(BR8=$N$8+Equity!$G$31+Equity!$E$31,2,IF(BR8=$N$8+Equity!$G$31+Equity!$E$31+Equity!$E$31,3,IF(BR8=$N$8+Equity!$G$31+Equity!$E$31+Equity!$E$31+Equity!$E$31,4,IF(BR8=$N$8+Equity!$G$31+Equity!$E$31+Equity!$E$31+Equity!$E$31+Equity!$E$31,5,IF(BR8=$N$8+Equity!$G$31+Equity!$E$31+Equity!$E$31+Equity!$E$31+Equity!$E$31+Equity!$E$31,6,"")))))),"")</f>
        <v/>
      </c>
      <c r="BS23" s="1699" t="str">
        <f>IFERROR(IF(BS8=$N$8+Equity!$G$31,1,IF(BS8=$N$8+Equity!$G$31+Equity!$E$31,2,IF(BS8=$N$8+Equity!$G$31+Equity!$E$31+Equity!$E$31,3,IF(BS8=$N$8+Equity!$G$31+Equity!$E$31+Equity!$E$31+Equity!$E$31,4,IF(BS8=$N$8+Equity!$G$31+Equity!$E$31+Equity!$E$31+Equity!$E$31+Equity!$E$31,5,IF(BS8=$N$8+Equity!$G$31+Equity!$E$31+Equity!$E$31+Equity!$E$31+Equity!$E$31+Equity!$E$31,6,"")))))),"")</f>
        <v/>
      </c>
      <c r="BT23" s="1699" t="str">
        <f>IFERROR(IF(BT8=$N$8+Equity!$G$31,1,IF(BT8=$N$8+Equity!$G$31+Equity!$E$31,2,IF(BT8=$N$8+Equity!$G$31+Equity!$E$31+Equity!$E$31,3,IF(BT8=$N$8+Equity!$G$31+Equity!$E$31+Equity!$E$31+Equity!$E$31,4,IF(BT8=$N$8+Equity!$G$31+Equity!$E$31+Equity!$E$31+Equity!$E$31+Equity!$E$31,5,IF(BT8=$N$8+Equity!$G$31+Equity!$E$31+Equity!$E$31+Equity!$E$31+Equity!$E$31+Equity!$E$31,6,"")))))),"")</f>
        <v/>
      </c>
      <c r="BU23" s="1699" t="str">
        <f>IFERROR(IF(BU8=$N$8+Equity!$G$31,1,IF(BU8=$N$8+Equity!$G$31+Equity!$E$31,2,IF(BU8=$N$8+Equity!$G$31+Equity!$E$31+Equity!$E$31,3,IF(BU8=$N$8+Equity!$G$31+Equity!$E$31+Equity!$E$31+Equity!$E$31,4,IF(BU8=$N$8+Equity!$G$31+Equity!$E$31+Equity!$E$31+Equity!$E$31+Equity!$E$31,5,IF(BU8=$N$8+Equity!$G$31+Equity!$E$31+Equity!$E$31+Equity!$E$31+Equity!$E$31+Equity!$E$31,6,"")))))),"")</f>
        <v/>
      </c>
      <c r="BV23" s="1699"/>
      <c r="BW23" s="1699"/>
      <c r="BX23" s="1699"/>
      <c r="BY23" s="976"/>
      <c r="BZ23" s="998"/>
    </row>
    <row r="24" spans="2:78">
      <c r="B24" s="757" t="s">
        <v>1617</v>
      </c>
      <c r="C24" s="1884"/>
      <c r="D24" s="1007"/>
      <c r="E24" s="1007"/>
      <c r="F24" s="1008"/>
      <c r="G24" s="1008"/>
      <c r="H24" s="1009"/>
      <c r="I24" s="1009"/>
      <c r="J24" s="1009"/>
      <c r="K24" s="1010">
        <f>비용집행계획!F20</f>
        <v>0</v>
      </c>
      <c r="L24" s="1010">
        <f>비용집행계획!G20</f>
        <v>0</v>
      </c>
      <c r="M24" s="1010">
        <f>비용집행계획!H20</f>
        <v>0</v>
      </c>
      <c r="N24" s="1010">
        <f>비용집행계획!I20</f>
        <v>0</v>
      </c>
      <c r="O24" s="1010">
        <f>비용집행계획!J20</f>
        <v>0</v>
      </c>
      <c r="P24" s="1010">
        <f>비용집행계획!K20</f>
        <v>0</v>
      </c>
      <c r="Q24" s="1010">
        <f>비용집행계획!L20</f>
        <v>0</v>
      </c>
      <c r="R24" s="1010">
        <f>비용집행계획!M20</f>
        <v>0</v>
      </c>
      <c r="S24" s="1010">
        <f>비용집행계획!N20</f>
        <v>0</v>
      </c>
      <c r="T24" s="1010">
        <f>비용집행계획!O20</f>
        <v>0</v>
      </c>
      <c r="U24" s="1010">
        <f>비용집행계획!P20</f>
        <v>0</v>
      </c>
      <c r="V24" s="1010">
        <f>비용집행계획!Q20</f>
        <v>0</v>
      </c>
      <c r="W24" s="1010">
        <f>비용집행계획!R20</f>
        <v>0</v>
      </c>
      <c r="X24" s="1010">
        <f>비용집행계획!S20</f>
        <v>0</v>
      </c>
      <c r="Y24" s="1010">
        <f>비용집행계획!T20</f>
        <v>0</v>
      </c>
      <c r="Z24" s="1010">
        <f>비용집행계획!U20</f>
        <v>0</v>
      </c>
      <c r="AA24" s="1010">
        <f>비용집행계획!V20</f>
        <v>0</v>
      </c>
      <c r="AB24" s="1010">
        <f>비용집행계획!W20</f>
        <v>0</v>
      </c>
      <c r="AC24" s="1010">
        <f>비용집행계획!X20</f>
        <v>0</v>
      </c>
      <c r="AD24" s="1010">
        <f>비용집행계획!Y20</f>
        <v>0</v>
      </c>
      <c r="AE24" s="1010">
        <f>비용집행계획!Z20</f>
        <v>0</v>
      </c>
      <c r="AF24" s="1010">
        <f>비용집행계획!AA20</f>
        <v>0</v>
      </c>
      <c r="AG24" s="1010">
        <f>비용집행계획!AB20</f>
        <v>0</v>
      </c>
      <c r="AH24" s="1010">
        <f>비용집행계획!AC20</f>
        <v>0</v>
      </c>
      <c r="AI24" s="1010">
        <f>비용집행계획!AD20</f>
        <v>0</v>
      </c>
      <c r="AJ24" s="1010">
        <f>비용집행계획!AE20</f>
        <v>0</v>
      </c>
      <c r="AK24" s="1010">
        <f>비용집행계획!AF20</f>
        <v>0</v>
      </c>
      <c r="AL24" s="1010">
        <f>비용집행계획!AG20</f>
        <v>0</v>
      </c>
      <c r="AM24" s="1010">
        <f>비용집행계획!AH20</f>
        <v>0</v>
      </c>
      <c r="AN24" s="1010">
        <f>비용집행계획!AI20</f>
        <v>0</v>
      </c>
      <c r="AO24" s="1010">
        <f>비용집행계획!AJ20</f>
        <v>0</v>
      </c>
      <c r="AP24" s="1010">
        <f>비용집행계획!AK20</f>
        <v>0</v>
      </c>
      <c r="AQ24" s="1010">
        <f>비용집행계획!AL20</f>
        <v>0</v>
      </c>
      <c r="AR24" s="1010">
        <f>비용집행계획!AM20</f>
        <v>0</v>
      </c>
      <c r="AS24" s="1010">
        <f>비용집행계획!AN20</f>
        <v>0</v>
      </c>
      <c r="AT24" s="1010">
        <f>비용집행계획!AO20</f>
        <v>0</v>
      </c>
      <c r="AU24" s="1010">
        <f>비용집행계획!AP20</f>
        <v>0</v>
      </c>
      <c r="AV24" s="1010">
        <f>비용집행계획!AQ20</f>
        <v>0</v>
      </c>
      <c r="AW24" s="1010">
        <f>비용집행계획!AR20</f>
        <v>0</v>
      </c>
      <c r="AX24" s="1010">
        <f>비용집행계획!AS20</f>
        <v>0</v>
      </c>
      <c r="AY24" s="1010">
        <f>비용집행계획!AT20</f>
        <v>0</v>
      </c>
      <c r="AZ24" s="1010">
        <f>비용집행계획!AU20</f>
        <v>0</v>
      </c>
      <c r="BA24" s="1010">
        <f>비용집행계획!AV20</f>
        <v>0</v>
      </c>
      <c r="BB24" s="1010">
        <f>비용집행계획!AW20</f>
        <v>0</v>
      </c>
      <c r="BC24" s="1010">
        <f>비용집행계획!AX20</f>
        <v>0</v>
      </c>
      <c r="BD24" s="1010">
        <f>비용집행계획!AY20</f>
        <v>0</v>
      </c>
      <c r="BE24" s="1010">
        <f>비용집행계획!AZ20</f>
        <v>0</v>
      </c>
      <c r="BF24" s="1010">
        <f>비용집행계획!BA20</f>
        <v>0</v>
      </c>
      <c r="BG24" s="1010">
        <f>비용집행계획!BB20</f>
        <v>0</v>
      </c>
      <c r="BH24" s="1010">
        <f>비용집행계획!BC20</f>
        <v>0</v>
      </c>
      <c r="BI24" s="1010">
        <f>비용집행계획!BD20</f>
        <v>0</v>
      </c>
      <c r="BJ24" s="1010">
        <f>비용집행계획!BE20</f>
        <v>0</v>
      </c>
      <c r="BK24" s="1010">
        <f>비용집행계획!BF20</f>
        <v>0</v>
      </c>
      <c r="BL24" s="1010">
        <f>비용집행계획!BG20</f>
        <v>0</v>
      </c>
      <c r="BM24" s="1010">
        <f>비용집행계획!BH20</f>
        <v>0</v>
      </c>
      <c r="BN24" s="1010">
        <f>비용집행계획!BI20</f>
        <v>0</v>
      </c>
      <c r="BO24" s="1010">
        <f>비용집행계획!BJ20</f>
        <v>0</v>
      </c>
      <c r="BP24" s="1010">
        <f>비용집행계획!BK20</f>
        <v>0</v>
      </c>
      <c r="BQ24" s="1010">
        <f>비용집행계획!BL20</f>
        <v>0</v>
      </c>
      <c r="BR24" s="1010">
        <f>비용집행계획!BM20</f>
        <v>0</v>
      </c>
      <c r="BS24" s="1010">
        <f>비용집행계획!BN20</f>
        <v>0</v>
      </c>
      <c r="BT24" s="1010">
        <f>비용집행계획!BO20</f>
        <v>0</v>
      </c>
      <c r="BU24" s="1010">
        <f>비용집행계획!BP20</f>
        <v>0</v>
      </c>
      <c r="BV24" s="1010"/>
      <c r="BW24" s="1010"/>
      <c r="BX24" s="1010"/>
      <c r="BY24" s="985"/>
    </row>
    <row r="25" spans="2:78">
      <c r="B25" s="760" t="s">
        <v>1031</v>
      </c>
      <c r="C25" s="1885"/>
      <c r="D25" s="1011"/>
      <c r="E25" s="1011"/>
      <c r="F25" s="1008"/>
      <c r="G25" s="1008"/>
      <c r="H25" s="1009"/>
      <c r="I25" s="1009"/>
      <c r="J25" s="1009"/>
      <c r="K25" s="1012">
        <f t="shared" ref="K25:L25" si="57">J25+K24</f>
        <v>0</v>
      </c>
      <c r="L25" s="1012">
        <f t="shared" si="57"/>
        <v>0</v>
      </c>
      <c r="M25" s="1012">
        <f t="shared" ref="M25:AP25" si="58">L25+M24</f>
        <v>0</v>
      </c>
      <c r="N25" s="1012">
        <f t="shared" si="58"/>
        <v>0</v>
      </c>
      <c r="O25" s="1012">
        <f t="shared" si="58"/>
        <v>0</v>
      </c>
      <c r="P25" s="1012">
        <f t="shared" si="58"/>
        <v>0</v>
      </c>
      <c r="Q25" s="1012">
        <f t="shared" si="58"/>
        <v>0</v>
      </c>
      <c r="R25" s="1012">
        <f t="shared" si="58"/>
        <v>0</v>
      </c>
      <c r="S25" s="1012">
        <f t="shared" si="58"/>
        <v>0</v>
      </c>
      <c r="T25" s="1012">
        <f t="shared" si="58"/>
        <v>0</v>
      </c>
      <c r="U25" s="1012">
        <f t="shared" si="58"/>
        <v>0</v>
      </c>
      <c r="V25" s="1012">
        <f t="shared" si="58"/>
        <v>0</v>
      </c>
      <c r="W25" s="1012">
        <f t="shared" si="58"/>
        <v>0</v>
      </c>
      <c r="X25" s="1012">
        <f t="shared" si="58"/>
        <v>0</v>
      </c>
      <c r="Y25" s="1012">
        <f t="shared" si="58"/>
        <v>0</v>
      </c>
      <c r="Z25" s="1012">
        <f t="shared" si="58"/>
        <v>0</v>
      </c>
      <c r="AA25" s="1012">
        <f t="shared" si="58"/>
        <v>0</v>
      </c>
      <c r="AB25" s="1012">
        <f t="shared" si="58"/>
        <v>0</v>
      </c>
      <c r="AC25" s="1012">
        <f t="shared" si="58"/>
        <v>0</v>
      </c>
      <c r="AD25" s="1012">
        <f t="shared" si="58"/>
        <v>0</v>
      </c>
      <c r="AE25" s="1012">
        <f t="shared" si="58"/>
        <v>0</v>
      </c>
      <c r="AF25" s="1012">
        <f t="shared" si="58"/>
        <v>0</v>
      </c>
      <c r="AG25" s="1012">
        <f t="shared" si="58"/>
        <v>0</v>
      </c>
      <c r="AH25" s="1012">
        <f t="shared" si="58"/>
        <v>0</v>
      </c>
      <c r="AI25" s="1012">
        <f t="shared" si="58"/>
        <v>0</v>
      </c>
      <c r="AJ25" s="1012">
        <f t="shared" si="58"/>
        <v>0</v>
      </c>
      <c r="AK25" s="1012">
        <f t="shared" si="58"/>
        <v>0</v>
      </c>
      <c r="AL25" s="1012">
        <f t="shared" si="58"/>
        <v>0</v>
      </c>
      <c r="AM25" s="1012">
        <f t="shared" si="58"/>
        <v>0</v>
      </c>
      <c r="AN25" s="1012">
        <f t="shared" si="58"/>
        <v>0</v>
      </c>
      <c r="AO25" s="1012">
        <f t="shared" si="58"/>
        <v>0</v>
      </c>
      <c r="AP25" s="1012">
        <f t="shared" si="58"/>
        <v>0</v>
      </c>
      <c r="AQ25" s="1013">
        <f t="shared" ref="AQ25:AV25" si="59">AP25+AQ24</f>
        <v>0</v>
      </c>
      <c r="AR25" s="1012">
        <f t="shared" si="59"/>
        <v>0</v>
      </c>
      <c r="AS25" s="1012">
        <f t="shared" si="59"/>
        <v>0</v>
      </c>
      <c r="AT25" s="1012">
        <f t="shared" si="59"/>
        <v>0</v>
      </c>
      <c r="AU25" s="1012">
        <f t="shared" si="59"/>
        <v>0</v>
      </c>
      <c r="AV25" s="1012">
        <f t="shared" si="59"/>
        <v>0</v>
      </c>
      <c r="AW25" s="1012">
        <f>AU25+AW24</f>
        <v>0</v>
      </c>
      <c r="AX25" s="1012">
        <f>AW25+AX24</f>
        <v>0</v>
      </c>
      <c r="AY25" s="1012">
        <f>AX25+AY24</f>
        <v>0</v>
      </c>
      <c r="AZ25" s="1012">
        <f>AY25+AZ24</f>
        <v>0</v>
      </c>
      <c r="BA25" s="1012">
        <f>AZ25+BA24</f>
        <v>0</v>
      </c>
      <c r="BB25" s="1012">
        <f>AZ25+BB24</f>
        <v>0</v>
      </c>
      <c r="BC25" s="1012">
        <f>BB25+BC24</f>
        <v>0</v>
      </c>
      <c r="BD25" s="1012">
        <f>BC25+BD24</f>
        <v>0</v>
      </c>
      <c r="BE25" s="1012">
        <f>BD25+BE24</f>
        <v>0</v>
      </c>
      <c r="BF25" s="1012">
        <f t="shared" ref="BF25:BU25" si="60">BE25+BF24</f>
        <v>0</v>
      </c>
      <c r="BG25" s="1012">
        <f t="shared" si="60"/>
        <v>0</v>
      </c>
      <c r="BH25" s="1012">
        <f t="shared" si="60"/>
        <v>0</v>
      </c>
      <c r="BI25" s="1012">
        <f t="shared" si="60"/>
        <v>0</v>
      </c>
      <c r="BJ25" s="1012">
        <f t="shared" si="60"/>
        <v>0</v>
      </c>
      <c r="BK25" s="1012">
        <f t="shared" si="60"/>
        <v>0</v>
      </c>
      <c r="BL25" s="1012">
        <f t="shared" si="60"/>
        <v>0</v>
      </c>
      <c r="BM25" s="1012">
        <f t="shared" si="60"/>
        <v>0</v>
      </c>
      <c r="BN25" s="1012">
        <f t="shared" si="60"/>
        <v>0</v>
      </c>
      <c r="BO25" s="1012">
        <f t="shared" si="60"/>
        <v>0</v>
      </c>
      <c r="BP25" s="1012">
        <f t="shared" si="60"/>
        <v>0</v>
      </c>
      <c r="BQ25" s="1012">
        <f t="shared" si="60"/>
        <v>0</v>
      </c>
      <c r="BR25" s="1012">
        <f t="shared" si="60"/>
        <v>0</v>
      </c>
      <c r="BS25" s="1012">
        <f t="shared" si="60"/>
        <v>0</v>
      </c>
      <c r="BT25" s="1012">
        <f t="shared" si="60"/>
        <v>0</v>
      </c>
      <c r="BU25" s="1012">
        <f t="shared" si="60"/>
        <v>0</v>
      </c>
      <c r="BV25" s="1012">
        <f t="shared" ref="BV25" si="61">BU25+BV24</f>
        <v>0</v>
      </c>
      <c r="BW25" s="1012">
        <f t="shared" ref="BW25" si="62">BV25+BW24</f>
        <v>0</v>
      </c>
      <c r="BX25" s="1012">
        <f t="shared" ref="BX25" si="63">BW25+BX24</f>
        <v>0</v>
      </c>
      <c r="BY25" s="976"/>
    </row>
    <row r="26" spans="2:78" s="957" customFormat="1" ht="15.6">
      <c r="B26" s="963"/>
      <c r="C26" s="963"/>
      <c r="F26" s="998"/>
      <c r="G26" s="998"/>
      <c r="H26" s="998"/>
      <c r="I26" s="998"/>
      <c r="J26" s="998"/>
      <c r="K26" s="999"/>
      <c r="L26" s="999"/>
      <c r="M26" s="999"/>
      <c r="N26" s="970" t="str">
        <f>N23</f>
        <v/>
      </c>
      <c r="O26" s="1699"/>
      <c r="P26" s="1699"/>
      <c r="Q26" s="1699"/>
      <c r="R26" s="1699"/>
      <c r="S26" s="1699"/>
      <c r="T26" s="1699"/>
      <c r="U26" s="1699"/>
      <c r="V26" s="1699"/>
      <c r="W26" s="1699"/>
      <c r="X26" s="1699"/>
      <c r="Y26" s="1699"/>
      <c r="Z26" s="1699"/>
      <c r="AA26" s="1699"/>
      <c r="AB26" s="1699"/>
      <c r="AC26" s="1699"/>
      <c r="AD26" s="1699"/>
      <c r="AE26" s="1699"/>
      <c r="AF26" s="1699"/>
      <c r="AG26" s="1699"/>
      <c r="AH26" s="1699"/>
      <c r="AI26" s="1699"/>
      <c r="AJ26" s="1699"/>
      <c r="AK26" s="1699"/>
      <c r="AL26" s="1699"/>
      <c r="AM26" s="1699"/>
      <c r="AN26" s="1699"/>
      <c r="AO26" s="1699"/>
      <c r="AP26" s="1699"/>
      <c r="AQ26" s="1699"/>
      <c r="AR26" s="1699"/>
      <c r="AS26" s="1699"/>
      <c r="AT26" s="1699"/>
      <c r="AU26" s="1699"/>
      <c r="AV26" s="1699"/>
      <c r="AW26" s="1699"/>
      <c r="AX26" s="1699"/>
      <c r="AY26" s="1699"/>
      <c r="AZ26" s="1699"/>
      <c r="BA26" s="1699"/>
      <c r="BB26" s="1699"/>
      <c r="BC26" s="1699"/>
      <c r="BD26" s="1699"/>
      <c r="BE26" s="1699"/>
      <c r="BF26" s="1699"/>
      <c r="BG26" s="1699"/>
      <c r="BH26" s="1699"/>
      <c r="BI26" s="1699"/>
      <c r="BJ26" s="1699"/>
      <c r="BK26" s="1699"/>
      <c r="BL26" s="1699"/>
      <c r="BM26" s="1699"/>
      <c r="BN26" s="1699"/>
      <c r="BO26" s="1699"/>
      <c r="BP26" s="1699"/>
      <c r="BQ26" s="1699"/>
      <c r="BR26" s="1699"/>
      <c r="BS26" s="1699"/>
      <c r="BT26" s="1699"/>
      <c r="BU26" s="1699"/>
      <c r="BV26" s="1699"/>
      <c r="BW26" s="1699"/>
      <c r="BX26" s="1699"/>
      <c r="BY26" s="976"/>
      <c r="BZ26" s="998"/>
    </row>
    <row r="27" spans="2:78">
      <c r="B27" s="1775" t="s">
        <v>1462</v>
      </c>
      <c r="C27" s="1886"/>
      <c r="D27" s="1786"/>
      <c r="E27" s="1786"/>
      <c r="F27" s="1791"/>
      <c r="G27" s="1791"/>
      <c r="H27" s="1792"/>
      <c r="I27" s="1792"/>
      <c r="J27" s="1792"/>
      <c r="K27" s="1788">
        <f>비용집행계획!F23</f>
        <v>0</v>
      </c>
      <c r="L27" s="1788">
        <f>비용집행계획!G23</f>
        <v>0</v>
      </c>
      <c r="M27" s="1788">
        <f>비용집행계획!H23</f>
        <v>0</v>
      </c>
      <c r="N27" s="1788">
        <f>비용집행계획!I23</f>
        <v>0</v>
      </c>
      <c r="O27" s="1788">
        <f>비용집행계획!J23</f>
        <v>0</v>
      </c>
      <c r="P27" s="1788">
        <f>비용집행계획!K23</f>
        <v>0</v>
      </c>
      <c r="Q27" s="1788">
        <f>비용집행계획!L23</f>
        <v>0</v>
      </c>
      <c r="R27" s="1788">
        <f>비용집행계획!M23</f>
        <v>0</v>
      </c>
      <c r="S27" s="1788">
        <f>비용집행계획!N23</f>
        <v>0</v>
      </c>
      <c r="T27" s="1788">
        <f>비용집행계획!O23</f>
        <v>0</v>
      </c>
      <c r="U27" s="1788">
        <f>비용집행계획!P23</f>
        <v>0</v>
      </c>
      <c r="V27" s="1788">
        <f>비용집행계획!Q23</f>
        <v>0</v>
      </c>
      <c r="W27" s="1788">
        <f>비용집행계획!R23</f>
        <v>0</v>
      </c>
      <c r="X27" s="1788">
        <f>비용집행계획!S23</f>
        <v>0</v>
      </c>
      <c r="Y27" s="1788">
        <f>비용집행계획!T23</f>
        <v>0</v>
      </c>
      <c r="Z27" s="1788">
        <f>비용집행계획!U23</f>
        <v>0</v>
      </c>
      <c r="AA27" s="1788">
        <f>비용집행계획!V23</f>
        <v>0</v>
      </c>
      <c r="AB27" s="1788">
        <f>비용집행계획!W23</f>
        <v>0</v>
      </c>
      <c r="AC27" s="1788">
        <f>비용집행계획!X23</f>
        <v>0</v>
      </c>
      <c r="AD27" s="1788">
        <f>비용집행계획!Y23</f>
        <v>0</v>
      </c>
      <c r="AE27" s="1788">
        <f>비용집행계획!Z23</f>
        <v>0</v>
      </c>
      <c r="AF27" s="1788">
        <f>비용집행계획!AA23</f>
        <v>0</v>
      </c>
      <c r="AG27" s="1788">
        <f>비용집행계획!AB23</f>
        <v>0</v>
      </c>
      <c r="AH27" s="1788">
        <f>비용집행계획!AC23</f>
        <v>0</v>
      </c>
      <c r="AI27" s="1788">
        <f>비용집행계획!AD23</f>
        <v>0</v>
      </c>
      <c r="AJ27" s="1788">
        <f>비용집행계획!AE23</f>
        <v>0</v>
      </c>
      <c r="AK27" s="1788">
        <f>비용집행계획!AF23</f>
        <v>0</v>
      </c>
      <c r="AL27" s="1788">
        <f>비용집행계획!AG23</f>
        <v>0</v>
      </c>
      <c r="AM27" s="1788">
        <f>비용집행계획!AH23</f>
        <v>0</v>
      </c>
      <c r="AN27" s="1788">
        <f>비용집행계획!AI23</f>
        <v>0</v>
      </c>
      <c r="AO27" s="1788">
        <f>비용집행계획!AJ23</f>
        <v>0</v>
      </c>
      <c r="AP27" s="1788">
        <f>비용집행계획!AK23</f>
        <v>0</v>
      </c>
      <c r="AQ27" s="1788">
        <f>비용집행계획!AL23</f>
        <v>0</v>
      </c>
      <c r="AR27" s="1788">
        <f>비용집행계획!AM23</f>
        <v>0</v>
      </c>
      <c r="AS27" s="1788">
        <f>비용집행계획!AN23</f>
        <v>0</v>
      </c>
      <c r="AT27" s="1788">
        <f>비용집행계획!AO23</f>
        <v>0</v>
      </c>
      <c r="AU27" s="1788">
        <f>비용집행계획!AP23</f>
        <v>0</v>
      </c>
      <c r="AV27" s="1788">
        <f>비용집행계획!AQ23</f>
        <v>0</v>
      </c>
      <c r="AW27" s="1788">
        <f>비용집행계획!AR23</f>
        <v>0</v>
      </c>
      <c r="AX27" s="1788">
        <f>비용집행계획!AS23</f>
        <v>0</v>
      </c>
      <c r="AY27" s="1788">
        <f>비용집행계획!AT23</f>
        <v>0</v>
      </c>
      <c r="AZ27" s="1788">
        <f>비용집행계획!AU23</f>
        <v>0</v>
      </c>
      <c r="BA27" s="1788">
        <f>비용집행계획!AV23</f>
        <v>0</v>
      </c>
      <c r="BB27" s="1788">
        <f>비용집행계획!AW23</f>
        <v>0</v>
      </c>
      <c r="BC27" s="1788">
        <f>비용집행계획!AX23</f>
        <v>0</v>
      </c>
      <c r="BD27" s="1788">
        <f>비용집행계획!AY23</f>
        <v>0</v>
      </c>
      <c r="BE27" s="1788">
        <f>비용집행계획!AZ23</f>
        <v>0</v>
      </c>
      <c r="BF27" s="1788">
        <f>비용집행계획!BA23</f>
        <v>0</v>
      </c>
      <c r="BG27" s="1788">
        <f>비용집행계획!BB23</f>
        <v>0</v>
      </c>
      <c r="BH27" s="1788">
        <f>비용집행계획!BC23</f>
        <v>0</v>
      </c>
      <c r="BI27" s="1788">
        <f>비용집행계획!BD23</f>
        <v>0</v>
      </c>
      <c r="BJ27" s="1788">
        <f>비용집행계획!BE23</f>
        <v>0</v>
      </c>
      <c r="BK27" s="1788">
        <f>비용집행계획!BF23</f>
        <v>0</v>
      </c>
      <c r="BL27" s="1788">
        <f>비용집행계획!BG23</f>
        <v>0</v>
      </c>
      <c r="BM27" s="1788">
        <f>비용집행계획!BH23</f>
        <v>0</v>
      </c>
      <c r="BN27" s="1788">
        <f>비용집행계획!BI23</f>
        <v>0</v>
      </c>
      <c r="BO27" s="1788">
        <f>비용집행계획!BJ23</f>
        <v>0</v>
      </c>
      <c r="BP27" s="1788">
        <f>비용집행계획!BK23</f>
        <v>0</v>
      </c>
      <c r="BQ27" s="1788">
        <f>비용집행계획!BL23</f>
        <v>0</v>
      </c>
      <c r="BR27" s="1788">
        <f>비용집행계획!BM23</f>
        <v>0</v>
      </c>
      <c r="BS27" s="1788">
        <f>비용집행계획!BN23</f>
        <v>0</v>
      </c>
      <c r="BT27" s="1788">
        <f>비용집행계획!BO23</f>
        <v>0</v>
      </c>
      <c r="BU27" s="1788">
        <f>비용집행계획!BP23</f>
        <v>0</v>
      </c>
      <c r="BV27" s="1788"/>
      <c r="BW27" s="1788"/>
      <c r="BX27" s="1788"/>
      <c r="BY27" s="985"/>
    </row>
    <row r="28" spans="2:78">
      <c r="B28" s="1776" t="s">
        <v>1031</v>
      </c>
      <c r="C28" s="1887"/>
      <c r="D28" s="1787"/>
      <c r="E28" s="1787"/>
      <c r="F28" s="1791"/>
      <c r="G28" s="1791"/>
      <c r="H28" s="1792"/>
      <c r="I28" s="1792"/>
      <c r="J28" s="1792"/>
      <c r="K28" s="1789">
        <f>K27</f>
        <v>0</v>
      </c>
      <c r="L28" s="1789">
        <f>L27+K28</f>
        <v>0</v>
      </c>
      <c r="M28" s="1789">
        <f t="shared" ref="M28:AV28" si="64">L28+M27</f>
        <v>0</v>
      </c>
      <c r="N28" s="1789">
        <f t="shared" si="64"/>
        <v>0</v>
      </c>
      <c r="O28" s="1789">
        <f t="shared" si="64"/>
        <v>0</v>
      </c>
      <c r="P28" s="1789">
        <f t="shared" si="64"/>
        <v>0</v>
      </c>
      <c r="Q28" s="1789">
        <f t="shared" si="64"/>
        <v>0</v>
      </c>
      <c r="R28" s="1789">
        <f t="shared" si="64"/>
        <v>0</v>
      </c>
      <c r="S28" s="1789">
        <f t="shared" si="64"/>
        <v>0</v>
      </c>
      <c r="T28" s="1789">
        <f t="shared" si="64"/>
        <v>0</v>
      </c>
      <c r="U28" s="1789">
        <f t="shared" si="64"/>
        <v>0</v>
      </c>
      <c r="V28" s="1789">
        <f t="shared" si="64"/>
        <v>0</v>
      </c>
      <c r="W28" s="1789">
        <f t="shared" si="64"/>
        <v>0</v>
      </c>
      <c r="X28" s="1789">
        <f t="shared" si="64"/>
        <v>0</v>
      </c>
      <c r="Y28" s="1789">
        <f t="shared" si="64"/>
        <v>0</v>
      </c>
      <c r="Z28" s="1789">
        <f t="shared" si="64"/>
        <v>0</v>
      </c>
      <c r="AA28" s="1789">
        <f t="shared" si="64"/>
        <v>0</v>
      </c>
      <c r="AB28" s="1789">
        <f t="shared" si="64"/>
        <v>0</v>
      </c>
      <c r="AC28" s="1789">
        <f t="shared" si="64"/>
        <v>0</v>
      </c>
      <c r="AD28" s="1789">
        <f t="shared" si="64"/>
        <v>0</v>
      </c>
      <c r="AE28" s="1789">
        <f t="shared" si="64"/>
        <v>0</v>
      </c>
      <c r="AF28" s="1789">
        <f t="shared" si="64"/>
        <v>0</v>
      </c>
      <c r="AG28" s="1789">
        <f t="shared" si="64"/>
        <v>0</v>
      </c>
      <c r="AH28" s="1789">
        <f t="shared" si="64"/>
        <v>0</v>
      </c>
      <c r="AI28" s="1789">
        <f t="shared" si="64"/>
        <v>0</v>
      </c>
      <c r="AJ28" s="1789">
        <f t="shared" si="64"/>
        <v>0</v>
      </c>
      <c r="AK28" s="1789">
        <f t="shared" si="64"/>
        <v>0</v>
      </c>
      <c r="AL28" s="1789">
        <f t="shared" si="64"/>
        <v>0</v>
      </c>
      <c r="AM28" s="1789">
        <f t="shared" si="64"/>
        <v>0</v>
      </c>
      <c r="AN28" s="1789">
        <f t="shared" si="64"/>
        <v>0</v>
      </c>
      <c r="AO28" s="1789">
        <f t="shared" si="64"/>
        <v>0</v>
      </c>
      <c r="AP28" s="1789">
        <f t="shared" si="64"/>
        <v>0</v>
      </c>
      <c r="AQ28" s="1790">
        <f t="shared" si="64"/>
        <v>0</v>
      </c>
      <c r="AR28" s="1789">
        <f t="shared" si="64"/>
        <v>0</v>
      </c>
      <c r="AS28" s="1789">
        <f t="shared" si="64"/>
        <v>0</v>
      </c>
      <c r="AT28" s="1789">
        <f t="shared" si="64"/>
        <v>0</v>
      </c>
      <c r="AU28" s="1789">
        <f t="shared" si="64"/>
        <v>0</v>
      </c>
      <c r="AV28" s="1789">
        <f t="shared" si="64"/>
        <v>0</v>
      </c>
      <c r="AW28" s="1789">
        <f>AU28+AW27</f>
        <v>0</v>
      </c>
      <c r="AX28" s="1789">
        <f>AW28+AX27</f>
        <v>0</v>
      </c>
      <c r="AY28" s="1789">
        <f>AX28+AY27</f>
        <v>0</v>
      </c>
      <c r="AZ28" s="1789">
        <f>AY28+AZ27</f>
        <v>0</v>
      </c>
      <c r="BA28" s="1789">
        <f>AZ28+BA27</f>
        <v>0</v>
      </c>
      <c r="BB28" s="1789">
        <f>AZ28+BB27</f>
        <v>0</v>
      </c>
      <c r="BC28" s="1789">
        <f t="shared" ref="BC28:BU28" si="65">BB28+BC27</f>
        <v>0</v>
      </c>
      <c r="BD28" s="1789">
        <f t="shared" si="65"/>
        <v>0</v>
      </c>
      <c r="BE28" s="1789">
        <f t="shared" si="65"/>
        <v>0</v>
      </c>
      <c r="BF28" s="1789">
        <f t="shared" si="65"/>
        <v>0</v>
      </c>
      <c r="BG28" s="1789">
        <f t="shared" si="65"/>
        <v>0</v>
      </c>
      <c r="BH28" s="1789">
        <f t="shared" si="65"/>
        <v>0</v>
      </c>
      <c r="BI28" s="1789">
        <f t="shared" si="65"/>
        <v>0</v>
      </c>
      <c r="BJ28" s="1789">
        <f t="shared" si="65"/>
        <v>0</v>
      </c>
      <c r="BK28" s="1789">
        <f t="shared" si="65"/>
        <v>0</v>
      </c>
      <c r="BL28" s="1789">
        <f t="shared" si="65"/>
        <v>0</v>
      </c>
      <c r="BM28" s="1789">
        <f t="shared" si="65"/>
        <v>0</v>
      </c>
      <c r="BN28" s="1789">
        <f t="shared" si="65"/>
        <v>0</v>
      </c>
      <c r="BO28" s="1789">
        <f t="shared" si="65"/>
        <v>0</v>
      </c>
      <c r="BP28" s="1789">
        <f t="shared" si="65"/>
        <v>0</v>
      </c>
      <c r="BQ28" s="1789">
        <f t="shared" si="65"/>
        <v>0</v>
      </c>
      <c r="BR28" s="1789">
        <f t="shared" si="65"/>
        <v>0</v>
      </c>
      <c r="BS28" s="1789">
        <f t="shared" si="65"/>
        <v>0</v>
      </c>
      <c r="BT28" s="1789">
        <f t="shared" si="65"/>
        <v>0</v>
      </c>
      <c r="BU28" s="1789">
        <f t="shared" si="65"/>
        <v>0</v>
      </c>
      <c r="BV28" s="1789">
        <f t="shared" ref="BV28" si="66">BU28+BV27</f>
        <v>0</v>
      </c>
      <c r="BW28" s="1789">
        <f t="shared" ref="BW28" si="67">BV28+BW27</f>
        <v>0</v>
      </c>
      <c r="BX28" s="1789">
        <f t="shared" ref="BX28" si="68">BW28+BX27</f>
        <v>0</v>
      </c>
      <c r="BY28" s="976"/>
    </row>
    <row r="29" spans="2:78" s="957" customFormat="1" ht="15.6">
      <c r="B29" s="963"/>
      <c r="C29" s="963"/>
      <c r="F29" s="998"/>
      <c r="G29" s="998"/>
      <c r="H29" s="998"/>
      <c r="I29" s="998"/>
      <c r="J29" s="998"/>
      <c r="K29" s="999"/>
      <c r="L29" s="999"/>
      <c r="M29" s="999"/>
      <c r="N29" s="970" t="str">
        <f>N23</f>
        <v/>
      </c>
      <c r="O29" s="1699" t="str">
        <f>IFERROR(IF(O8=$N$8+Equity!$G$33,1,IF(O8=$N$8+Equity!$G$33+Equity!$E$33,2,IF(O8=$N$8+Equity!$G$33+Equity!$E$33+Equity!$E$33,3,IF(O8=$N$8+Equity!$G$33+Equity!$E$33+Equity!$E$33+Equity!$E$33,4,IF(O8=$N$8+Equity!$G$33+Equity!$E$33+Equity!$E$33+Equity!$E$33+Equity!$E$33,5,IF(O8=$N$8+Equity!$G$33+Equity!$E$33+Equity!$E$33+Equity!$E$33+Equity!$E$33+Equity!$E$33,6,"")))))),"")</f>
        <v/>
      </c>
      <c r="P29" s="1699" t="str">
        <f>IFERROR(IF(P8=$N$8+Equity!$G$33,1,IF(P8=$N$8+Equity!$G$33+Equity!$E$33,2,IF(P8=$N$8+Equity!$G$33+Equity!$E$33+Equity!$E$33,3,IF(P8=$N$8+Equity!$G$33+Equity!$E$33+Equity!$E$33+Equity!$E$33,4,IF(P8=$N$8+Equity!$G$33+Equity!$E$33+Equity!$E$33+Equity!$E$33+Equity!$E$33,5,IF(P8=$N$8+Equity!$G$33+Equity!$E$33+Equity!$E$33+Equity!$E$33+Equity!$E$33+Equity!$E$33,6,"")))))),"")</f>
        <v/>
      </c>
      <c r="Q29" s="1699" t="str">
        <f>IFERROR(IF(Q8=$N$8+Equity!$G$33,1,IF(Q8=$N$8+Equity!$G$33+Equity!$E$33,2,IF(Q8=$N$8+Equity!$G$33+Equity!$E$33+Equity!$E$33,3,IF(Q8=$N$8+Equity!$G$33+Equity!$E$33+Equity!$E$33+Equity!$E$33,4,IF(Q8=$N$8+Equity!$G$33+Equity!$E$33+Equity!$E$33+Equity!$E$33+Equity!$E$33,5,IF(Q8=$N$8+Equity!$G$33+Equity!$E$33+Equity!$E$33+Equity!$E$33+Equity!$E$33+Equity!$E$33,6,"")))))),"")</f>
        <v/>
      </c>
      <c r="R29" s="1699">
        <f>IFERROR(IF(R8=$N$8+Equity!$G$33,1,IF(R8=$N$8+Equity!$G$33+Equity!$E$33,2,IF(R8=$N$8+Equity!$G$33+Equity!$E$33+Equity!$E$33,3,IF(R8=$N$8+Equity!$G$33+Equity!$E$33+Equity!$E$33+Equity!$E$33,4,IF(R8=$N$8+Equity!$G$33+Equity!$E$33+Equity!$E$33+Equity!$E$33+Equity!$E$33,5,IF(R8=$N$8+Equity!$G$33+Equity!$E$33+Equity!$E$33+Equity!$E$33+Equity!$E$33+Equity!$E$33,6,"")))))),"")</f>
        <v>1</v>
      </c>
      <c r="S29" s="1699" t="str">
        <f>IFERROR(IF(S8=$N$8+Equity!$G$33,1,IF(S8=$N$8+Equity!$G$33+Equity!$E$33,2,IF(S8=$N$8+Equity!$G$33+Equity!$E$33+Equity!$E$33,3,IF(S8=$N$8+Equity!$G$33+Equity!$E$33+Equity!$E$33+Equity!$E$33,4,IF(S8=$N$8+Equity!$G$33+Equity!$E$33+Equity!$E$33+Equity!$E$33+Equity!$E$33,5,IF(S8=$N$8+Equity!$G$33+Equity!$E$33+Equity!$E$33+Equity!$E$33+Equity!$E$33+Equity!$E$33,6,"")))))),"")</f>
        <v/>
      </c>
      <c r="T29" s="1699" t="str">
        <f>IFERROR(IF(T8=$N$8+Equity!$G$33,1,IF(T8=$N$8+Equity!$G$33+Equity!$E$33,2,IF(T8=$N$8+Equity!$G$33+Equity!$E$33+Equity!$E$33,3,IF(T8=$N$8+Equity!$G$33+Equity!$E$33+Equity!$E$33+Equity!$E$33,4,IF(T8=$N$8+Equity!$G$33+Equity!$E$33+Equity!$E$33+Equity!$E$33+Equity!$E$33,5,IF(T8=$N$8+Equity!$G$33+Equity!$E$33+Equity!$E$33+Equity!$E$33+Equity!$E$33+Equity!$E$33,6,"")))))),"")</f>
        <v/>
      </c>
      <c r="U29" s="1699" t="str">
        <f>IFERROR(IF(U8=$N$8+Equity!$G$33,1,IF(U8=$N$8+Equity!$G$33+Equity!$E$33,2,IF(U8=$N$8+Equity!$G$33+Equity!$E$33+Equity!$E$33,3,IF(U8=$N$8+Equity!$G$33+Equity!$E$33+Equity!$E$33+Equity!$E$33,4,IF(U8=$N$8+Equity!$G$33+Equity!$E$33+Equity!$E$33+Equity!$E$33+Equity!$E$33,5,IF(U8=$N$8+Equity!$G$33+Equity!$E$33+Equity!$E$33+Equity!$E$33+Equity!$E$33+Equity!$E$33,6,"")))))),"")</f>
        <v/>
      </c>
      <c r="V29" s="1699" t="str">
        <f>IFERROR(IF(V8=$N$8+Equity!$G$33,1,IF(V8=$N$8+Equity!$G$33+Equity!$E$33,2,IF(V8=$N$8+Equity!$G$33+Equity!$E$33+Equity!$E$33,3,IF(V8=$N$8+Equity!$G$33+Equity!$E$33+Equity!$E$33+Equity!$E$33,4,IF(V8=$N$8+Equity!$G$33+Equity!$E$33+Equity!$E$33+Equity!$E$33+Equity!$E$33,5,IF(V8=$N$8+Equity!$G$33+Equity!$E$33+Equity!$E$33+Equity!$E$33+Equity!$E$33+Equity!$E$33,6,"")))))),"")</f>
        <v/>
      </c>
      <c r="W29" s="1699">
        <f>IFERROR(IF(W8=$N$8+Equity!$G$33,1,IF(W8=$N$8+Equity!$G$33+Equity!$E$33,2,IF(W8=$N$8+Equity!$G$33+Equity!$E$33+Equity!$E$33,3,IF(W8=$N$8+Equity!$G$33+Equity!$E$33+Equity!$E$33+Equity!$E$33,4,IF(W8=$N$8+Equity!$G$33+Equity!$E$33+Equity!$E$33+Equity!$E$33+Equity!$E$33,5,IF(W8=$N$8+Equity!$G$33+Equity!$E$33+Equity!$E$33+Equity!$E$33+Equity!$E$33+Equity!$E$33,6,"")))))),"")</f>
        <v>2</v>
      </c>
      <c r="X29" s="1699" t="str">
        <f>IFERROR(IF(X8=$N$8+Equity!$G$33,1,IF(X8=$N$8+Equity!$G$33+Equity!$E$33,2,IF(X8=$N$8+Equity!$G$33+Equity!$E$33+Equity!$E$33,3,IF(X8=$N$8+Equity!$G$33+Equity!$E$33+Equity!$E$33+Equity!$E$33,4,IF(X8=$N$8+Equity!$G$33+Equity!$E$33+Equity!$E$33+Equity!$E$33+Equity!$E$33,5,IF(X8=$N$8+Equity!$G$33+Equity!$E$33+Equity!$E$33+Equity!$E$33+Equity!$E$33+Equity!$E$33,6,"")))))),"")</f>
        <v/>
      </c>
      <c r="Y29" s="1699" t="str">
        <f>IFERROR(IF(Y8=$N$8+Equity!$G$33,1,IF(Y8=$N$8+Equity!$G$33+Equity!$E$33,2,IF(Y8=$N$8+Equity!$G$33+Equity!$E$33+Equity!$E$33,3,IF(Y8=$N$8+Equity!$G$33+Equity!$E$33+Equity!$E$33+Equity!$E$33,4,IF(Y8=$N$8+Equity!$G$33+Equity!$E$33+Equity!$E$33+Equity!$E$33+Equity!$E$33,5,IF(Y8=$N$8+Equity!$G$33+Equity!$E$33+Equity!$E$33+Equity!$E$33+Equity!$E$33+Equity!$E$33,6,"")))))),"")</f>
        <v/>
      </c>
      <c r="Z29" s="1699" t="str">
        <f>IFERROR(IF(Z8=$N$8+Equity!$G$33,1,IF(Z8=$N$8+Equity!$G$33+Equity!$E$33,2,IF(Z8=$N$8+Equity!$G$33+Equity!$E$33+Equity!$E$33,3,IF(Z8=$N$8+Equity!$G$33+Equity!$E$33+Equity!$E$33+Equity!$E$33,4,IF(Z8=$N$8+Equity!$G$33+Equity!$E$33+Equity!$E$33+Equity!$E$33+Equity!$E$33,5,IF(Z8=$N$8+Equity!$G$33+Equity!$E$33+Equity!$E$33+Equity!$E$33+Equity!$E$33+Equity!$E$33,6,"")))))),"")</f>
        <v/>
      </c>
      <c r="AA29" s="1699" t="str">
        <f>IFERROR(IF(AA8=$N$8+Equity!$G$33,1,IF(AA8=$N$8+Equity!$G$33+Equity!$E$33,2,IF(AA8=$N$8+Equity!$G$33+Equity!$E$33+Equity!$E$33,3,IF(AA8=$N$8+Equity!$G$33+Equity!$E$33+Equity!$E$33+Equity!$E$33,4,IF(AA8=$N$8+Equity!$G$33+Equity!$E$33+Equity!$E$33+Equity!$E$33+Equity!$E$33,5,IF(AA8=$N$8+Equity!$G$33+Equity!$E$33+Equity!$E$33+Equity!$E$33+Equity!$E$33+Equity!$E$33,6,"")))))),"")</f>
        <v/>
      </c>
      <c r="AB29" s="1699">
        <f>IFERROR(IF(AB8=$N$8+Equity!$G$33,1,IF(AB8=$N$8+Equity!$G$33+Equity!$E$33,2,IF(AB8=$N$8+Equity!$G$33+Equity!$E$33+Equity!$E$33,3,IF(AB8=$N$8+Equity!$G$33+Equity!$E$33+Equity!$E$33+Equity!$E$33,4,IF(AB8=$N$8+Equity!$G$33+Equity!$E$33+Equity!$E$33+Equity!$E$33+Equity!$E$33,5,IF(AB8=$N$8+Equity!$G$33+Equity!$E$33+Equity!$E$33+Equity!$E$33+Equity!$E$33+Equity!$E$33,6,"")))))),"")</f>
        <v>3</v>
      </c>
      <c r="AC29" s="1699" t="str">
        <f>IFERROR(IF(AC8=$N$8+Equity!$G$33,1,IF(AC8=$N$8+Equity!$G$33+Equity!$E$33,2,IF(AC8=$N$8+Equity!$G$33+Equity!$E$33+Equity!$E$33,3,IF(AC8=$N$8+Equity!$G$33+Equity!$E$33+Equity!$E$33+Equity!$E$33,4,IF(AC8=$N$8+Equity!$G$33+Equity!$E$33+Equity!$E$33+Equity!$E$33+Equity!$E$33,5,IF(AC8=$N$8+Equity!$G$33+Equity!$E$33+Equity!$E$33+Equity!$E$33+Equity!$E$33+Equity!$E$33,6,"")))))),"")</f>
        <v/>
      </c>
      <c r="AD29" s="1699" t="str">
        <f>IFERROR(IF(AD8=$N$8+Equity!$G$33,1,IF(AD8=$N$8+Equity!$G$33+Equity!$E$33,2,IF(AD8=$N$8+Equity!$G$33+Equity!$E$33+Equity!$E$33,3,IF(AD8=$N$8+Equity!$G$33+Equity!$E$33+Equity!$E$33+Equity!$E$33,4,IF(AD8=$N$8+Equity!$G$33+Equity!$E$33+Equity!$E$33+Equity!$E$33+Equity!$E$33,5,IF(AD8=$N$8+Equity!$G$33+Equity!$E$33+Equity!$E$33+Equity!$E$33+Equity!$E$33+Equity!$E$33,6,"")))))),"")</f>
        <v/>
      </c>
      <c r="AE29" s="1699" t="str">
        <f>IFERROR(IF(AE8=$N$8+Equity!$G$33,1,IF(AE8=$N$8+Equity!$G$33+Equity!$E$33,2,IF(AE8=$N$8+Equity!$G$33+Equity!$E$33+Equity!$E$33,3,IF(AE8=$N$8+Equity!$G$33+Equity!$E$33+Equity!$E$33+Equity!$E$33,4,IF(AE8=$N$8+Equity!$G$33+Equity!$E$33+Equity!$E$33+Equity!$E$33+Equity!$E$33,5,IF(AE8=$N$8+Equity!$G$33+Equity!$E$33+Equity!$E$33+Equity!$E$33+Equity!$E$33+Equity!$E$33,6,"")))))),"")</f>
        <v/>
      </c>
      <c r="AF29" s="1699" t="str">
        <f>IFERROR(IF(AF8=$N$8+Equity!$G$33,1,IF(AF8=$N$8+Equity!$G$33+Equity!$E$33,2,IF(AF8=$N$8+Equity!$G$33+Equity!$E$33+Equity!$E$33,3,IF(AF8=$N$8+Equity!$G$33+Equity!$E$33+Equity!$E$33+Equity!$E$33,4,IF(AF8=$N$8+Equity!$G$33+Equity!$E$33+Equity!$E$33+Equity!$E$33+Equity!$E$33,5,IF(AF8=$N$8+Equity!$G$33+Equity!$E$33+Equity!$E$33+Equity!$E$33+Equity!$E$33+Equity!$E$33,6,"")))))),"")</f>
        <v/>
      </c>
      <c r="AG29" s="1699">
        <f>IFERROR(IF(AG8=$N$8+Equity!$G$33,1,IF(AG8=$N$8+Equity!$G$33+Equity!$E$33,2,IF(AG8=$N$8+Equity!$G$33+Equity!$E$33+Equity!$E$33,3,IF(AG8=$N$8+Equity!$G$33+Equity!$E$33+Equity!$E$33+Equity!$E$33,4,IF(AG8=$N$8+Equity!$G$33+Equity!$E$33+Equity!$E$33+Equity!$E$33+Equity!$E$33,5,IF(AG8=$N$8+Equity!$G$33+Equity!$E$33+Equity!$E$33+Equity!$E$33+Equity!$E$33+Equity!$E$33,6,"")))))),"")</f>
        <v>4</v>
      </c>
      <c r="AH29" s="1699" t="str">
        <f>IFERROR(IF(AH8=$N$8+Equity!$G$33,1,IF(AH8=$N$8+Equity!$G$33+Equity!$E$33,2,IF(AH8=$N$8+Equity!$G$33+Equity!$E$33+Equity!$E$33,3,IF(AH8=$N$8+Equity!$G$33+Equity!$E$33+Equity!$E$33+Equity!$E$33,4,IF(AH8=$N$8+Equity!$G$33+Equity!$E$33+Equity!$E$33+Equity!$E$33+Equity!$E$33,5,IF(AH8=$N$8+Equity!$G$33+Equity!$E$33+Equity!$E$33+Equity!$E$33+Equity!$E$33+Equity!$E$33,6,"")))))),"")</f>
        <v/>
      </c>
      <c r="AI29" s="1699" t="str">
        <f>IFERROR(IF(AI8=$N$8+Equity!$G$33,1,IF(AI8=$N$8+Equity!$G$33+Equity!$E$33,2,IF(AI8=$N$8+Equity!$G$33+Equity!$E$33+Equity!$E$33,3,IF(AI8=$N$8+Equity!$G$33+Equity!$E$33+Equity!$E$33+Equity!$E$33,4,IF(AI8=$N$8+Equity!$G$33+Equity!$E$33+Equity!$E$33+Equity!$E$33+Equity!$E$33,5,IF(AI8=$N$8+Equity!$G$33+Equity!$E$33+Equity!$E$33+Equity!$E$33+Equity!$E$33+Equity!$E$33,6,"")))))),"")</f>
        <v/>
      </c>
      <c r="AJ29" s="1699" t="str">
        <f>IFERROR(IF(AJ8=$N$8+Equity!$G$33,1,IF(AJ8=$N$8+Equity!$G$33+Equity!$E$33,2,IF(AJ8=$N$8+Equity!$G$33+Equity!$E$33+Equity!$E$33,3,IF(AJ8=$N$8+Equity!$G$33+Equity!$E$33+Equity!$E$33+Equity!$E$33,4,IF(AJ8=$N$8+Equity!$G$33+Equity!$E$33+Equity!$E$33+Equity!$E$33+Equity!$E$33,5,IF(AJ8=$N$8+Equity!$G$33+Equity!$E$33+Equity!$E$33+Equity!$E$33+Equity!$E$33+Equity!$E$33,6,"")))))),"")</f>
        <v/>
      </c>
      <c r="AK29" s="1699" t="str">
        <f>IFERROR(IF(AK8=$N$8+Equity!$G$33,1,IF(AK8=$N$8+Equity!$G$33+Equity!$E$33,2,IF(AK8=$N$8+Equity!$G$33+Equity!$E$33+Equity!$E$33,3,IF(AK8=$N$8+Equity!$G$33+Equity!$E$33+Equity!$E$33+Equity!$E$33,4,IF(AK8=$N$8+Equity!$G$33+Equity!$E$33+Equity!$E$33+Equity!$E$33+Equity!$E$33,5,IF(AK8=$N$8+Equity!$G$33+Equity!$E$33+Equity!$E$33+Equity!$E$33+Equity!$E$33+Equity!$E$33,6,"")))))),"")</f>
        <v/>
      </c>
      <c r="AL29" s="1699">
        <f>IFERROR(IF(AL8=$N$8+Equity!$G$33,1,IF(AL8=$N$8+Equity!$G$33+Equity!$E$33,2,IF(AL8=$N$8+Equity!$G$33+Equity!$E$33+Equity!$E$33,3,IF(AL8=$N$8+Equity!$G$33+Equity!$E$33+Equity!$E$33+Equity!$E$33,4,IF(AL8=$N$8+Equity!$G$33+Equity!$E$33+Equity!$E$33+Equity!$E$33+Equity!$E$33,5,IF(AL8=$N$8+Equity!$G$33+Equity!$E$33+Equity!$E$33+Equity!$E$33+Equity!$E$33+Equity!$E$33,6,"")))))),"")</f>
        <v>5</v>
      </c>
      <c r="AM29" s="1699" t="str">
        <f>IFERROR(IF(AM8=$N$8+Equity!$G$33,1,IF(AM8=$N$8+Equity!$G$33+Equity!$E$33,2,IF(AM8=$N$8+Equity!$G$33+Equity!$E$33+Equity!$E$33,3,IF(AM8=$N$8+Equity!$G$33+Equity!$E$33+Equity!$E$33+Equity!$E$33,4,IF(AM8=$N$8+Equity!$G$33+Equity!$E$33+Equity!$E$33+Equity!$E$33+Equity!$E$33,5,IF(AM8=$N$8+Equity!$G$33+Equity!$E$33+Equity!$E$33+Equity!$E$33+Equity!$E$33+Equity!$E$33,6,"")))))),"")</f>
        <v/>
      </c>
      <c r="AN29" s="1699" t="str">
        <f>IFERROR(IF(AN8=$N$8+Equity!$G$33,1,IF(AN8=$N$8+Equity!$G$33+Equity!$E$33,2,IF(AN8=$N$8+Equity!$G$33+Equity!$E$33+Equity!$E$33,3,IF(AN8=$N$8+Equity!$G$33+Equity!$E$33+Equity!$E$33+Equity!$E$33,4,IF(AN8=$N$8+Equity!$G$33+Equity!$E$33+Equity!$E$33+Equity!$E$33+Equity!$E$33,5,IF(AN8=$N$8+Equity!$G$33+Equity!$E$33+Equity!$E$33+Equity!$E$33+Equity!$E$33+Equity!$E$33,6,"")))))),"")</f>
        <v/>
      </c>
      <c r="AO29" s="1699" t="str">
        <f>IFERROR(IF(AO8=$N$8+Equity!$G$33,1,IF(AO8=$N$8+Equity!$G$33+Equity!$E$33,2,IF(AO8=$N$8+Equity!$G$33+Equity!$E$33+Equity!$E$33,3,IF(AO8=$N$8+Equity!$G$33+Equity!$E$33+Equity!$E$33+Equity!$E$33,4,IF(AO8=$N$8+Equity!$G$33+Equity!$E$33+Equity!$E$33+Equity!$E$33+Equity!$E$33,5,IF(AO8=$N$8+Equity!$G$33+Equity!$E$33+Equity!$E$33+Equity!$E$33+Equity!$E$33+Equity!$E$33,6,"")))))),"")</f>
        <v/>
      </c>
      <c r="AP29" s="1699" t="str">
        <f>IFERROR(IF(AP8=$N$8+Equity!$G$33,1,IF(AP8=$N$8+Equity!$G$33+Equity!$E$33,2,IF(AP8=$N$8+Equity!$G$33+Equity!$E$33+Equity!$E$33,3,IF(AP8=$N$8+Equity!$G$33+Equity!$E$33+Equity!$E$33+Equity!$E$33,4,IF(AP8=$N$8+Equity!$G$33+Equity!$E$33+Equity!$E$33+Equity!$E$33+Equity!$E$33,5,IF(AP8=$N$8+Equity!$G$33+Equity!$E$33+Equity!$E$33+Equity!$E$33+Equity!$E$33+Equity!$E$33,6,"")))))),"")</f>
        <v/>
      </c>
      <c r="AQ29" s="1699">
        <f>IFERROR(IF(AQ8=$N$8+Equity!$G$33,1,IF(AQ8=$N$8+Equity!$G$33+Equity!$E$33,2,IF(AQ8=$N$8+Equity!$G$33+Equity!$E$33+Equity!$E$33,3,IF(AQ8=$N$8+Equity!$G$33+Equity!$E$33+Equity!$E$33+Equity!$E$33,4,IF(AQ8=$N$8+Equity!$G$33+Equity!$E$33+Equity!$E$33+Equity!$E$33+Equity!$E$33,5,IF(AQ8=$N$8+Equity!$G$33+Equity!$E$33+Equity!$E$33+Equity!$E$33+Equity!$E$33+Equity!$E$33,6,"")))))),"")</f>
        <v>6</v>
      </c>
      <c r="AR29" s="1699" t="str">
        <f>IFERROR(IF(AR8=$N$8+Equity!$G$33,1,IF(AR8=$N$8+Equity!$G$33+Equity!$E$33,2,IF(AR8=$N$8+Equity!$G$33+Equity!$E$33+Equity!$E$33,3,IF(AR8=$N$8+Equity!$G$33+Equity!$E$33+Equity!$E$33+Equity!$E$33,4,IF(AR8=$N$8+Equity!$G$33+Equity!$E$33+Equity!$E$33+Equity!$E$33+Equity!$E$33,5,IF(AR8=$N$8+Equity!$G$33+Equity!$E$33+Equity!$E$33+Equity!$E$33+Equity!$E$33+Equity!$E$33,6,"")))))),"")</f>
        <v/>
      </c>
      <c r="AS29" s="1699" t="str">
        <f>IFERROR(IF(AS8=$N$8+Equity!$G$33,1,IF(AS8=$N$8+Equity!$G$33+Equity!$E$33,2,IF(AS8=$N$8+Equity!$G$33+Equity!$E$33+Equity!$E$33,3,IF(AS8=$N$8+Equity!$G$33+Equity!$E$33+Equity!$E$33+Equity!$E$33,4,IF(AS8=$N$8+Equity!$G$33+Equity!$E$33+Equity!$E$33+Equity!$E$33+Equity!$E$33,5,IF(AS8=$N$8+Equity!$G$33+Equity!$E$33+Equity!$E$33+Equity!$E$33+Equity!$E$33+Equity!$E$33,6,"")))))),"")</f>
        <v/>
      </c>
      <c r="AT29" s="1699" t="str">
        <f>IFERROR(IF(AT8=$N$8+Equity!$G$33,1,IF(AT8=$N$8+Equity!$G$33+Equity!$E$33,2,IF(AT8=$N$8+Equity!$G$33+Equity!$E$33+Equity!$E$33,3,IF(AT8=$N$8+Equity!$G$33+Equity!$E$33+Equity!$E$33+Equity!$E$33,4,IF(AT8=$N$8+Equity!$G$33+Equity!$E$33+Equity!$E$33+Equity!$E$33+Equity!$E$33,5,IF(AT8=$N$8+Equity!$G$33+Equity!$E$33+Equity!$E$33+Equity!$E$33+Equity!$E$33+Equity!$E$33,6,"")))))),"")</f>
        <v/>
      </c>
      <c r="AU29" s="1699" t="str">
        <f>IFERROR(IF(AU8=$N$8+Equity!$G$33,1,IF(AU8=$N$8+Equity!$G$33+Equity!$E$33,2,IF(AU8=$N$8+Equity!$G$33+Equity!$E$33+Equity!$E$33,3,IF(AU8=$N$8+Equity!$G$33+Equity!$E$33+Equity!$E$33+Equity!$E$33,4,IF(AU8=$N$8+Equity!$G$33+Equity!$E$33+Equity!$E$33+Equity!$E$33+Equity!$E$33,5,IF(AU8=$N$8+Equity!$G$33+Equity!$E$33+Equity!$E$33+Equity!$E$33+Equity!$E$33+Equity!$E$33,6,"")))))),"")</f>
        <v/>
      </c>
      <c r="AV29" s="1699" t="str">
        <f>IFERROR(IF(AV8=$N$8+Equity!$G$33,1,IF(AV8=$N$8+Equity!$G$33+Equity!$E$33,2,IF(AV8=$N$8+Equity!$G$33+Equity!$E$33+Equity!$E$33,3,IF(AV8=$N$8+Equity!$G$33+Equity!$E$33+Equity!$E$33+Equity!$E$33,4,IF(AV8=$N$8+Equity!$G$33+Equity!$E$33+Equity!$E$33+Equity!$E$33+Equity!$E$33,5,IF(AV8=$N$8+Equity!$G$33+Equity!$E$33+Equity!$E$33+Equity!$E$33+Equity!$E$33+Equity!$E$33,6,"")))))),"")</f>
        <v/>
      </c>
      <c r="AW29" s="1699" t="str">
        <f>IFERROR(IF(AW8=$N$8+Equity!$G$33,1,IF(AW8=$N$8+Equity!$G$33+Equity!$E$33,2,IF(AW8=$N$8+Equity!$G$33+Equity!$E$33+Equity!$E$33,3,IF(AW8=$N$8+Equity!$G$33+Equity!$E$33+Equity!$E$33+Equity!$E$33,4,IF(AW8=$N$8+Equity!$G$33+Equity!$E$33+Equity!$E$33+Equity!$E$33+Equity!$E$33,5,IF(AW8=$N$8+Equity!$G$33+Equity!$E$33+Equity!$E$33+Equity!$E$33+Equity!$E$33+Equity!$E$33,6,"")))))),"")</f>
        <v/>
      </c>
      <c r="AX29" s="1699" t="str">
        <f>IFERROR(IF(AX8=$N$8+Equity!$G$33,1,IF(AX8=$N$8+Equity!$G$33+Equity!$E$33,2,IF(AX8=$N$8+Equity!$G$33+Equity!$E$33+Equity!$E$33,3,IF(AX8=$N$8+Equity!$G$33+Equity!$E$33+Equity!$E$33+Equity!$E$33,4,IF(AX8=$N$8+Equity!$G$33+Equity!$E$33+Equity!$E$33+Equity!$E$33+Equity!$E$33,5,IF(AX8=$N$8+Equity!$G$33+Equity!$E$33+Equity!$E$33+Equity!$E$33+Equity!$E$33+Equity!$E$33,6,"")))))),"")</f>
        <v/>
      </c>
      <c r="AY29" s="1699" t="str">
        <f>IFERROR(IF(AY8=$N$8+Equity!$G$33,1,IF(AY8=$N$8+Equity!$G$33+Equity!$E$33,2,IF(AY8=$N$8+Equity!$G$33+Equity!$E$33+Equity!$E$33,3,IF(AY8=$N$8+Equity!$G$33+Equity!$E$33+Equity!$E$33+Equity!$E$33,4,IF(AY8=$N$8+Equity!$G$33+Equity!$E$33+Equity!$E$33+Equity!$E$33+Equity!$E$33,5,IF(AY8=$N$8+Equity!$G$33+Equity!$E$33+Equity!$E$33+Equity!$E$33+Equity!$E$33+Equity!$E$33,6,"")))))),"")</f>
        <v/>
      </c>
      <c r="AZ29" s="1699" t="str">
        <f>IFERROR(IF(AZ8=$N$8+Equity!$G$33,1,IF(AZ8=$N$8+Equity!$G$33+Equity!$E$33,2,IF(AZ8=$N$8+Equity!$G$33+Equity!$E$33+Equity!$E$33,3,IF(AZ8=$N$8+Equity!$G$33+Equity!$E$33+Equity!$E$33+Equity!$E$33,4,IF(AZ8=$N$8+Equity!$G$33+Equity!$E$33+Equity!$E$33+Equity!$E$33+Equity!$E$33,5,IF(AZ8=$N$8+Equity!$G$33+Equity!$E$33+Equity!$E$33+Equity!$E$33+Equity!$E$33+Equity!$E$33,6,"")))))),"")</f>
        <v/>
      </c>
      <c r="BA29" s="1699" t="str">
        <f>IFERROR(IF(BA8=$N$8+Equity!$G$33,1,IF(BA8=$N$8+Equity!$G$33+Equity!$E$33,2,IF(BA8=$N$8+Equity!$G$33+Equity!$E$33+Equity!$E$33,3,IF(BA8=$N$8+Equity!$G$33+Equity!$E$33+Equity!$E$33+Equity!$E$33,4,IF(BA8=$N$8+Equity!$G$33+Equity!$E$33+Equity!$E$33+Equity!$E$33+Equity!$E$33,5,IF(BA8=$N$8+Equity!$G$33+Equity!$E$33+Equity!$E$33+Equity!$E$33+Equity!$E$33+Equity!$E$33,6,"")))))),"")</f>
        <v/>
      </c>
      <c r="BB29" s="1699" t="str">
        <f>IFERROR(IF(BB8=$N$8+Equity!$G$33,1,IF(BB8=$N$8+Equity!$G$33+Equity!$E$33,2,IF(BB8=$N$8+Equity!$G$33+Equity!$E$33+Equity!$E$33,3,IF(BB8=$N$8+Equity!$G$33+Equity!$E$33+Equity!$E$33+Equity!$E$33,4,IF(BB8=$N$8+Equity!$G$33+Equity!$E$33+Equity!$E$33+Equity!$E$33+Equity!$E$33,5,IF(BB8=$N$8+Equity!$G$33+Equity!$E$33+Equity!$E$33+Equity!$E$33+Equity!$E$33+Equity!$E$33,6,"")))))),"")</f>
        <v/>
      </c>
      <c r="BC29" s="1699" t="str">
        <f>IFERROR(IF(BC8=$N$8+Equity!$G$33,1,IF(BC8=$N$8+Equity!$G$33+Equity!$E$33,2,IF(BC8=$N$8+Equity!$G$33+Equity!$E$33+Equity!$E$33,3,IF(BC8=$N$8+Equity!$G$33+Equity!$E$33+Equity!$E$33+Equity!$E$33,4,IF(BC8=$N$8+Equity!$G$33+Equity!$E$33+Equity!$E$33+Equity!$E$33+Equity!$E$33,5,IF(BC8=$N$8+Equity!$G$33+Equity!$E$33+Equity!$E$33+Equity!$E$33+Equity!$E$33+Equity!$E$33,6,"")))))),"")</f>
        <v/>
      </c>
      <c r="BD29" s="1699" t="str">
        <f>IFERROR(IF(BD8=$N$8+Equity!$G$33,1,IF(BD8=$N$8+Equity!$G$33+Equity!$E$33,2,IF(BD8=$N$8+Equity!$G$33+Equity!$E$33+Equity!$E$33,3,IF(BD8=$N$8+Equity!$G$33+Equity!$E$33+Equity!$E$33+Equity!$E$33,4,IF(BD8=$N$8+Equity!$G$33+Equity!$E$33+Equity!$E$33+Equity!$E$33+Equity!$E$33,5,IF(BD8=$N$8+Equity!$G$33+Equity!$E$33+Equity!$E$33+Equity!$E$33+Equity!$E$33+Equity!$E$33,6,"")))))),"")</f>
        <v/>
      </c>
      <c r="BE29" s="1699" t="str">
        <f>IFERROR(IF(BE8=$N$8+Equity!$G$33,1,IF(BE8=$N$8+Equity!$G$33+Equity!$E$33,2,IF(BE8=$N$8+Equity!$G$33+Equity!$E$33+Equity!$E$33,3,IF(BE8=$N$8+Equity!$G$33+Equity!$E$33+Equity!$E$33+Equity!$E$33,4,IF(BE8=$N$8+Equity!$G$33+Equity!$E$33+Equity!$E$33+Equity!$E$33+Equity!$E$33,5,IF(BE8=$N$8+Equity!$G$33+Equity!$E$33+Equity!$E$33+Equity!$E$33+Equity!$E$33+Equity!$E$33,6,"")))))),"")</f>
        <v/>
      </c>
      <c r="BF29" s="1699" t="str">
        <f>IFERROR(IF(BF8=$N$8+Equity!$G$33,1,IF(BF8=$N$8+Equity!$G$33+Equity!$E$33,2,IF(BF8=$N$8+Equity!$G$33+Equity!$E$33+Equity!$E$33,3,IF(BF8=$N$8+Equity!$G$33+Equity!$E$33+Equity!$E$33+Equity!$E$33,4,IF(BF8=$N$8+Equity!$G$33+Equity!$E$33+Equity!$E$33+Equity!$E$33+Equity!$E$33,5,IF(BF8=$N$8+Equity!$G$33+Equity!$E$33+Equity!$E$33+Equity!$E$33+Equity!$E$33+Equity!$E$33,6,"")))))),"")</f>
        <v/>
      </c>
      <c r="BG29" s="1699" t="str">
        <f>IFERROR(IF(BG8=$N$8+Equity!$G$33,1,IF(BG8=$N$8+Equity!$G$33+Equity!$E$33,2,IF(BG8=$N$8+Equity!$G$33+Equity!$E$33+Equity!$E$33,3,IF(BG8=$N$8+Equity!$G$33+Equity!$E$33+Equity!$E$33+Equity!$E$33,4,IF(BG8=$N$8+Equity!$G$33+Equity!$E$33+Equity!$E$33+Equity!$E$33+Equity!$E$33,5,IF(BG8=$N$8+Equity!$G$33+Equity!$E$33+Equity!$E$33+Equity!$E$33+Equity!$E$33+Equity!$E$33,6,"")))))),"")</f>
        <v/>
      </c>
      <c r="BH29" s="1699" t="str">
        <f>IFERROR(IF(BH8=$N$8+Equity!$G$33,1,IF(BH8=$N$8+Equity!$G$33+Equity!$E$33,2,IF(BH8=$N$8+Equity!$G$33+Equity!$E$33+Equity!$E$33,3,IF(BH8=$N$8+Equity!$G$33+Equity!$E$33+Equity!$E$33+Equity!$E$33,4,IF(BH8=$N$8+Equity!$G$33+Equity!$E$33+Equity!$E$33+Equity!$E$33+Equity!$E$33,5,IF(BH8=$N$8+Equity!$G$33+Equity!$E$33+Equity!$E$33+Equity!$E$33+Equity!$E$33+Equity!$E$33,6,"")))))),"")</f>
        <v/>
      </c>
      <c r="BI29" s="1699" t="str">
        <f>IFERROR(IF(BI8=$N$8+Equity!$G$33,1,IF(BI8=$N$8+Equity!$G$33+Equity!$E$33,2,IF(BI8=$N$8+Equity!$G$33+Equity!$E$33+Equity!$E$33,3,IF(BI8=$N$8+Equity!$G$33+Equity!$E$33+Equity!$E$33+Equity!$E$33,4,IF(BI8=$N$8+Equity!$G$33+Equity!$E$33+Equity!$E$33+Equity!$E$33+Equity!$E$33,5,IF(BI8=$N$8+Equity!$G$33+Equity!$E$33+Equity!$E$33+Equity!$E$33+Equity!$E$33+Equity!$E$33,6,"")))))),"")</f>
        <v/>
      </c>
      <c r="BJ29" s="1699" t="str">
        <f>IFERROR(IF(BJ8=$N$8+Equity!$G$33,1,IF(BJ8=$N$8+Equity!$G$33+Equity!$E$33,2,IF(BJ8=$N$8+Equity!$G$33+Equity!$E$33+Equity!$E$33,3,IF(BJ8=$N$8+Equity!$G$33+Equity!$E$33+Equity!$E$33+Equity!$E$33,4,IF(BJ8=$N$8+Equity!$G$33+Equity!$E$33+Equity!$E$33+Equity!$E$33+Equity!$E$33,5,IF(BJ8=$N$8+Equity!$G$33+Equity!$E$33+Equity!$E$33+Equity!$E$33+Equity!$E$33+Equity!$E$33,6,"")))))),"")</f>
        <v/>
      </c>
      <c r="BK29" s="1699" t="str">
        <f>IFERROR(IF(BK8=$N$8+Equity!$G$33,1,IF(BK8=$N$8+Equity!$G$33+Equity!$E$33,2,IF(BK8=$N$8+Equity!$G$33+Equity!$E$33+Equity!$E$33,3,IF(BK8=$N$8+Equity!$G$33+Equity!$E$33+Equity!$E$33+Equity!$E$33,4,IF(BK8=$N$8+Equity!$G$33+Equity!$E$33+Equity!$E$33+Equity!$E$33+Equity!$E$33,5,IF(BK8=$N$8+Equity!$G$33+Equity!$E$33+Equity!$E$33+Equity!$E$33+Equity!$E$33+Equity!$E$33,6,"")))))),"")</f>
        <v/>
      </c>
      <c r="BL29" s="1699" t="str">
        <f>IFERROR(IF(BL8=$N$8+Equity!$G$33,1,IF(BL8=$N$8+Equity!$G$33+Equity!$E$33,2,IF(BL8=$N$8+Equity!$G$33+Equity!$E$33+Equity!$E$33,3,IF(BL8=$N$8+Equity!$G$33+Equity!$E$33+Equity!$E$33+Equity!$E$33,4,IF(BL8=$N$8+Equity!$G$33+Equity!$E$33+Equity!$E$33+Equity!$E$33+Equity!$E$33,5,IF(BL8=$N$8+Equity!$G$33+Equity!$E$33+Equity!$E$33+Equity!$E$33+Equity!$E$33+Equity!$E$33,6,"")))))),"")</f>
        <v/>
      </c>
      <c r="BM29" s="1699" t="str">
        <f>IFERROR(IF(BM8=$N$8+Equity!$G$33,1,IF(BM8=$N$8+Equity!$G$33+Equity!$E$33,2,IF(BM8=$N$8+Equity!$G$33+Equity!$E$33+Equity!$E$33,3,IF(BM8=$N$8+Equity!$G$33+Equity!$E$33+Equity!$E$33+Equity!$E$33,4,IF(BM8=$N$8+Equity!$G$33+Equity!$E$33+Equity!$E$33+Equity!$E$33+Equity!$E$33,5,IF(BM8=$N$8+Equity!$G$33+Equity!$E$33+Equity!$E$33+Equity!$E$33+Equity!$E$33+Equity!$E$33,6,"")))))),"")</f>
        <v/>
      </c>
      <c r="BN29" s="1699" t="str">
        <f>IFERROR(IF(BN8=$N$8+Equity!$G$33,1,IF(BN8=$N$8+Equity!$G$33+Equity!$E$33,2,IF(BN8=$N$8+Equity!$G$33+Equity!$E$33+Equity!$E$33,3,IF(BN8=$N$8+Equity!$G$33+Equity!$E$33+Equity!$E$33+Equity!$E$33,4,IF(BN8=$N$8+Equity!$G$33+Equity!$E$33+Equity!$E$33+Equity!$E$33+Equity!$E$33,5,IF(BN8=$N$8+Equity!$G$33+Equity!$E$33+Equity!$E$33+Equity!$E$33+Equity!$E$33+Equity!$E$33,6,"")))))),"")</f>
        <v/>
      </c>
      <c r="BO29" s="1699" t="str">
        <f>IFERROR(IF(BO8=$N$8+Equity!$G$33,1,IF(BO8=$N$8+Equity!$G$33+Equity!$E$33,2,IF(BO8=$N$8+Equity!$G$33+Equity!$E$33+Equity!$E$33,3,IF(BO8=$N$8+Equity!$G$33+Equity!$E$33+Equity!$E$33+Equity!$E$33,4,IF(BO8=$N$8+Equity!$G$33+Equity!$E$33+Equity!$E$33+Equity!$E$33+Equity!$E$33,5,IF(BO8=$N$8+Equity!$G$33+Equity!$E$33+Equity!$E$33+Equity!$E$33+Equity!$E$33+Equity!$E$33,6,"")))))),"")</f>
        <v/>
      </c>
      <c r="BP29" s="1699" t="str">
        <f>IFERROR(IF(BP8=$N$8+Equity!$G$33,1,IF(BP8=$N$8+Equity!$G$33+Equity!$E$33,2,IF(BP8=$N$8+Equity!$G$33+Equity!$E$33+Equity!$E$33,3,IF(BP8=$N$8+Equity!$G$33+Equity!$E$33+Equity!$E$33+Equity!$E$33,4,IF(BP8=$N$8+Equity!$G$33+Equity!$E$33+Equity!$E$33+Equity!$E$33+Equity!$E$33,5,IF(BP8=$N$8+Equity!$G$33+Equity!$E$33+Equity!$E$33+Equity!$E$33+Equity!$E$33+Equity!$E$33,6,"")))))),"")</f>
        <v/>
      </c>
      <c r="BQ29" s="1699" t="str">
        <f>IFERROR(IF(BQ8=$N$8+Equity!$G$33,1,IF(BQ8=$N$8+Equity!$G$33+Equity!$E$33,2,IF(BQ8=$N$8+Equity!$G$33+Equity!$E$33+Equity!$E$33,3,IF(BQ8=$N$8+Equity!$G$33+Equity!$E$33+Equity!$E$33+Equity!$E$33,4,IF(BQ8=$N$8+Equity!$G$33+Equity!$E$33+Equity!$E$33+Equity!$E$33+Equity!$E$33,5,IF(BQ8=$N$8+Equity!$G$33+Equity!$E$33+Equity!$E$33+Equity!$E$33+Equity!$E$33+Equity!$E$33,6,"")))))),"")</f>
        <v/>
      </c>
      <c r="BR29" s="1699" t="str">
        <f>IFERROR(IF(BR8=$N$8+Equity!$G$33,1,IF(BR8=$N$8+Equity!$G$33+Equity!$E$33,2,IF(BR8=$N$8+Equity!$G$33+Equity!$E$33+Equity!$E$33,3,IF(BR8=$N$8+Equity!$G$33+Equity!$E$33+Equity!$E$33+Equity!$E$33,4,IF(BR8=$N$8+Equity!$G$33+Equity!$E$33+Equity!$E$33+Equity!$E$33+Equity!$E$33,5,IF(BR8=$N$8+Equity!$G$33+Equity!$E$33+Equity!$E$33+Equity!$E$33+Equity!$E$33+Equity!$E$33,6,"")))))),"")</f>
        <v/>
      </c>
      <c r="BS29" s="1699" t="str">
        <f>IFERROR(IF(BS8=$N$8+Equity!$G$33,1,IF(BS8=$N$8+Equity!$G$33+Equity!$E$33,2,IF(BS8=$N$8+Equity!$G$33+Equity!$E$33+Equity!$E$33,3,IF(BS8=$N$8+Equity!$G$33+Equity!$E$33+Equity!$E$33+Equity!$E$33,4,IF(BS8=$N$8+Equity!$G$33+Equity!$E$33+Equity!$E$33+Equity!$E$33+Equity!$E$33,5,IF(BS8=$N$8+Equity!$G$33+Equity!$E$33+Equity!$E$33+Equity!$E$33+Equity!$E$33+Equity!$E$33,6,"")))))),"")</f>
        <v/>
      </c>
      <c r="BT29" s="1699" t="str">
        <f>IFERROR(IF(BT8=$N$8+Equity!$G$33,1,IF(BT8=$N$8+Equity!$G$33+Equity!$E$33,2,IF(BT8=$N$8+Equity!$G$33+Equity!$E$33+Equity!$E$33,3,IF(BT8=$N$8+Equity!$G$33+Equity!$E$33+Equity!$E$33+Equity!$E$33,4,IF(BT8=$N$8+Equity!$G$33+Equity!$E$33+Equity!$E$33+Equity!$E$33+Equity!$E$33,5,IF(BT8=$N$8+Equity!$G$33+Equity!$E$33+Equity!$E$33+Equity!$E$33+Equity!$E$33+Equity!$E$33,6,"")))))),"")</f>
        <v/>
      </c>
      <c r="BU29" s="1699" t="str">
        <f>IFERROR(IF(BU8=$N$8+Equity!$G$33,1,IF(BU8=$N$8+Equity!$G$33+Equity!$E$33,2,IF(BU8=$N$8+Equity!$G$33+Equity!$E$33+Equity!$E$33,3,IF(BU8=$N$8+Equity!$G$33+Equity!$E$33+Equity!$E$33+Equity!$E$33,4,IF(BU8=$N$8+Equity!$G$33+Equity!$E$33+Equity!$E$33+Equity!$E$33+Equity!$E$33,5,IF(BU8=$N$8+Equity!$G$33+Equity!$E$33+Equity!$E$33+Equity!$E$33+Equity!$E$33+Equity!$E$33,6,"")))))),"")</f>
        <v/>
      </c>
      <c r="BV29" s="1699"/>
      <c r="BW29" s="1699"/>
      <c r="BX29" s="1699"/>
      <c r="BY29" s="976"/>
      <c r="BZ29" s="998"/>
    </row>
    <row r="30" spans="2:78">
      <c r="B30" s="1014" t="s">
        <v>1205</v>
      </c>
      <c r="C30" s="1888"/>
      <c r="D30" s="1015"/>
      <c r="E30" s="1015"/>
      <c r="F30" s="1016"/>
      <c r="G30" s="1016"/>
      <c r="H30" s="1017"/>
      <c r="I30" s="1017"/>
      <c r="J30" s="1017"/>
      <c r="K30" s="1018">
        <f>비용집행계획!F26</f>
        <v>0</v>
      </c>
      <c r="L30" s="1018">
        <f>비용집행계획!G26</f>
        <v>0</v>
      </c>
      <c r="M30" s="1018">
        <f>비용집행계획!H26</f>
        <v>0</v>
      </c>
      <c r="N30" s="1018">
        <f>비용집행계획!I26</f>
        <v>0</v>
      </c>
      <c r="O30" s="1018">
        <f>비용집행계획!J26</f>
        <v>0</v>
      </c>
      <c r="P30" s="1018">
        <f>비용집행계획!K26</f>
        <v>0</v>
      </c>
      <c r="Q30" s="1018">
        <f>비용집행계획!L26</f>
        <v>0</v>
      </c>
      <c r="R30" s="1018">
        <f>비용집행계획!M26</f>
        <v>0</v>
      </c>
      <c r="S30" s="1018">
        <f>비용집행계획!N26</f>
        <v>0</v>
      </c>
      <c r="T30" s="1018">
        <f>비용집행계획!O26</f>
        <v>0</v>
      </c>
      <c r="U30" s="1018">
        <f>비용집행계획!P26</f>
        <v>0</v>
      </c>
      <c r="V30" s="1018">
        <f>비용집행계획!Q26</f>
        <v>0</v>
      </c>
      <c r="W30" s="1018">
        <f>비용집행계획!R26</f>
        <v>0</v>
      </c>
      <c r="X30" s="1018">
        <f>비용집행계획!S26</f>
        <v>0</v>
      </c>
      <c r="Y30" s="1018">
        <f>비용집행계획!T26</f>
        <v>0</v>
      </c>
      <c r="Z30" s="1018">
        <f>비용집행계획!U26</f>
        <v>0</v>
      </c>
      <c r="AA30" s="1018">
        <f>비용집행계획!V26</f>
        <v>0</v>
      </c>
      <c r="AB30" s="1018">
        <f>비용집행계획!W26</f>
        <v>0</v>
      </c>
      <c r="AC30" s="1018">
        <f>비용집행계획!X26</f>
        <v>0</v>
      </c>
      <c r="AD30" s="1018">
        <f>비용집행계획!Y26</f>
        <v>0</v>
      </c>
      <c r="AE30" s="1018">
        <f>비용집행계획!Z26</f>
        <v>0</v>
      </c>
      <c r="AF30" s="1018">
        <f>비용집행계획!AA26</f>
        <v>0</v>
      </c>
      <c r="AG30" s="1018">
        <f>비용집행계획!AB26</f>
        <v>0</v>
      </c>
      <c r="AH30" s="1018">
        <f>비용집행계획!AC26</f>
        <v>0</v>
      </c>
      <c r="AI30" s="1018">
        <f>비용집행계획!AD26</f>
        <v>0</v>
      </c>
      <c r="AJ30" s="1018">
        <f>비용집행계획!AE26</f>
        <v>0</v>
      </c>
      <c r="AK30" s="1018">
        <f>비용집행계획!AF26</f>
        <v>0</v>
      </c>
      <c r="AL30" s="1018">
        <f>비용집행계획!AG26</f>
        <v>0</v>
      </c>
      <c r="AM30" s="1018">
        <f>비용집행계획!AH26</f>
        <v>0</v>
      </c>
      <c r="AN30" s="1018">
        <f>비용집행계획!AI26</f>
        <v>0</v>
      </c>
      <c r="AO30" s="1018">
        <f>비용집행계획!AJ26</f>
        <v>0</v>
      </c>
      <c r="AP30" s="1018">
        <f>비용집행계획!AK26</f>
        <v>0</v>
      </c>
      <c r="AQ30" s="1018">
        <f>비용집행계획!AL26</f>
        <v>0</v>
      </c>
      <c r="AR30" s="1018">
        <f>비용집행계획!AM26</f>
        <v>0</v>
      </c>
      <c r="AS30" s="1018">
        <f>비용집행계획!AN26</f>
        <v>0</v>
      </c>
      <c r="AT30" s="1018">
        <f>비용집행계획!AO26</f>
        <v>0</v>
      </c>
      <c r="AU30" s="1018">
        <f>비용집행계획!AP26</f>
        <v>0</v>
      </c>
      <c r="AV30" s="1018">
        <f>비용집행계획!AQ26</f>
        <v>0</v>
      </c>
      <c r="AW30" s="1018">
        <f>비용집행계획!AR26</f>
        <v>0</v>
      </c>
      <c r="AX30" s="1018">
        <f>비용집행계획!AS26</f>
        <v>0</v>
      </c>
      <c r="AY30" s="1018">
        <f>비용집행계획!AT26</f>
        <v>0</v>
      </c>
      <c r="AZ30" s="1018">
        <f>비용집행계획!AU26</f>
        <v>0</v>
      </c>
      <c r="BA30" s="1018">
        <f>비용집행계획!AV26</f>
        <v>0</v>
      </c>
      <c r="BB30" s="1018">
        <f>비용집행계획!AW26</f>
        <v>0</v>
      </c>
      <c r="BC30" s="1018">
        <f>비용집행계획!AX26</f>
        <v>0</v>
      </c>
      <c r="BD30" s="1018">
        <f>비용집행계획!AY26</f>
        <v>0</v>
      </c>
      <c r="BE30" s="1018">
        <f>비용집행계획!AZ26</f>
        <v>0</v>
      </c>
      <c r="BF30" s="1018">
        <f>비용집행계획!BA26</f>
        <v>0</v>
      </c>
      <c r="BG30" s="1018">
        <f>비용집행계획!BB26</f>
        <v>0</v>
      </c>
      <c r="BH30" s="1018">
        <f>비용집행계획!BC26</f>
        <v>0</v>
      </c>
      <c r="BI30" s="1018">
        <f>비용집행계획!BD26</f>
        <v>0</v>
      </c>
      <c r="BJ30" s="1018">
        <f>비용집행계획!BE26</f>
        <v>0</v>
      </c>
      <c r="BK30" s="1018">
        <f>비용집행계획!BF26</f>
        <v>0</v>
      </c>
      <c r="BL30" s="1018">
        <f>비용집행계획!BG26</f>
        <v>0</v>
      </c>
      <c r="BM30" s="1018">
        <f>비용집행계획!BH26</f>
        <v>0</v>
      </c>
      <c r="BN30" s="1018">
        <f>비용집행계획!BI26</f>
        <v>0</v>
      </c>
      <c r="BO30" s="1018">
        <f>비용집행계획!BJ26</f>
        <v>0</v>
      </c>
      <c r="BP30" s="1018">
        <f>비용집행계획!BK26</f>
        <v>0</v>
      </c>
      <c r="BQ30" s="1018">
        <f>비용집행계획!BL26</f>
        <v>0</v>
      </c>
      <c r="BR30" s="1018">
        <f>비용집행계획!BM26</f>
        <v>0</v>
      </c>
      <c r="BS30" s="1018">
        <f>비용집행계획!BN26</f>
        <v>0</v>
      </c>
      <c r="BT30" s="1018">
        <f>비용집행계획!BO26</f>
        <v>0</v>
      </c>
      <c r="BU30" s="1018">
        <f>비용집행계획!BP26</f>
        <v>0</v>
      </c>
      <c r="BV30" s="1018"/>
      <c r="BW30" s="1018"/>
      <c r="BX30" s="1018"/>
      <c r="BY30" s="985"/>
    </row>
    <row r="31" spans="2:78">
      <c r="B31" s="1019" t="s">
        <v>1031</v>
      </c>
      <c r="C31" s="1889"/>
      <c r="D31" s="1020"/>
      <c r="E31" s="1020"/>
      <c r="F31" s="1016"/>
      <c r="G31" s="1016"/>
      <c r="H31" s="1017"/>
      <c r="I31" s="1017"/>
      <c r="J31" s="1017"/>
      <c r="K31" s="1021">
        <f>K30</f>
        <v>0</v>
      </c>
      <c r="L31" s="1021">
        <f>L30+K31</f>
        <v>0</v>
      </c>
      <c r="M31" s="1021">
        <f t="shared" ref="M31:AP31" si="69">L31+M30</f>
        <v>0</v>
      </c>
      <c r="N31" s="1021">
        <f t="shared" si="69"/>
        <v>0</v>
      </c>
      <c r="O31" s="1021">
        <f t="shared" si="69"/>
        <v>0</v>
      </c>
      <c r="P31" s="1021">
        <f t="shared" si="69"/>
        <v>0</v>
      </c>
      <c r="Q31" s="1021">
        <f t="shared" si="69"/>
        <v>0</v>
      </c>
      <c r="R31" s="1021">
        <f t="shared" si="69"/>
        <v>0</v>
      </c>
      <c r="S31" s="1021">
        <f t="shared" si="69"/>
        <v>0</v>
      </c>
      <c r="T31" s="1021">
        <f t="shared" si="69"/>
        <v>0</v>
      </c>
      <c r="U31" s="1021">
        <f t="shared" si="69"/>
        <v>0</v>
      </c>
      <c r="V31" s="1021">
        <f t="shared" si="69"/>
        <v>0</v>
      </c>
      <c r="W31" s="1021">
        <f t="shared" si="69"/>
        <v>0</v>
      </c>
      <c r="X31" s="1021">
        <f t="shared" si="69"/>
        <v>0</v>
      </c>
      <c r="Y31" s="1021">
        <f t="shared" si="69"/>
        <v>0</v>
      </c>
      <c r="Z31" s="1021">
        <f t="shared" si="69"/>
        <v>0</v>
      </c>
      <c r="AA31" s="1021">
        <f t="shared" si="69"/>
        <v>0</v>
      </c>
      <c r="AB31" s="1021">
        <f t="shared" si="69"/>
        <v>0</v>
      </c>
      <c r="AC31" s="1021">
        <f t="shared" si="69"/>
        <v>0</v>
      </c>
      <c r="AD31" s="1021">
        <f t="shared" si="69"/>
        <v>0</v>
      </c>
      <c r="AE31" s="1021">
        <f t="shared" si="69"/>
        <v>0</v>
      </c>
      <c r="AF31" s="1021">
        <f t="shared" si="69"/>
        <v>0</v>
      </c>
      <c r="AG31" s="1021">
        <f t="shared" si="69"/>
        <v>0</v>
      </c>
      <c r="AH31" s="1021">
        <f t="shared" si="69"/>
        <v>0</v>
      </c>
      <c r="AI31" s="1021">
        <f t="shared" si="69"/>
        <v>0</v>
      </c>
      <c r="AJ31" s="1021">
        <f t="shared" si="69"/>
        <v>0</v>
      </c>
      <c r="AK31" s="1021">
        <f t="shared" si="69"/>
        <v>0</v>
      </c>
      <c r="AL31" s="1021">
        <f t="shared" si="69"/>
        <v>0</v>
      </c>
      <c r="AM31" s="1021">
        <f t="shared" si="69"/>
        <v>0</v>
      </c>
      <c r="AN31" s="1021">
        <f t="shared" si="69"/>
        <v>0</v>
      </c>
      <c r="AO31" s="1021">
        <f t="shared" si="69"/>
        <v>0</v>
      </c>
      <c r="AP31" s="1021">
        <f t="shared" si="69"/>
        <v>0</v>
      </c>
      <c r="AQ31" s="1022">
        <f t="shared" ref="AQ31:AV31" si="70">AP31+AQ30</f>
        <v>0</v>
      </c>
      <c r="AR31" s="1021">
        <f t="shared" si="70"/>
        <v>0</v>
      </c>
      <c r="AS31" s="1021">
        <f t="shared" si="70"/>
        <v>0</v>
      </c>
      <c r="AT31" s="1021">
        <f t="shared" si="70"/>
        <v>0</v>
      </c>
      <c r="AU31" s="1021">
        <f t="shared" si="70"/>
        <v>0</v>
      </c>
      <c r="AV31" s="1021">
        <f t="shared" si="70"/>
        <v>0</v>
      </c>
      <c r="AW31" s="1021">
        <f>AU31+AW30</f>
        <v>0</v>
      </c>
      <c r="AX31" s="1021">
        <f>AW31+AX30</f>
        <v>0</v>
      </c>
      <c r="AY31" s="1021">
        <f>AX31+AY30</f>
        <v>0</v>
      </c>
      <c r="AZ31" s="1021">
        <f>AY31+AZ30</f>
        <v>0</v>
      </c>
      <c r="BA31" s="1021">
        <f>AZ31+BA30</f>
        <v>0</v>
      </c>
      <c r="BB31" s="1021">
        <f>AZ31+BB30</f>
        <v>0</v>
      </c>
      <c r="BC31" s="1021">
        <f>BB31+BC30</f>
        <v>0</v>
      </c>
      <c r="BD31" s="1021">
        <f>BC31+BD30</f>
        <v>0</v>
      </c>
      <c r="BE31" s="1021">
        <f>BD31+BE30</f>
        <v>0</v>
      </c>
      <c r="BF31" s="1021">
        <f t="shared" ref="BF31:BU31" si="71">BE31+BF30</f>
        <v>0</v>
      </c>
      <c r="BG31" s="1021">
        <f t="shared" si="71"/>
        <v>0</v>
      </c>
      <c r="BH31" s="1021">
        <f t="shared" si="71"/>
        <v>0</v>
      </c>
      <c r="BI31" s="1021">
        <f t="shared" si="71"/>
        <v>0</v>
      </c>
      <c r="BJ31" s="1021">
        <f t="shared" si="71"/>
        <v>0</v>
      </c>
      <c r="BK31" s="1021">
        <f t="shared" si="71"/>
        <v>0</v>
      </c>
      <c r="BL31" s="1021">
        <f t="shared" si="71"/>
        <v>0</v>
      </c>
      <c r="BM31" s="1021">
        <f t="shared" si="71"/>
        <v>0</v>
      </c>
      <c r="BN31" s="1021">
        <f t="shared" si="71"/>
        <v>0</v>
      </c>
      <c r="BO31" s="1021">
        <f t="shared" si="71"/>
        <v>0</v>
      </c>
      <c r="BP31" s="1021">
        <f t="shared" si="71"/>
        <v>0</v>
      </c>
      <c r="BQ31" s="1021">
        <f t="shared" si="71"/>
        <v>0</v>
      </c>
      <c r="BR31" s="1021">
        <f t="shared" si="71"/>
        <v>0</v>
      </c>
      <c r="BS31" s="1021">
        <f t="shared" si="71"/>
        <v>0</v>
      </c>
      <c r="BT31" s="1021">
        <f t="shared" si="71"/>
        <v>0</v>
      </c>
      <c r="BU31" s="1021">
        <f t="shared" si="71"/>
        <v>0</v>
      </c>
      <c r="BV31" s="1021">
        <f t="shared" ref="BV31" si="72">BU31+BV30</f>
        <v>0</v>
      </c>
      <c r="BW31" s="1021">
        <f t="shared" ref="BW31" si="73">BV31+BW30</f>
        <v>0</v>
      </c>
      <c r="BX31" s="1021">
        <f t="shared" ref="BX31" si="74">BW31+BX30</f>
        <v>0</v>
      </c>
      <c r="BY31" s="976"/>
    </row>
    <row r="32" spans="2:78" s="957" customFormat="1" ht="15.6">
      <c r="B32" s="963"/>
      <c r="C32" s="963"/>
      <c r="F32" s="998"/>
      <c r="G32" s="998"/>
      <c r="H32" s="998"/>
      <c r="I32" s="998"/>
      <c r="J32" s="998"/>
      <c r="K32" s="999"/>
      <c r="L32" s="999"/>
      <c r="M32" s="999"/>
      <c r="N32" s="970" t="str">
        <f>N29</f>
        <v/>
      </c>
      <c r="O32" s="1699" t="str">
        <f>IFERROR(IF(O8=$N$8+Equity!$G$34,1,IF(O8=$N$8+Equity!$G$34+Equity!$E$34,2,IF(O8=$N$8+Equity!$G$34+Equity!$E$34+Equity!$E$34,3,IF(O8=$N$8+Equity!$G$34+Equity!$E$34+Equity!$E$34+Equity!$E$34,4,IF(O8=$N$8+Equity!$G$34+Equity!$E$34+Equity!$E$34+Equity!$E$34+Equity!$E$34,5,IF(O8=$N$8+Equity!$G$34+Equity!$E$34+Equity!$E$34+Equity!$E$34+Equity!$E$34+Equity!$E$34,6,"")))))),"")</f>
        <v/>
      </c>
      <c r="P32" s="1699" t="str">
        <f>IFERROR(IF(P8=$N$8+Equity!$G$34,1,IF(P8=$N$8+Equity!$G$34+Equity!$E$34,2,IF(P8=$N$8+Equity!$G$34+Equity!$E$34+Equity!$E$34,3,IF(P8=$N$8+Equity!$G$34+Equity!$E$34+Equity!$E$34+Equity!$E$34,4,IF(P8=$N$8+Equity!$G$34+Equity!$E$34+Equity!$E$34+Equity!$E$34+Equity!$E$34,5,IF(P8=$N$8+Equity!$G$34+Equity!$E$34+Equity!$E$34+Equity!$E$34+Equity!$E$34+Equity!$E$34,6,"")))))),"")</f>
        <v/>
      </c>
      <c r="Q32" s="1699" t="str">
        <f>IFERROR(IF(Q8=$N$8+Equity!$G$34,1,IF(Q8=$N$8+Equity!$G$34+Equity!$E$34,2,IF(Q8=$N$8+Equity!$G$34+Equity!$E$34+Equity!$E$34,3,IF(Q8=$N$8+Equity!$G$34+Equity!$E$34+Equity!$E$34+Equity!$E$34,4,IF(Q8=$N$8+Equity!$G$34+Equity!$E$34+Equity!$E$34+Equity!$E$34+Equity!$E$34,5,IF(Q8=$N$8+Equity!$G$34+Equity!$E$34+Equity!$E$34+Equity!$E$34+Equity!$E$34+Equity!$E$34,6,"")))))),"")</f>
        <v/>
      </c>
      <c r="R32" s="1699">
        <f>IFERROR(IF(R8=$N$8+Equity!$G$34,1,IF(R8=$N$8+Equity!$G$34+Equity!$E$34,2,IF(R8=$N$8+Equity!$G$34+Equity!$E$34+Equity!$E$34,3,IF(R8=$N$8+Equity!$G$34+Equity!$E$34+Equity!$E$34+Equity!$E$34,4,IF(R8=$N$8+Equity!$G$34+Equity!$E$34+Equity!$E$34+Equity!$E$34+Equity!$E$34,5,IF(R8=$N$8+Equity!$G$34+Equity!$E$34+Equity!$E$34+Equity!$E$34+Equity!$E$34+Equity!$E$34,6,"")))))),"")</f>
        <v>1</v>
      </c>
      <c r="S32" s="1699" t="str">
        <f>IFERROR(IF(S8=$N$8+Equity!$G$34,1,IF(S8=$N$8+Equity!$G$34+Equity!$E$34,2,IF(S8=$N$8+Equity!$G$34+Equity!$E$34+Equity!$E$34,3,IF(S8=$N$8+Equity!$G$34+Equity!$E$34+Equity!$E$34+Equity!$E$34,4,IF(S8=$N$8+Equity!$G$34+Equity!$E$34+Equity!$E$34+Equity!$E$34+Equity!$E$34,5,IF(S8=$N$8+Equity!$G$34+Equity!$E$34+Equity!$E$34+Equity!$E$34+Equity!$E$34+Equity!$E$34,6,"")))))),"")</f>
        <v/>
      </c>
      <c r="T32" s="1699" t="str">
        <f>IFERROR(IF(T8=$N$8+Equity!$G$34,1,IF(T8=$N$8+Equity!$G$34+Equity!$E$34,2,IF(T8=$N$8+Equity!$G$34+Equity!$E$34+Equity!$E$34,3,IF(T8=$N$8+Equity!$G$34+Equity!$E$34+Equity!$E$34+Equity!$E$34,4,IF(T8=$N$8+Equity!$G$34+Equity!$E$34+Equity!$E$34+Equity!$E$34+Equity!$E$34,5,IF(T8=$N$8+Equity!$G$34+Equity!$E$34+Equity!$E$34+Equity!$E$34+Equity!$E$34+Equity!$E$34,6,"")))))),"")</f>
        <v/>
      </c>
      <c r="U32" s="1699" t="str">
        <f>IFERROR(IF(U8=$N$8+Equity!$G$34,1,IF(U8=$N$8+Equity!$G$34+Equity!$E$34,2,IF(U8=$N$8+Equity!$G$34+Equity!$E$34+Equity!$E$34,3,IF(U8=$N$8+Equity!$G$34+Equity!$E$34+Equity!$E$34+Equity!$E$34,4,IF(U8=$N$8+Equity!$G$34+Equity!$E$34+Equity!$E$34+Equity!$E$34+Equity!$E$34,5,IF(U8=$N$8+Equity!$G$34+Equity!$E$34+Equity!$E$34+Equity!$E$34+Equity!$E$34+Equity!$E$34,6,"")))))),"")</f>
        <v/>
      </c>
      <c r="V32" s="1699" t="str">
        <f>IFERROR(IF(V8=$N$8+Equity!$G$34,1,IF(V8=$N$8+Equity!$G$34+Equity!$E$34,2,IF(V8=$N$8+Equity!$G$34+Equity!$E$34+Equity!$E$34,3,IF(V8=$N$8+Equity!$G$34+Equity!$E$34+Equity!$E$34+Equity!$E$34,4,IF(V8=$N$8+Equity!$G$34+Equity!$E$34+Equity!$E$34+Equity!$E$34+Equity!$E$34,5,IF(V8=$N$8+Equity!$G$34+Equity!$E$34+Equity!$E$34+Equity!$E$34+Equity!$E$34+Equity!$E$34,6,"")))))),"")</f>
        <v/>
      </c>
      <c r="W32" s="1699">
        <f>IFERROR(IF(W8=$N$8+Equity!$G$34,1,IF(W8=$N$8+Equity!$G$34+Equity!$E$34,2,IF(W8=$N$8+Equity!$G$34+Equity!$E$34+Equity!$E$34,3,IF(W8=$N$8+Equity!$G$34+Equity!$E$34+Equity!$E$34+Equity!$E$34,4,IF(W8=$N$8+Equity!$G$34+Equity!$E$34+Equity!$E$34+Equity!$E$34+Equity!$E$34,5,IF(W8=$N$8+Equity!$G$34+Equity!$E$34+Equity!$E$34+Equity!$E$34+Equity!$E$34+Equity!$E$34,6,"")))))),"")</f>
        <v>2</v>
      </c>
      <c r="X32" s="1699" t="str">
        <f>IFERROR(IF(X8=$N$8+Equity!$G$34,1,IF(X8=$N$8+Equity!$G$34+Equity!$E$34,2,IF(X8=$N$8+Equity!$G$34+Equity!$E$34+Equity!$E$34,3,IF(X8=$N$8+Equity!$G$34+Equity!$E$34+Equity!$E$34+Equity!$E$34,4,IF(X8=$N$8+Equity!$G$34+Equity!$E$34+Equity!$E$34+Equity!$E$34+Equity!$E$34,5,IF(X8=$N$8+Equity!$G$34+Equity!$E$34+Equity!$E$34+Equity!$E$34+Equity!$E$34+Equity!$E$34,6,"")))))),"")</f>
        <v/>
      </c>
      <c r="Y32" s="1699" t="str">
        <f>IFERROR(IF(Y8=$N$8+Equity!$G$34,1,IF(Y8=$N$8+Equity!$G$34+Equity!$E$34,2,IF(Y8=$N$8+Equity!$G$34+Equity!$E$34+Equity!$E$34,3,IF(Y8=$N$8+Equity!$G$34+Equity!$E$34+Equity!$E$34+Equity!$E$34,4,IF(Y8=$N$8+Equity!$G$34+Equity!$E$34+Equity!$E$34+Equity!$E$34+Equity!$E$34,5,IF(Y8=$N$8+Equity!$G$34+Equity!$E$34+Equity!$E$34+Equity!$E$34+Equity!$E$34+Equity!$E$34,6,"")))))),"")</f>
        <v/>
      </c>
      <c r="Z32" s="1699" t="str">
        <f>IFERROR(IF(Z8=$N$8+Equity!$G$34,1,IF(Z8=$N$8+Equity!$G$34+Equity!$E$34,2,IF(Z8=$N$8+Equity!$G$34+Equity!$E$34+Equity!$E$34,3,IF(Z8=$N$8+Equity!$G$34+Equity!$E$34+Equity!$E$34+Equity!$E$34,4,IF(Z8=$N$8+Equity!$G$34+Equity!$E$34+Equity!$E$34+Equity!$E$34+Equity!$E$34,5,IF(Z8=$N$8+Equity!$G$34+Equity!$E$34+Equity!$E$34+Equity!$E$34+Equity!$E$34+Equity!$E$34,6,"")))))),"")</f>
        <v/>
      </c>
      <c r="AA32" s="1699" t="str">
        <f>IFERROR(IF(AA8=$N$8+Equity!$G$34,1,IF(AA8=$N$8+Equity!$G$34+Equity!$E$34,2,IF(AA8=$N$8+Equity!$G$34+Equity!$E$34+Equity!$E$34,3,IF(AA8=$N$8+Equity!$G$34+Equity!$E$34+Equity!$E$34+Equity!$E$34,4,IF(AA8=$N$8+Equity!$G$34+Equity!$E$34+Equity!$E$34+Equity!$E$34+Equity!$E$34,5,IF(AA8=$N$8+Equity!$G$34+Equity!$E$34+Equity!$E$34+Equity!$E$34+Equity!$E$34+Equity!$E$34,6,"")))))),"")</f>
        <v/>
      </c>
      <c r="AB32" s="1699">
        <f>IFERROR(IF(AB8=$N$8+Equity!$G$34,1,IF(AB8=$N$8+Equity!$G$34+Equity!$E$34,2,IF(AB8=$N$8+Equity!$G$34+Equity!$E$34+Equity!$E$34,3,IF(AB8=$N$8+Equity!$G$34+Equity!$E$34+Equity!$E$34+Equity!$E$34,4,IF(AB8=$N$8+Equity!$G$34+Equity!$E$34+Equity!$E$34+Equity!$E$34+Equity!$E$34,5,IF(AB8=$N$8+Equity!$G$34+Equity!$E$34+Equity!$E$34+Equity!$E$34+Equity!$E$34+Equity!$E$34,6,"")))))),"")</f>
        <v>3</v>
      </c>
      <c r="AC32" s="1699" t="str">
        <f>IFERROR(IF(AC8=$N$8+Equity!$G$34,1,IF(AC8=$N$8+Equity!$G$34+Equity!$E$34,2,IF(AC8=$N$8+Equity!$G$34+Equity!$E$34+Equity!$E$34,3,IF(AC8=$N$8+Equity!$G$34+Equity!$E$34+Equity!$E$34+Equity!$E$34,4,IF(AC8=$N$8+Equity!$G$34+Equity!$E$34+Equity!$E$34+Equity!$E$34+Equity!$E$34,5,IF(AC8=$N$8+Equity!$G$34+Equity!$E$34+Equity!$E$34+Equity!$E$34+Equity!$E$34+Equity!$E$34,6,"")))))),"")</f>
        <v/>
      </c>
      <c r="AD32" s="1699" t="str">
        <f>IFERROR(IF(AD8=$N$8+Equity!$G$34,1,IF(AD8=$N$8+Equity!$G$34+Equity!$E$34,2,IF(AD8=$N$8+Equity!$G$34+Equity!$E$34+Equity!$E$34,3,IF(AD8=$N$8+Equity!$G$34+Equity!$E$34+Equity!$E$34+Equity!$E$34,4,IF(AD8=$N$8+Equity!$G$34+Equity!$E$34+Equity!$E$34+Equity!$E$34+Equity!$E$34,5,IF(AD8=$N$8+Equity!$G$34+Equity!$E$34+Equity!$E$34+Equity!$E$34+Equity!$E$34+Equity!$E$34,6,"")))))),"")</f>
        <v/>
      </c>
      <c r="AE32" s="1699" t="str">
        <f>IFERROR(IF(AE8=$N$8+Equity!$G$34,1,IF(AE8=$N$8+Equity!$G$34+Equity!$E$34,2,IF(AE8=$N$8+Equity!$G$34+Equity!$E$34+Equity!$E$34,3,IF(AE8=$N$8+Equity!$G$34+Equity!$E$34+Equity!$E$34+Equity!$E$34,4,IF(AE8=$N$8+Equity!$G$34+Equity!$E$34+Equity!$E$34+Equity!$E$34+Equity!$E$34,5,IF(AE8=$N$8+Equity!$G$34+Equity!$E$34+Equity!$E$34+Equity!$E$34+Equity!$E$34+Equity!$E$34,6,"")))))),"")</f>
        <v/>
      </c>
      <c r="AF32" s="1699" t="str">
        <f>IFERROR(IF(AF8=$N$8+Equity!$G$34,1,IF(AF8=$N$8+Equity!$G$34+Equity!$E$34,2,IF(AF8=$N$8+Equity!$G$34+Equity!$E$34+Equity!$E$34,3,IF(AF8=$N$8+Equity!$G$34+Equity!$E$34+Equity!$E$34+Equity!$E$34,4,IF(AF8=$N$8+Equity!$G$34+Equity!$E$34+Equity!$E$34+Equity!$E$34+Equity!$E$34,5,IF(AF8=$N$8+Equity!$G$34+Equity!$E$34+Equity!$E$34+Equity!$E$34+Equity!$E$34+Equity!$E$34,6,"")))))),"")</f>
        <v/>
      </c>
      <c r="AG32" s="1699">
        <f>IFERROR(IF(AG8=$N$8+Equity!$G$34,1,IF(AG8=$N$8+Equity!$G$34+Equity!$E$34,2,IF(AG8=$N$8+Equity!$G$34+Equity!$E$34+Equity!$E$34,3,IF(AG8=$N$8+Equity!$G$34+Equity!$E$34+Equity!$E$34+Equity!$E$34,4,IF(AG8=$N$8+Equity!$G$34+Equity!$E$34+Equity!$E$34+Equity!$E$34+Equity!$E$34,5,IF(AG8=$N$8+Equity!$G$34+Equity!$E$34+Equity!$E$34+Equity!$E$34+Equity!$E$34+Equity!$E$34,6,"")))))),"")</f>
        <v>4</v>
      </c>
      <c r="AH32" s="1699" t="str">
        <f>IFERROR(IF(AH8=$N$8+Equity!$G$34,1,IF(AH8=$N$8+Equity!$G$34+Equity!$E$34,2,IF(AH8=$N$8+Equity!$G$34+Equity!$E$34+Equity!$E$34,3,IF(AH8=$N$8+Equity!$G$34+Equity!$E$34+Equity!$E$34+Equity!$E$34,4,IF(AH8=$N$8+Equity!$G$34+Equity!$E$34+Equity!$E$34+Equity!$E$34+Equity!$E$34,5,IF(AH8=$N$8+Equity!$G$34+Equity!$E$34+Equity!$E$34+Equity!$E$34+Equity!$E$34+Equity!$E$34,6,"")))))),"")</f>
        <v/>
      </c>
      <c r="AI32" s="1699" t="str">
        <f>IFERROR(IF(AI8=$N$8+Equity!$G$34,1,IF(AI8=$N$8+Equity!$G$34+Equity!$E$34,2,IF(AI8=$N$8+Equity!$G$34+Equity!$E$34+Equity!$E$34,3,IF(AI8=$N$8+Equity!$G$34+Equity!$E$34+Equity!$E$34+Equity!$E$34,4,IF(AI8=$N$8+Equity!$G$34+Equity!$E$34+Equity!$E$34+Equity!$E$34+Equity!$E$34,5,IF(AI8=$N$8+Equity!$G$34+Equity!$E$34+Equity!$E$34+Equity!$E$34+Equity!$E$34+Equity!$E$34,6,"")))))),"")</f>
        <v/>
      </c>
      <c r="AJ32" s="1699" t="str">
        <f>IFERROR(IF(AJ8=$N$8+Equity!$G$34,1,IF(AJ8=$N$8+Equity!$G$34+Equity!$E$34,2,IF(AJ8=$N$8+Equity!$G$34+Equity!$E$34+Equity!$E$34,3,IF(AJ8=$N$8+Equity!$G$34+Equity!$E$34+Equity!$E$34+Equity!$E$34,4,IF(AJ8=$N$8+Equity!$G$34+Equity!$E$34+Equity!$E$34+Equity!$E$34+Equity!$E$34,5,IF(AJ8=$N$8+Equity!$G$34+Equity!$E$34+Equity!$E$34+Equity!$E$34+Equity!$E$34+Equity!$E$34,6,"")))))),"")</f>
        <v/>
      </c>
      <c r="AK32" s="1699" t="str">
        <f>IFERROR(IF(AK8=$N$8+Equity!$G$34,1,IF(AK8=$N$8+Equity!$G$34+Equity!$E$34,2,IF(AK8=$N$8+Equity!$G$34+Equity!$E$34+Equity!$E$34,3,IF(AK8=$N$8+Equity!$G$34+Equity!$E$34+Equity!$E$34+Equity!$E$34,4,IF(AK8=$N$8+Equity!$G$34+Equity!$E$34+Equity!$E$34+Equity!$E$34+Equity!$E$34,5,IF(AK8=$N$8+Equity!$G$34+Equity!$E$34+Equity!$E$34+Equity!$E$34+Equity!$E$34+Equity!$E$34,6,"")))))),"")</f>
        <v/>
      </c>
      <c r="AL32" s="1699">
        <f>IFERROR(IF(AL8=$N$8+Equity!$G$34,1,IF(AL8=$N$8+Equity!$G$34+Equity!$E$34,2,IF(AL8=$N$8+Equity!$G$34+Equity!$E$34+Equity!$E$34,3,IF(AL8=$N$8+Equity!$G$34+Equity!$E$34+Equity!$E$34+Equity!$E$34,4,IF(AL8=$N$8+Equity!$G$34+Equity!$E$34+Equity!$E$34+Equity!$E$34+Equity!$E$34,5,IF(AL8=$N$8+Equity!$G$34+Equity!$E$34+Equity!$E$34+Equity!$E$34+Equity!$E$34+Equity!$E$34,6,"")))))),"")</f>
        <v>5</v>
      </c>
      <c r="AM32" s="1699" t="str">
        <f>IFERROR(IF(AM8=$N$8+Equity!$G$34,1,IF(AM8=$N$8+Equity!$G$34+Equity!$E$34,2,IF(AM8=$N$8+Equity!$G$34+Equity!$E$34+Equity!$E$34,3,IF(AM8=$N$8+Equity!$G$34+Equity!$E$34+Equity!$E$34+Equity!$E$34,4,IF(AM8=$N$8+Equity!$G$34+Equity!$E$34+Equity!$E$34+Equity!$E$34+Equity!$E$34,5,IF(AM8=$N$8+Equity!$G$34+Equity!$E$34+Equity!$E$34+Equity!$E$34+Equity!$E$34+Equity!$E$34,6,"")))))),"")</f>
        <v/>
      </c>
      <c r="AN32" s="1699" t="str">
        <f>IFERROR(IF(AN8=$N$8+Equity!$G$34,1,IF(AN8=$N$8+Equity!$G$34+Equity!$E$34,2,IF(AN8=$N$8+Equity!$G$34+Equity!$E$34+Equity!$E$34,3,IF(AN8=$N$8+Equity!$G$34+Equity!$E$34+Equity!$E$34+Equity!$E$34,4,IF(AN8=$N$8+Equity!$G$34+Equity!$E$34+Equity!$E$34+Equity!$E$34+Equity!$E$34,5,IF(AN8=$N$8+Equity!$G$34+Equity!$E$34+Equity!$E$34+Equity!$E$34+Equity!$E$34+Equity!$E$34,6,"")))))),"")</f>
        <v/>
      </c>
      <c r="AO32" s="1699" t="str">
        <f>IFERROR(IF(AO8=$N$8+Equity!$G$34,1,IF(AO8=$N$8+Equity!$G$34+Equity!$E$34,2,IF(AO8=$N$8+Equity!$G$34+Equity!$E$34+Equity!$E$34,3,IF(AO8=$N$8+Equity!$G$34+Equity!$E$34+Equity!$E$34+Equity!$E$34,4,IF(AO8=$N$8+Equity!$G$34+Equity!$E$34+Equity!$E$34+Equity!$E$34+Equity!$E$34,5,IF(AO8=$N$8+Equity!$G$34+Equity!$E$34+Equity!$E$34+Equity!$E$34+Equity!$E$34+Equity!$E$34,6,"")))))),"")</f>
        <v/>
      </c>
      <c r="AP32" s="1699" t="str">
        <f>IFERROR(IF(AP8=$N$8+Equity!$G$34,1,IF(AP8=$N$8+Equity!$G$34+Equity!$E$34,2,IF(AP8=$N$8+Equity!$G$34+Equity!$E$34+Equity!$E$34,3,IF(AP8=$N$8+Equity!$G$34+Equity!$E$34+Equity!$E$34+Equity!$E$34,4,IF(AP8=$N$8+Equity!$G$34+Equity!$E$34+Equity!$E$34+Equity!$E$34+Equity!$E$34,5,IF(AP8=$N$8+Equity!$G$34+Equity!$E$34+Equity!$E$34+Equity!$E$34+Equity!$E$34+Equity!$E$34,6,"")))))),"")</f>
        <v/>
      </c>
      <c r="AQ32" s="1699">
        <f>IFERROR(IF(AQ8=$N$8+Equity!$G$34,1,IF(AQ8=$N$8+Equity!$G$34+Equity!$E$34,2,IF(AQ8=$N$8+Equity!$G$34+Equity!$E$34+Equity!$E$34,3,IF(AQ8=$N$8+Equity!$G$34+Equity!$E$34+Equity!$E$34+Equity!$E$34,4,IF(AQ8=$N$8+Equity!$G$34+Equity!$E$34+Equity!$E$34+Equity!$E$34+Equity!$E$34,5,IF(AQ8=$N$8+Equity!$G$34+Equity!$E$34+Equity!$E$34+Equity!$E$34+Equity!$E$34+Equity!$E$34,6,"")))))),"")</f>
        <v>6</v>
      </c>
      <c r="AR32" s="1699" t="str">
        <f>IFERROR(IF(AR8=$N$8+Equity!$G$34,1,IF(AR8=$N$8+Equity!$G$34+Equity!$E$34,2,IF(AR8=$N$8+Equity!$G$34+Equity!$E$34+Equity!$E$34,3,IF(AR8=$N$8+Equity!$G$34+Equity!$E$34+Equity!$E$34+Equity!$E$34,4,IF(AR8=$N$8+Equity!$G$34+Equity!$E$34+Equity!$E$34+Equity!$E$34+Equity!$E$34,5,IF(AR8=$N$8+Equity!$G$34+Equity!$E$34+Equity!$E$34+Equity!$E$34+Equity!$E$34+Equity!$E$34,6,"")))))),"")</f>
        <v/>
      </c>
      <c r="AS32" s="1699" t="str">
        <f>IFERROR(IF(AS8=$N$8+Equity!$G$34,1,IF(AS8=$N$8+Equity!$G$34+Equity!$E$34,2,IF(AS8=$N$8+Equity!$G$34+Equity!$E$34+Equity!$E$34,3,IF(AS8=$N$8+Equity!$G$34+Equity!$E$34+Equity!$E$34+Equity!$E$34,4,IF(AS8=$N$8+Equity!$G$34+Equity!$E$34+Equity!$E$34+Equity!$E$34+Equity!$E$34,5,IF(AS8=$N$8+Equity!$G$34+Equity!$E$34+Equity!$E$34+Equity!$E$34+Equity!$E$34+Equity!$E$34,6,"")))))),"")</f>
        <v/>
      </c>
      <c r="AT32" s="1699" t="str">
        <f>IFERROR(IF(AT8=$N$8+Equity!$G$34,1,IF(AT8=$N$8+Equity!$G$34+Equity!$E$34,2,IF(AT8=$N$8+Equity!$G$34+Equity!$E$34+Equity!$E$34,3,IF(AT8=$N$8+Equity!$G$34+Equity!$E$34+Equity!$E$34+Equity!$E$34,4,IF(AT8=$N$8+Equity!$G$34+Equity!$E$34+Equity!$E$34+Equity!$E$34+Equity!$E$34,5,IF(AT8=$N$8+Equity!$G$34+Equity!$E$34+Equity!$E$34+Equity!$E$34+Equity!$E$34+Equity!$E$34,6,"")))))),"")</f>
        <v/>
      </c>
      <c r="AU32" s="1699" t="str">
        <f>IFERROR(IF(AU8=$N$8+Equity!$G$34,1,IF(AU8=$N$8+Equity!$G$34+Equity!$E$34,2,IF(AU8=$N$8+Equity!$G$34+Equity!$E$34+Equity!$E$34,3,IF(AU8=$N$8+Equity!$G$34+Equity!$E$34+Equity!$E$34+Equity!$E$34,4,IF(AU8=$N$8+Equity!$G$34+Equity!$E$34+Equity!$E$34+Equity!$E$34+Equity!$E$34,5,IF(AU8=$N$8+Equity!$G$34+Equity!$E$34+Equity!$E$34+Equity!$E$34+Equity!$E$34+Equity!$E$34,6,"")))))),"")</f>
        <v/>
      </c>
      <c r="AV32" s="1699" t="str">
        <f>IFERROR(IF(AV8=$N$8+Equity!$G$34,1,IF(AV8=$N$8+Equity!$G$34+Equity!$E$34,2,IF(AV8=$N$8+Equity!$G$34+Equity!$E$34+Equity!$E$34,3,IF(AV8=$N$8+Equity!$G$34+Equity!$E$34+Equity!$E$34+Equity!$E$34,4,IF(AV8=$N$8+Equity!$G$34+Equity!$E$34+Equity!$E$34+Equity!$E$34+Equity!$E$34,5,IF(AV8=$N$8+Equity!$G$34+Equity!$E$34+Equity!$E$34+Equity!$E$34+Equity!$E$34+Equity!$E$34,6,"")))))),"")</f>
        <v/>
      </c>
      <c r="AW32" s="1699" t="str">
        <f>IFERROR(IF(AW8=$N$8+Equity!$G$34,1,IF(AW8=$N$8+Equity!$G$34+Equity!$E$34,2,IF(AW8=$N$8+Equity!$G$34+Equity!$E$34+Equity!$E$34,3,IF(AW8=$N$8+Equity!$G$34+Equity!$E$34+Equity!$E$34+Equity!$E$34,4,IF(AW8=$N$8+Equity!$G$34+Equity!$E$34+Equity!$E$34+Equity!$E$34+Equity!$E$34,5,IF(AW8=$N$8+Equity!$G$34+Equity!$E$34+Equity!$E$34+Equity!$E$34+Equity!$E$34+Equity!$E$34,6,"")))))),"")</f>
        <v/>
      </c>
      <c r="AX32" s="1699" t="str">
        <f>IFERROR(IF(AX8=$N$8+Equity!$G$34,1,IF(AX8=$N$8+Equity!$G$34+Equity!$E$34,2,IF(AX8=$N$8+Equity!$G$34+Equity!$E$34+Equity!$E$34,3,IF(AX8=$N$8+Equity!$G$34+Equity!$E$34+Equity!$E$34+Equity!$E$34,4,IF(AX8=$N$8+Equity!$G$34+Equity!$E$34+Equity!$E$34+Equity!$E$34+Equity!$E$34,5,IF(AX8=$N$8+Equity!$G$34+Equity!$E$34+Equity!$E$34+Equity!$E$34+Equity!$E$34+Equity!$E$34,6,"")))))),"")</f>
        <v/>
      </c>
      <c r="AY32" s="1699" t="str">
        <f>IFERROR(IF(AY8=$N$8+Equity!$G$34,1,IF(AY8=$N$8+Equity!$G$34+Equity!$E$34,2,IF(AY8=$N$8+Equity!$G$34+Equity!$E$34+Equity!$E$34,3,IF(AY8=$N$8+Equity!$G$34+Equity!$E$34+Equity!$E$34+Equity!$E$34,4,IF(AY8=$N$8+Equity!$G$34+Equity!$E$34+Equity!$E$34+Equity!$E$34+Equity!$E$34,5,IF(AY8=$N$8+Equity!$G$34+Equity!$E$34+Equity!$E$34+Equity!$E$34+Equity!$E$34+Equity!$E$34,6,"")))))),"")</f>
        <v/>
      </c>
      <c r="AZ32" s="1699" t="str">
        <f>IFERROR(IF(AZ8=$N$8+Equity!$G$34,1,IF(AZ8=$N$8+Equity!$G$34+Equity!$E$34,2,IF(AZ8=$N$8+Equity!$G$34+Equity!$E$34+Equity!$E$34,3,IF(AZ8=$N$8+Equity!$G$34+Equity!$E$34+Equity!$E$34+Equity!$E$34,4,IF(AZ8=$N$8+Equity!$G$34+Equity!$E$34+Equity!$E$34+Equity!$E$34+Equity!$E$34,5,IF(AZ8=$N$8+Equity!$G$34+Equity!$E$34+Equity!$E$34+Equity!$E$34+Equity!$E$34+Equity!$E$34,6,"")))))),"")</f>
        <v/>
      </c>
      <c r="BA32" s="1699" t="str">
        <f>IFERROR(IF(BA8=$N$8+Equity!$G$34,1,IF(BA8=$N$8+Equity!$G$34+Equity!$E$34,2,IF(BA8=$N$8+Equity!$G$34+Equity!$E$34+Equity!$E$34,3,IF(BA8=$N$8+Equity!$G$34+Equity!$E$34+Equity!$E$34+Equity!$E$34,4,IF(BA8=$N$8+Equity!$G$34+Equity!$E$34+Equity!$E$34+Equity!$E$34+Equity!$E$34,5,IF(BA8=$N$8+Equity!$G$34+Equity!$E$34+Equity!$E$34+Equity!$E$34+Equity!$E$34+Equity!$E$34,6,"")))))),"")</f>
        <v/>
      </c>
      <c r="BB32" s="1699" t="str">
        <f>IFERROR(IF(BB8=$N$8+Equity!$G$34,1,IF(BB8=$N$8+Equity!$G$34+Equity!$E$34,2,IF(BB8=$N$8+Equity!$G$34+Equity!$E$34+Equity!$E$34,3,IF(BB8=$N$8+Equity!$G$34+Equity!$E$34+Equity!$E$34+Equity!$E$34,4,IF(BB8=$N$8+Equity!$G$34+Equity!$E$34+Equity!$E$34+Equity!$E$34+Equity!$E$34,5,IF(BB8=$N$8+Equity!$G$34+Equity!$E$34+Equity!$E$34+Equity!$E$34+Equity!$E$34+Equity!$E$34,6,"")))))),"")</f>
        <v/>
      </c>
      <c r="BC32" s="1699" t="str">
        <f>IFERROR(IF(BC8=$N$8+Equity!$G$34,1,IF(BC8=$N$8+Equity!$G$34+Equity!$E$34,2,IF(BC8=$N$8+Equity!$G$34+Equity!$E$34+Equity!$E$34,3,IF(BC8=$N$8+Equity!$G$34+Equity!$E$34+Equity!$E$34+Equity!$E$34,4,IF(BC8=$N$8+Equity!$G$34+Equity!$E$34+Equity!$E$34+Equity!$E$34+Equity!$E$34,5,IF(BC8=$N$8+Equity!$G$34+Equity!$E$34+Equity!$E$34+Equity!$E$34+Equity!$E$34+Equity!$E$34,6,"")))))),"")</f>
        <v/>
      </c>
      <c r="BD32" s="1699" t="str">
        <f>IFERROR(IF(BD8=$N$8+Equity!$G$34,1,IF(BD8=$N$8+Equity!$G$34+Equity!$E$34,2,IF(BD8=$N$8+Equity!$G$34+Equity!$E$34+Equity!$E$34,3,IF(BD8=$N$8+Equity!$G$34+Equity!$E$34+Equity!$E$34+Equity!$E$34,4,IF(BD8=$N$8+Equity!$G$34+Equity!$E$34+Equity!$E$34+Equity!$E$34+Equity!$E$34,5,IF(BD8=$N$8+Equity!$G$34+Equity!$E$34+Equity!$E$34+Equity!$E$34+Equity!$E$34+Equity!$E$34,6,"")))))),"")</f>
        <v/>
      </c>
      <c r="BE32" s="1699" t="str">
        <f>IFERROR(IF(BE8=$N$8+Equity!$G$34,1,IF(BE8=$N$8+Equity!$G$34+Equity!$E$34,2,IF(BE8=$N$8+Equity!$G$34+Equity!$E$34+Equity!$E$34,3,IF(BE8=$N$8+Equity!$G$34+Equity!$E$34+Equity!$E$34+Equity!$E$34,4,IF(BE8=$N$8+Equity!$G$34+Equity!$E$34+Equity!$E$34+Equity!$E$34+Equity!$E$34,5,IF(BE8=$N$8+Equity!$G$34+Equity!$E$34+Equity!$E$34+Equity!$E$34+Equity!$E$34+Equity!$E$34,6,"")))))),"")</f>
        <v/>
      </c>
      <c r="BF32" s="1699" t="str">
        <f>IFERROR(IF(BF8=$N$8+Equity!$G$34,1,IF(BF8=$N$8+Equity!$G$34+Equity!$E$34,2,IF(BF8=$N$8+Equity!$G$34+Equity!$E$34+Equity!$E$34,3,IF(BF8=$N$8+Equity!$G$34+Equity!$E$34+Equity!$E$34+Equity!$E$34,4,IF(BF8=$N$8+Equity!$G$34+Equity!$E$34+Equity!$E$34+Equity!$E$34+Equity!$E$34,5,IF(BF8=$N$8+Equity!$G$34+Equity!$E$34+Equity!$E$34+Equity!$E$34+Equity!$E$34+Equity!$E$34,6,"")))))),"")</f>
        <v/>
      </c>
      <c r="BG32" s="1699" t="str">
        <f>IFERROR(IF(BG8=$N$8+Equity!$G$34,1,IF(BG8=$N$8+Equity!$G$34+Equity!$E$34,2,IF(BG8=$N$8+Equity!$G$34+Equity!$E$34+Equity!$E$34,3,IF(BG8=$N$8+Equity!$G$34+Equity!$E$34+Equity!$E$34+Equity!$E$34,4,IF(BG8=$N$8+Equity!$G$34+Equity!$E$34+Equity!$E$34+Equity!$E$34+Equity!$E$34,5,IF(BG8=$N$8+Equity!$G$34+Equity!$E$34+Equity!$E$34+Equity!$E$34+Equity!$E$34+Equity!$E$34,6,"")))))),"")</f>
        <v/>
      </c>
      <c r="BH32" s="1699" t="str">
        <f>IFERROR(IF(BH8=$N$8+Equity!$G$34,1,IF(BH8=$N$8+Equity!$G$34+Equity!$E$34,2,IF(BH8=$N$8+Equity!$G$34+Equity!$E$34+Equity!$E$34,3,IF(BH8=$N$8+Equity!$G$34+Equity!$E$34+Equity!$E$34+Equity!$E$34,4,IF(BH8=$N$8+Equity!$G$34+Equity!$E$34+Equity!$E$34+Equity!$E$34+Equity!$E$34,5,IF(BH8=$N$8+Equity!$G$34+Equity!$E$34+Equity!$E$34+Equity!$E$34+Equity!$E$34+Equity!$E$34,6,"")))))),"")</f>
        <v/>
      </c>
      <c r="BI32" s="1699" t="str">
        <f>IFERROR(IF(BI8=$N$8+Equity!$G$34,1,IF(BI8=$N$8+Equity!$G$34+Equity!$E$34,2,IF(BI8=$N$8+Equity!$G$34+Equity!$E$34+Equity!$E$34,3,IF(BI8=$N$8+Equity!$G$34+Equity!$E$34+Equity!$E$34+Equity!$E$34,4,IF(BI8=$N$8+Equity!$G$34+Equity!$E$34+Equity!$E$34+Equity!$E$34+Equity!$E$34,5,IF(BI8=$N$8+Equity!$G$34+Equity!$E$34+Equity!$E$34+Equity!$E$34+Equity!$E$34+Equity!$E$34,6,"")))))),"")</f>
        <v/>
      </c>
      <c r="BJ32" s="1699" t="str">
        <f>IFERROR(IF(BJ8=$N$8+Equity!$G$34,1,IF(BJ8=$N$8+Equity!$G$34+Equity!$E$34,2,IF(BJ8=$N$8+Equity!$G$34+Equity!$E$34+Equity!$E$34,3,IF(BJ8=$N$8+Equity!$G$34+Equity!$E$34+Equity!$E$34+Equity!$E$34,4,IF(BJ8=$N$8+Equity!$G$34+Equity!$E$34+Equity!$E$34+Equity!$E$34+Equity!$E$34,5,IF(BJ8=$N$8+Equity!$G$34+Equity!$E$34+Equity!$E$34+Equity!$E$34+Equity!$E$34+Equity!$E$34,6,"")))))),"")</f>
        <v/>
      </c>
      <c r="BK32" s="1699" t="str">
        <f>IFERROR(IF(BK8=$N$8+Equity!$G$34,1,IF(BK8=$N$8+Equity!$G$34+Equity!$E$34,2,IF(BK8=$N$8+Equity!$G$34+Equity!$E$34+Equity!$E$34,3,IF(BK8=$N$8+Equity!$G$34+Equity!$E$34+Equity!$E$34+Equity!$E$34,4,IF(BK8=$N$8+Equity!$G$34+Equity!$E$34+Equity!$E$34+Equity!$E$34+Equity!$E$34,5,IF(BK8=$N$8+Equity!$G$34+Equity!$E$34+Equity!$E$34+Equity!$E$34+Equity!$E$34+Equity!$E$34,6,"")))))),"")</f>
        <v/>
      </c>
      <c r="BL32" s="1699" t="str">
        <f>IFERROR(IF(BL8=$N$8+Equity!$G$34,1,IF(BL8=$N$8+Equity!$G$34+Equity!$E$34,2,IF(BL8=$N$8+Equity!$G$34+Equity!$E$34+Equity!$E$34,3,IF(BL8=$N$8+Equity!$G$34+Equity!$E$34+Equity!$E$34+Equity!$E$34,4,IF(BL8=$N$8+Equity!$G$34+Equity!$E$34+Equity!$E$34+Equity!$E$34+Equity!$E$34,5,IF(BL8=$N$8+Equity!$G$34+Equity!$E$34+Equity!$E$34+Equity!$E$34+Equity!$E$34+Equity!$E$34,6,"")))))),"")</f>
        <v/>
      </c>
      <c r="BM32" s="1699" t="str">
        <f>IFERROR(IF(BM8=$N$8+Equity!$G$34,1,IF(BM8=$N$8+Equity!$G$34+Equity!$E$34,2,IF(BM8=$N$8+Equity!$G$34+Equity!$E$34+Equity!$E$34,3,IF(BM8=$N$8+Equity!$G$34+Equity!$E$34+Equity!$E$34+Equity!$E$34,4,IF(BM8=$N$8+Equity!$G$34+Equity!$E$34+Equity!$E$34+Equity!$E$34+Equity!$E$34,5,IF(BM8=$N$8+Equity!$G$34+Equity!$E$34+Equity!$E$34+Equity!$E$34+Equity!$E$34+Equity!$E$34,6,"")))))),"")</f>
        <v/>
      </c>
      <c r="BN32" s="1699" t="str">
        <f>IFERROR(IF(BN8=$N$8+Equity!$G$34,1,IF(BN8=$N$8+Equity!$G$34+Equity!$E$34,2,IF(BN8=$N$8+Equity!$G$34+Equity!$E$34+Equity!$E$34,3,IF(BN8=$N$8+Equity!$G$34+Equity!$E$34+Equity!$E$34+Equity!$E$34,4,IF(BN8=$N$8+Equity!$G$34+Equity!$E$34+Equity!$E$34+Equity!$E$34+Equity!$E$34,5,IF(BN8=$N$8+Equity!$G$34+Equity!$E$34+Equity!$E$34+Equity!$E$34+Equity!$E$34+Equity!$E$34,6,"")))))),"")</f>
        <v/>
      </c>
      <c r="BO32" s="1699" t="str">
        <f>IFERROR(IF(BO8=$N$8+Equity!$G$34,1,IF(BO8=$N$8+Equity!$G$34+Equity!$E$34,2,IF(BO8=$N$8+Equity!$G$34+Equity!$E$34+Equity!$E$34,3,IF(BO8=$N$8+Equity!$G$34+Equity!$E$34+Equity!$E$34+Equity!$E$34,4,IF(BO8=$N$8+Equity!$G$34+Equity!$E$34+Equity!$E$34+Equity!$E$34+Equity!$E$34,5,IF(BO8=$N$8+Equity!$G$34+Equity!$E$34+Equity!$E$34+Equity!$E$34+Equity!$E$34+Equity!$E$34,6,"")))))),"")</f>
        <v/>
      </c>
      <c r="BP32" s="1699" t="str">
        <f>IFERROR(IF(BP8=$N$8+Equity!$G$34,1,IF(BP8=$N$8+Equity!$G$34+Equity!$E$34,2,IF(BP8=$N$8+Equity!$G$34+Equity!$E$34+Equity!$E$34,3,IF(BP8=$N$8+Equity!$G$34+Equity!$E$34+Equity!$E$34+Equity!$E$34,4,IF(BP8=$N$8+Equity!$G$34+Equity!$E$34+Equity!$E$34+Equity!$E$34+Equity!$E$34,5,IF(BP8=$N$8+Equity!$G$34+Equity!$E$34+Equity!$E$34+Equity!$E$34+Equity!$E$34+Equity!$E$34,6,"")))))),"")</f>
        <v/>
      </c>
      <c r="BQ32" s="1699" t="str">
        <f>IFERROR(IF(BQ8=$N$8+Equity!$G$34,1,IF(BQ8=$N$8+Equity!$G$34+Equity!$E$34,2,IF(BQ8=$N$8+Equity!$G$34+Equity!$E$34+Equity!$E$34,3,IF(BQ8=$N$8+Equity!$G$34+Equity!$E$34+Equity!$E$34+Equity!$E$34,4,IF(BQ8=$N$8+Equity!$G$34+Equity!$E$34+Equity!$E$34+Equity!$E$34+Equity!$E$34,5,IF(BQ8=$N$8+Equity!$G$34+Equity!$E$34+Equity!$E$34+Equity!$E$34+Equity!$E$34+Equity!$E$34,6,"")))))),"")</f>
        <v/>
      </c>
      <c r="BR32" s="1699" t="str">
        <f>IFERROR(IF(BR8=$N$8+Equity!$G$34,1,IF(BR8=$N$8+Equity!$G$34+Equity!$E$34,2,IF(BR8=$N$8+Equity!$G$34+Equity!$E$34+Equity!$E$34,3,IF(BR8=$N$8+Equity!$G$34+Equity!$E$34+Equity!$E$34+Equity!$E$34,4,IF(BR8=$N$8+Equity!$G$34+Equity!$E$34+Equity!$E$34+Equity!$E$34+Equity!$E$34,5,IF(BR8=$N$8+Equity!$G$34+Equity!$E$34+Equity!$E$34+Equity!$E$34+Equity!$E$34+Equity!$E$34,6,"")))))),"")</f>
        <v/>
      </c>
      <c r="BS32" s="1699" t="str">
        <f>IFERROR(IF(BS8=$N$8+Equity!$G$34,1,IF(BS8=$N$8+Equity!$G$34+Equity!$E$34,2,IF(BS8=$N$8+Equity!$G$34+Equity!$E$34+Equity!$E$34,3,IF(BS8=$N$8+Equity!$G$34+Equity!$E$34+Equity!$E$34+Equity!$E$34,4,IF(BS8=$N$8+Equity!$G$34+Equity!$E$34+Equity!$E$34+Equity!$E$34+Equity!$E$34,5,IF(BS8=$N$8+Equity!$G$34+Equity!$E$34+Equity!$E$34+Equity!$E$34+Equity!$E$34+Equity!$E$34,6,"")))))),"")</f>
        <v/>
      </c>
      <c r="BT32" s="1699" t="str">
        <f>IFERROR(IF(BT8=$N$8+Equity!$G$34,1,IF(BT8=$N$8+Equity!$G$34+Equity!$E$34,2,IF(BT8=$N$8+Equity!$G$34+Equity!$E$34+Equity!$E$34,3,IF(BT8=$N$8+Equity!$G$34+Equity!$E$34+Equity!$E$34+Equity!$E$34,4,IF(BT8=$N$8+Equity!$G$34+Equity!$E$34+Equity!$E$34+Equity!$E$34+Equity!$E$34,5,IF(BT8=$N$8+Equity!$G$34+Equity!$E$34+Equity!$E$34+Equity!$E$34+Equity!$E$34+Equity!$E$34,6,"")))))),"")</f>
        <v/>
      </c>
      <c r="BU32" s="1699" t="str">
        <f>IFERROR(IF(BU8=$N$8+Equity!$G$34,1,IF(BU8=$N$8+Equity!$G$34+Equity!$E$34,2,IF(BU8=$N$8+Equity!$G$34+Equity!$E$34+Equity!$E$34,3,IF(BU8=$N$8+Equity!$G$34+Equity!$E$34+Equity!$E$34+Equity!$E$34,4,IF(BU8=$N$8+Equity!$G$34+Equity!$E$34+Equity!$E$34+Equity!$E$34+Equity!$E$34,5,IF(BU8=$N$8+Equity!$G$34+Equity!$E$34+Equity!$E$34+Equity!$E$34+Equity!$E$34+Equity!$E$34,6,"")))))),"")</f>
        <v/>
      </c>
      <c r="BV32" s="1699"/>
      <c r="BW32" s="1699"/>
      <c r="BX32" s="1699"/>
      <c r="BY32" s="976"/>
      <c r="BZ32" s="998"/>
    </row>
    <row r="33" spans="2:89">
      <c r="B33" s="773" t="s">
        <v>1234</v>
      </c>
      <c r="C33" s="1890"/>
      <c r="D33" s="1023"/>
      <c r="E33" s="1023"/>
      <c r="F33" s="1024"/>
      <c r="G33" s="1024"/>
      <c r="H33" s="1025"/>
      <c r="I33" s="1025"/>
      <c r="J33" s="1025"/>
      <c r="K33" s="1026">
        <f>비용집행계획!F29</f>
        <v>0</v>
      </c>
      <c r="L33" s="1026">
        <f>비용집행계획!G29</f>
        <v>0</v>
      </c>
      <c r="M33" s="1026">
        <f>비용집행계획!H29</f>
        <v>0</v>
      </c>
      <c r="N33" s="1026">
        <f>비용집행계획!I29</f>
        <v>0</v>
      </c>
      <c r="O33" s="1026">
        <f>비용집행계획!J29</f>
        <v>0</v>
      </c>
      <c r="P33" s="1026">
        <f>비용집행계획!K29</f>
        <v>0</v>
      </c>
      <c r="Q33" s="1026">
        <f>비용집행계획!L29</f>
        <v>0</v>
      </c>
      <c r="R33" s="1026">
        <f>비용집행계획!M29</f>
        <v>0</v>
      </c>
      <c r="S33" s="1026">
        <f>비용집행계획!N29</f>
        <v>0</v>
      </c>
      <c r="T33" s="1026">
        <f>비용집행계획!O29</f>
        <v>0</v>
      </c>
      <c r="U33" s="1026">
        <f>비용집행계획!P29</f>
        <v>0</v>
      </c>
      <c r="V33" s="1026">
        <f>비용집행계획!Q29</f>
        <v>0</v>
      </c>
      <c r="W33" s="1026">
        <f>비용집행계획!R29</f>
        <v>0</v>
      </c>
      <c r="X33" s="1026">
        <f>비용집행계획!S29</f>
        <v>0</v>
      </c>
      <c r="Y33" s="1026">
        <f>비용집행계획!T29</f>
        <v>0</v>
      </c>
      <c r="Z33" s="1026">
        <f>비용집행계획!U29</f>
        <v>0</v>
      </c>
      <c r="AA33" s="1026">
        <f>비용집행계획!V29</f>
        <v>0</v>
      </c>
      <c r="AB33" s="1026">
        <f>비용집행계획!W29</f>
        <v>0</v>
      </c>
      <c r="AC33" s="1026">
        <f>비용집행계획!X29</f>
        <v>0</v>
      </c>
      <c r="AD33" s="1026">
        <f>비용집행계획!Y29</f>
        <v>0</v>
      </c>
      <c r="AE33" s="1026">
        <f>비용집행계획!Z29</f>
        <v>0</v>
      </c>
      <c r="AF33" s="1026">
        <f>비용집행계획!AA29</f>
        <v>0</v>
      </c>
      <c r="AG33" s="1026">
        <f>비용집행계획!AB29</f>
        <v>0</v>
      </c>
      <c r="AH33" s="1026">
        <f>비용집행계획!AC29</f>
        <v>0</v>
      </c>
      <c r="AI33" s="1026">
        <f>비용집행계획!AD29</f>
        <v>0</v>
      </c>
      <c r="AJ33" s="1026">
        <f>비용집행계획!AE29</f>
        <v>0</v>
      </c>
      <c r="AK33" s="1026">
        <f>비용집행계획!AF29</f>
        <v>0</v>
      </c>
      <c r="AL33" s="1026">
        <f>비용집행계획!AG29</f>
        <v>0</v>
      </c>
      <c r="AM33" s="1026">
        <f>비용집행계획!AH29</f>
        <v>0</v>
      </c>
      <c r="AN33" s="1026">
        <f>비용집행계획!AI29</f>
        <v>0</v>
      </c>
      <c r="AO33" s="1026">
        <f>비용집행계획!AJ29</f>
        <v>0</v>
      </c>
      <c r="AP33" s="1026">
        <f>비용집행계획!AK29</f>
        <v>0</v>
      </c>
      <c r="AQ33" s="1026">
        <f>비용집행계획!AL29</f>
        <v>0</v>
      </c>
      <c r="AR33" s="1026">
        <f>비용집행계획!AM29</f>
        <v>0</v>
      </c>
      <c r="AS33" s="1026">
        <f>비용집행계획!AN29</f>
        <v>0</v>
      </c>
      <c r="AT33" s="1026">
        <f>비용집행계획!AO29</f>
        <v>0</v>
      </c>
      <c r="AU33" s="1026">
        <f>비용집행계획!AP29</f>
        <v>0</v>
      </c>
      <c r="AV33" s="1026">
        <f>비용집행계획!AQ29</f>
        <v>0</v>
      </c>
      <c r="AW33" s="1026">
        <f>비용집행계획!AR29</f>
        <v>0</v>
      </c>
      <c r="AX33" s="1026">
        <f>비용집행계획!AS29</f>
        <v>0</v>
      </c>
      <c r="AY33" s="1026">
        <f>비용집행계획!AT29</f>
        <v>0</v>
      </c>
      <c r="AZ33" s="1026">
        <f>비용집행계획!AU29</f>
        <v>0</v>
      </c>
      <c r="BA33" s="1026">
        <f>비용집행계획!AV29</f>
        <v>0</v>
      </c>
      <c r="BB33" s="1026">
        <f>비용집행계획!AW29</f>
        <v>0</v>
      </c>
      <c r="BC33" s="1026">
        <f>비용집행계획!AX29</f>
        <v>0</v>
      </c>
      <c r="BD33" s="1026">
        <f>비용집행계획!AY29</f>
        <v>0</v>
      </c>
      <c r="BE33" s="1026">
        <f>비용집행계획!AZ29</f>
        <v>0</v>
      </c>
      <c r="BF33" s="1026">
        <f>비용집행계획!BA29</f>
        <v>0</v>
      </c>
      <c r="BG33" s="1026">
        <f>비용집행계획!BB29</f>
        <v>0</v>
      </c>
      <c r="BH33" s="1026">
        <f>비용집행계획!BC29</f>
        <v>0</v>
      </c>
      <c r="BI33" s="1026">
        <f>비용집행계획!BD29</f>
        <v>0</v>
      </c>
      <c r="BJ33" s="1026">
        <f>비용집행계획!BE29</f>
        <v>0</v>
      </c>
      <c r="BK33" s="1026">
        <f>비용집행계획!BF29</f>
        <v>0</v>
      </c>
      <c r="BL33" s="1026">
        <f>비용집행계획!BG29</f>
        <v>0</v>
      </c>
      <c r="BM33" s="1026">
        <f>비용집행계획!BH29</f>
        <v>0</v>
      </c>
      <c r="BN33" s="1026">
        <f>비용집행계획!BI29</f>
        <v>0</v>
      </c>
      <c r="BO33" s="1026">
        <f>비용집행계획!BJ29</f>
        <v>0</v>
      </c>
      <c r="BP33" s="1026">
        <f>비용집행계획!BK29</f>
        <v>0</v>
      </c>
      <c r="BQ33" s="1026">
        <f>비용집행계획!BL29</f>
        <v>0</v>
      </c>
      <c r="BR33" s="1026">
        <f>비용집행계획!BM29</f>
        <v>0</v>
      </c>
      <c r="BS33" s="1026">
        <f>비용집행계획!BN29</f>
        <v>0</v>
      </c>
      <c r="BT33" s="1026">
        <f>비용집행계획!BO29</f>
        <v>0</v>
      </c>
      <c r="BU33" s="1026">
        <f>비용집행계획!BP29</f>
        <v>0</v>
      </c>
      <c r="BV33" s="1026"/>
      <c r="BW33" s="1026"/>
      <c r="BX33" s="1026"/>
      <c r="BY33" s="985"/>
    </row>
    <row r="34" spans="2:89">
      <c r="B34" s="776" t="s">
        <v>1031</v>
      </c>
      <c r="C34" s="1891"/>
      <c r="D34" s="1027"/>
      <c r="E34" s="1027"/>
      <c r="F34" s="1024"/>
      <c r="G34" s="1024"/>
      <c r="H34" s="1025"/>
      <c r="I34" s="1025"/>
      <c r="J34" s="1025"/>
      <c r="K34" s="1028">
        <f>K33</f>
        <v>0</v>
      </c>
      <c r="L34" s="1028">
        <f>L33+K34</f>
        <v>0</v>
      </c>
      <c r="M34" s="1028">
        <f t="shared" ref="M34:AP34" si="75">L34+M33</f>
        <v>0</v>
      </c>
      <c r="N34" s="1028">
        <f t="shared" si="75"/>
        <v>0</v>
      </c>
      <c r="O34" s="1028">
        <f t="shared" si="75"/>
        <v>0</v>
      </c>
      <c r="P34" s="1028">
        <f t="shared" si="75"/>
        <v>0</v>
      </c>
      <c r="Q34" s="1028">
        <f t="shared" si="75"/>
        <v>0</v>
      </c>
      <c r="R34" s="1028">
        <f t="shared" si="75"/>
        <v>0</v>
      </c>
      <c r="S34" s="1028">
        <f t="shared" si="75"/>
        <v>0</v>
      </c>
      <c r="T34" s="1028">
        <f t="shared" si="75"/>
        <v>0</v>
      </c>
      <c r="U34" s="1028">
        <f t="shared" si="75"/>
        <v>0</v>
      </c>
      <c r="V34" s="1028">
        <f t="shared" si="75"/>
        <v>0</v>
      </c>
      <c r="W34" s="1028">
        <f t="shared" si="75"/>
        <v>0</v>
      </c>
      <c r="X34" s="1028">
        <f t="shared" si="75"/>
        <v>0</v>
      </c>
      <c r="Y34" s="1028">
        <f t="shared" si="75"/>
        <v>0</v>
      </c>
      <c r="Z34" s="1028">
        <f t="shared" si="75"/>
        <v>0</v>
      </c>
      <c r="AA34" s="1028">
        <f t="shared" si="75"/>
        <v>0</v>
      </c>
      <c r="AB34" s="1028">
        <f t="shared" si="75"/>
        <v>0</v>
      </c>
      <c r="AC34" s="1028">
        <f t="shared" si="75"/>
        <v>0</v>
      </c>
      <c r="AD34" s="1028">
        <f t="shared" si="75"/>
        <v>0</v>
      </c>
      <c r="AE34" s="1028">
        <f t="shared" si="75"/>
        <v>0</v>
      </c>
      <c r="AF34" s="1028">
        <f t="shared" si="75"/>
        <v>0</v>
      </c>
      <c r="AG34" s="1028">
        <f t="shared" si="75"/>
        <v>0</v>
      </c>
      <c r="AH34" s="1028">
        <f t="shared" si="75"/>
        <v>0</v>
      </c>
      <c r="AI34" s="1028">
        <f t="shared" si="75"/>
        <v>0</v>
      </c>
      <c r="AJ34" s="1028">
        <f t="shared" si="75"/>
        <v>0</v>
      </c>
      <c r="AK34" s="1028">
        <f t="shared" si="75"/>
        <v>0</v>
      </c>
      <c r="AL34" s="1028">
        <f t="shared" si="75"/>
        <v>0</v>
      </c>
      <c r="AM34" s="1028">
        <f t="shared" si="75"/>
        <v>0</v>
      </c>
      <c r="AN34" s="1028">
        <f t="shared" si="75"/>
        <v>0</v>
      </c>
      <c r="AO34" s="1028">
        <f t="shared" si="75"/>
        <v>0</v>
      </c>
      <c r="AP34" s="1028">
        <f t="shared" si="75"/>
        <v>0</v>
      </c>
      <c r="AQ34" s="1029">
        <f t="shared" ref="AQ34:AV34" si="76">AP34+AQ33</f>
        <v>0</v>
      </c>
      <c r="AR34" s="1028">
        <f t="shared" si="76"/>
        <v>0</v>
      </c>
      <c r="AS34" s="1028">
        <f t="shared" si="76"/>
        <v>0</v>
      </c>
      <c r="AT34" s="1028">
        <f t="shared" si="76"/>
        <v>0</v>
      </c>
      <c r="AU34" s="1028">
        <f t="shared" si="76"/>
        <v>0</v>
      </c>
      <c r="AV34" s="1028">
        <f t="shared" si="76"/>
        <v>0</v>
      </c>
      <c r="AW34" s="1028">
        <f>AU34+AW33</f>
        <v>0</v>
      </c>
      <c r="AX34" s="1028">
        <f>AW34+AX33</f>
        <v>0</v>
      </c>
      <c r="AY34" s="1028">
        <f>AX34+AY33</f>
        <v>0</v>
      </c>
      <c r="AZ34" s="1028">
        <f>AY34+AZ33</f>
        <v>0</v>
      </c>
      <c r="BA34" s="1028">
        <f>AZ34+BA33</f>
        <v>0</v>
      </c>
      <c r="BB34" s="1028">
        <f>AZ34+BB33</f>
        <v>0</v>
      </c>
      <c r="BC34" s="1028">
        <f>BB34+BC33</f>
        <v>0</v>
      </c>
      <c r="BD34" s="1028">
        <f>BC34+BD33</f>
        <v>0</v>
      </c>
      <c r="BE34" s="1028">
        <f>BD34+BE33</f>
        <v>0</v>
      </c>
      <c r="BF34" s="1028">
        <f t="shared" ref="BF34:BU34" si="77">BE34+BF33</f>
        <v>0</v>
      </c>
      <c r="BG34" s="1028">
        <f t="shared" si="77"/>
        <v>0</v>
      </c>
      <c r="BH34" s="1028">
        <f t="shared" si="77"/>
        <v>0</v>
      </c>
      <c r="BI34" s="1028">
        <f t="shared" si="77"/>
        <v>0</v>
      </c>
      <c r="BJ34" s="1028">
        <f t="shared" si="77"/>
        <v>0</v>
      </c>
      <c r="BK34" s="1028">
        <f t="shared" si="77"/>
        <v>0</v>
      </c>
      <c r="BL34" s="1028">
        <f t="shared" si="77"/>
        <v>0</v>
      </c>
      <c r="BM34" s="1028">
        <f t="shared" si="77"/>
        <v>0</v>
      </c>
      <c r="BN34" s="1028">
        <f t="shared" si="77"/>
        <v>0</v>
      </c>
      <c r="BO34" s="1028">
        <f t="shared" si="77"/>
        <v>0</v>
      </c>
      <c r="BP34" s="1028">
        <f t="shared" si="77"/>
        <v>0</v>
      </c>
      <c r="BQ34" s="1028">
        <f t="shared" si="77"/>
        <v>0</v>
      </c>
      <c r="BR34" s="1028">
        <f t="shared" si="77"/>
        <v>0</v>
      </c>
      <c r="BS34" s="1028">
        <f t="shared" si="77"/>
        <v>0</v>
      </c>
      <c r="BT34" s="1028">
        <f t="shared" si="77"/>
        <v>0</v>
      </c>
      <c r="BU34" s="1028">
        <f t="shared" si="77"/>
        <v>0</v>
      </c>
      <c r="BV34" s="1028">
        <f t="shared" ref="BV34" si="78">BU34+BV33</f>
        <v>0</v>
      </c>
      <c r="BW34" s="1028">
        <f t="shared" ref="BW34" si="79">BV34+BW33</f>
        <v>0</v>
      </c>
      <c r="BX34" s="1028">
        <f t="shared" ref="BX34" si="80">BW34+BX33</f>
        <v>0</v>
      </c>
      <c r="BY34" s="976"/>
    </row>
    <row r="35" spans="2:89" s="957" customFormat="1" ht="15.6">
      <c r="B35" s="963"/>
      <c r="C35" s="963"/>
      <c r="F35" s="998"/>
      <c r="G35" s="998"/>
      <c r="H35" s="998"/>
      <c r="I35" s="998"/>
      <c r="J35" s="998"/>
      <c r="K35" s="998"/>
      <c r="L35" s="999"/>
      <c r="M35" s="999"/>
      <c r="N35" s="1749">
        <f>IF(N10&lt;7,1,)</f>
        <v>0</v>
      </c>
      <c r="O35" s="1749">
        <f>IF(O10&lt;7,1,)</f>
        <v>0</v>
      </c>
      <c r="P35" s="1749">
        <f>IF(P10&lt;7,1,)</f>
        <v>0</v>
      </c>
      <c r="Q35" s="1749">
        <f t="shared" ref="Q35:Y35" si="81">IF(Q10&lt;7,1,)</f>
        <v>0</v>
      </c>
      <c r="R35" s="1749">
        <f t="shared" si="81"/>
        <v>1</v>
      </c>
      <c r="S35" s="1749">
        <f t="shared" si="81"/>
        <v>0</v>
      </c>
      <c r="T35" s="1749">
        <f t="shared" si="81"/>
        <v>0</v>
      </c>
      <c r="U35" s="1749">
        <f t="shared" si="81"/>
        <v>0</v>
      </c>
      <c r="V35" s="1749">
        <f t="shared" si="81"/>
        <v>1</v>
      </c>
      <c r="W35" s="1749">
        <f t="shared" si="81"/>
        <v>0</v>
      </c>
      <c r="X35" s="1749">
        <f t="shared" si="81"/>
        <v>0</v>
      </c>
      <c r="Y35" s="1749">
        <f t="shared" si="81"/>
        <v>0</v>
      </c>
      <c r="Z35" s="1749">
        <f t="shared" ref="Z35:BB35" si="82">IF(Z10&lt;7,1,)</f>
        <v>1</v>
      </c>
      <c r="AA35" s="1749">
        <f t="shared" si="82"/>
        <v>0</v>
      </c>
      <c r="AB35" s="1749">
        <f t="shared" si="82"/>
        <v>0</v>
      </c>
      <c r="AC35" s="1749">
        <f t="shared" si="82"/>
        <v>0</v>
      </c>
      <c r="AD35" s="1749">
        <f t="shared" si="82"/>
        <v>1</v>
      </c>
      <c r="AE35" s="1749">
        <f t="shared" si="82"/>
        <v>0</v>
      </c>
      <c r="AF35" s="1749">
        <f t="shared" si="82"/>
        <v>0</v>
      </c>
      <c r="AG35" s="1749">
        <f t="shared" si="82"/>
        <v>0</v>
      </c>
      <c r="AH35" s="1749">
        <f t="shared" si="82"/>
        <v>1</v>
      </c>
      <c r="AI35" s="1749">
        <f t="shared" si="82"/>
        <v>0</v>
      </c>
      <c r="AJ35" s="1749">
        <f t="shared" si="82"/>
        <v>0</v>
      </c>
      <c r="AK35" s="1749">
        <f t="shared" si="82"/>
        <v>0</v>
      </c>
      <c r="AL35" s="1749">
        <f t="shared" si="82"/>
        <v>1</v>
      </c>
      <c r="AM35" s="1749">
        <f t="shared" si="82"/>
        <v>0</v>
      </c>
      <c r="AN35" s="1749">
        <f t="shared" si="82"/>
        <v>0</v>
      </c>
      <c r="AO35" s="1749">
        <f t="shared" si="82"/>
        <v>0</v>
      </c>
      <c r="AP35" s="1749">
        <f t="shared" si="82"/>
        <v>0</v>
      </c>
      <c r="AQ35" s="1749">
        <f t="shared" si="82"/>
        <v>0</v>
      </c>
      <c r="AR35" s="1749">
        <f t="shared" si="82"/>
        <v>0</v>
      </c>
      <c r="AS35" s="1749">
        <f t="shared" si="82"/>
        <v>0</v>
      </c>
      <c r="AT35" s="1749">
        <f t="shared" si="82"/>
        <v>0</v>
      </c>
      <c r="AU35" s="1749">
        <f t="shared" si="82"/>
        <v>0</v>
      </c>
      <c r="AV35" s="1749">
        <f t="shared" si="82"/>
        <v>0</v>
      </c>
      <c r="AW35" s="1749">
        <f t="shared" si="82"/>
        <v>0</v>
      </c>
      <c r="AX35" s="1749">
        <f t="shared" si="82"/>
        <v>0</v>
      </c>
      <c r="AY35" s="1749">
        <f t="shared" si="82"/>
        <v>0</v>
      </c>
      <c r="AZ35" s="1749">
        <f t="shared" si="82"/>
        <v>0</v>
      </c>
      <c r="BA35" s="1749">
        <f t="shared" si="82"/>
        <v>0</v>
      </c>
      <c r="BB35" s="1749">
        <f t="shared" si="82"/>
        <v>0</v>
      </c>
      <c r="BC35" s="999"/>
      <c r="BD35" s="999"/>
      <c r="BE35" s="999"/>
      <c r="BF35" s="999"/>
      <c r="BG35" s="999"/>
      <c r="BH35" s="999"/>
      <c r="BI35" s="999"/>
      <c r="BJ35" s="999"/>
      <c r="BK35" s="999"/>
      <c r="BL35" s="999"/>
      <c r="BM35" s="999"/>
      <c r="BN35" s="999"/>
      <c r="BO35" s="999"/>
      <c r="BP35" s="999"/>
      <c r="BQ35" s="999"/>
      <c r="BR35" s="999"/>
      <c r="BS35" s="999"/>
      <c r="BT35" s="999"/>
      <c r="BU35" s="999"/>
      <c r="BV35" s="1030"/>
      <c r="BW35" s="1030"/>
      <c r="BX35" s="1030"/>
      <c r="BY35" s="976"/>
      <c r="BZ35" s="998"/>
    </row>
    <row r="36" spans="2:89">
      <c r="B36" s="1232" t="s">
        <v>1267</v>
      </c>
      <c r="C36" s="1232"/>
      <c r="D36" s="1232"/>
      <c r="E36" s="1233">
        <f>총괄장!W15</f>
        <v>0</v>
      </c>
      <c r="F36" s="1038"/>
      <c r="G36" s="1057"/>
      <c r="H36" s="1057"/>
      <c r="I36" s="1057"/>
      <c r="J36" s="1057">
        <f>J150</f>
        <v>0</v>
      </c>
      <c r="K36" s="1057">
        <f>K150</f>
        <v>0</v>
      </c>
      <c r="L36" s="1057">
        <f>L150</f>
        <v>0</v>
      </c>
      <c r="M36" s="1057">
        <f>M150</f>
        <v>0</v>
      </c>
      <c r="N36" s="1057">
        <f>N150</f>
        <v>2512866.646224</v>
      </c>
      <c r="O36" s="1057">
        <f t="shared" ref="O36:BX36" si="83">O150</f>
        <v>1884649.9846679997</v>
      </c>
      <c r="P36" s="1057">
        <f t="shared" si="83"/>
        <v>1507719.9877344</v>
      </c>
      <c r="Q36" s="1057">
        <f t="shared" si="83"/>
        <v>1256433.323112</v>
      </c>
      <c r="R36" s="1057">
        <f t="shared" si="83"/>
        <v>8943578.2309895996</v>
      </c>
      <c r="S36" s="1057">
        <f t="shared" si="83"/>
        <v>1734411.3416784003</v>
      </c>
      <c r="T36" s="1057">
        <f t="shared" si="83"/>
        <v>1486638.2928672007</v>
      </c>
      <c r="U36" s="1057">
        <f t="shared" si="83"/>
        <v>1238865.2440560001</v>
      </c>
      <c r="V36" s="1057">
        <f t="shared" si="83"/>
        <v>11986280.296056001</v>
      </c>
      <c r="W36" s="1057">
        <f t="shared" si="83"/>
        <v>1479611.0612448023</v>
      </c>
      <c r="X36" s="1057">
        <f t="shared" si="83"/>
        <v>1479611.0612447993</v>
      </c>
      <c r="Y36" s="1057">
        <f t="shared" si="83"/>
        <v>1479611.0612448023</v>
      </c>
      <c r="Z36" s="1057">
        <f t="shared" si="83"/>
        <v>12212971.650000002</v>
      </c>
      <c r="AA36" s="1057">
        <f t="shared" si="83"/>
        <v>0</v>
      </c>
      <c r="AB36" s="1057">
        <f t="shared" si="83"/>
        <v>0</v>
      </c>
      <c r="AC36" s="1057">
        <f t="shared" si="83"/>
        <v>0</v>
      </c>
      <c r="AD36" s="1057">
        <f t="shared" si="83"/>
        <v>12212971.650000002</v>
      </c>
      <c r="AE36" s="1057">
        <f t="shared" si="83"/>
        <v>0</v>
      </c>
      <c r="AF36" s="1057">
        <f t="shared" si="83"/>
        <v>0</v>
      </c>
      <c r="AG36" s="1057">
        <f t="shared" si="83"/>
        <v>0</v>
      </c>
      <c r="AH36" s="1057">
        <f t="shared" si="83"/>
        <v>12212971.650000002</v>
      </c>
      <c r="AI36" s="1057">
        <f t="shared" si="83"/>
        <v>0</v>
      </c>
      <c r="AJ36" s="1057">
        <f t="shared" si="83"/>
        <v>0</v>
      </c>
      <c r="AK36" s="1057">
        <f t="shared" si="83"/>
        <v>76665.600000000006</v>
      </c>
      <c r="AL36" s="1057">
        <f t="shared" si="83"/>
        <v>12232138.050000001</v>
      </c>
      <c r="AM36" s="1057">
        <f t="shared" si="83"/>
        <v>95832</v>
      </c>
      <c r="AN36" s="1057">
        <f t="shared" si="83"/>
        <v>0</v>
      </c>
      <c r="AO36" s="1057">
        <f t="shared" si="83"/>
        <v>143748</v>
      </c>
      <c r="AP36" s="1057">
        <f t="shared" si="83"/>
        <v>0</v>
      </c>
      <c r="AQ36" s="1057">
        <f t="shared" si="83"/>
        <v>143748</v>
      </c>
      <c r="AR36" s="1057">
        <f t="shared" si="83"/>
        <v>0</v>
      </c>
      <c r="AS36" s="1057">
        <f t="shared" si="83"/>
        <v>0</v>
      </c>
      <c r="AT36" s="1057">
        <f t="shared" si="83"/>
        <v>0</v>
      </c>
      <c r="AU36" s="1057">
        <f t="shared" si="83"/>
        <v>0</v>
      </c>
      <c r="AV36" s="1057">
        <f t="shared" si="83"/>
        <v>0</v>
      </c>
      <c r="AW36" s="1057">
        <f t="shared" si="83"/>
        <v>0</v>
      </c>
      <c r="AX36" s="1057">
        <f t="shared" si="83"/>
        <v>0</v>
      </c>
      <c r="AY36" s="1057">
        <f t="shared" si="83"/>
        <v>0</v>
      </c>
      <c r="AZ36" s="1057">
        <f t="shared" si="83"/>
        <v>0</v>
      </c>
      <c r="BA36" s="1057">
        <f t="shared" si="83"/>
        <v>0</v>
      </c>
      <c r="BB36" s="1057">
        <f t="shared" si="83"/>
        <v>0</v>
      </c>
      <c r="BC36" s="1057">
        <f t="shared" si="83"/>
        <v>0</v>
      </c>
      <c r="BD36" s="1057">
        <f t="shared" si="83"/>
        <v>0</v>
      </c>
      <c r="BE36" s="1057">
        <f t="shared" si="83"/>
        <v>0</v>
      </c>
      <c r="BF36" s="1057">
        <f t="shared" si="83"/>
        <v>0</v>
      </c>
      <c r="BG36" s="1057">
        <f t="shared" si="83"/>
        <v>0</v>
      </c>
      <c r="BH36" s="1057">
        <f t="shared" si="83"/>
        <v>0</v>
      </c>
      <c r="BI36" s="1057">
        <f t="shared" si="83"/>
        <v>0</v>
      </c>
      <c r="BJ36" s="1057">
        <f t="shared" si="83"/>
        <v>0</v>
      </c>
      <c r="BK36" s="1057">
        <f t="shared" si="83"/>
        <v>0</v>
      </c>
      <c r="BL36" s="1057">
        <f t="shared" si="83"/>
        <v>0</v>
      </c>
      <c r="BM36" s="1057">
        <f t="shared" si="83"/>
        <v>0</v>
      </c>
      <c r="BN36" s="1057">
        <f t="shared" si="83"/>
        <v>0</v>
      </c>
      <c r="BO36" s="1057">
        <f t="shared" si="83"/>
        <v>0</v>
      </c>
      <c r="BP36" s="1057">
        <f t="shared" si="83"/>
        <v>0</v>
      </c>
      <c r="BQ36" s="1057">
        <f t="shared" si="83"/>
        <v>0</v>
      </c>
      <c r="BR36" s="1057">
        <f t="shared" si="83"/>
        <v>0</v>
      </c>
      <c r="BS36" s="1057">
        <f t="shared" si="83"/>
        <v>0</v>
      </c>
      <c r="BT36" s="1057">
        <f t="shared" si="83"/>
        <v>0</v>
      </c>
      <c r="BU36" s="1057">
        <f t="shared" si="83"/>
        <v>0</v>
      </c>
      <c r="BV36" s="1057">
        <f t="shared" si="83"/>
        <v>0</v>
      </c>
      <c r="BW36" s="1057">
        <f t="shared" si="83"/>
        <v>0</v>
      </c>
      <c r="BX36" s="1057">
        <f t="shared" si="83"/>
        <v>0</v>
      </c>
      <c r="BY36" s="1099"/>
      <c r="BZ36" s="1037"/>
      <c r="CA36" s="1038"/>
      <c r="CB36" s="979"/>
      <c r="CC36" s="979"/>
      <c r="CD36" s="979"/>
      <c r="CE36" s="1038"/>
    </row>
    <row r="37" spans="2:89">
      <c r="B37" s="1753"/>
      <c r="C37" s="1753"/>
      <c r="D37" s="1753"/>
      <c r="E37" s="1754" t="str">
        <f>총괄장!W13</f>
        <v>분양불</v>
      </c>
      <c r="F37" s="1753"/>
      <c r="G37" s="1755"/>
      <c r="H37" s="1755"/>
      <c r="I37" s="1755"/>
      <c r="J37" s="1755"/>
      <c r="K37" s="1755"/>
      <c r="L37" s="1755"/>
      <c r="M37" s="1755"/>
      <c r="N37" s="1755"/>
      <c r="O37" s="1755"/>
      <c r="P37" s="1755"/>
      <c r="Q37" s="1755"/>
      <c r="R37" s="1755"/>
      <c r="S37" s="1755"/>
      <c r="T37" s="1755"/>
      <c r="U37" s="1755"/>
      <c r="V37" s="1755"/>
      <c r="W37" s="1755"/>
      <c r="X37" s="1755"/>
      <c r="Y37" s="1755"/>
      <c r="Z37" s="1755"/>
      <c r="AA37" s="1755"/>
      <c r="AB37" s="1755"/>
      <c r="AC37" s="1755"/>
      <c r="AD37" s="1755"/>
      <c r="AE37" s="1755"/>
      <c r="AF37" s="1755"/>
      <c r="AG37" s="1755"/>
      <c r="AH37" s="1755"/>
      <c r="AI37" s="1755"/>
      <c r="AJ37" s="1755"/>
      <c r="AK37" s="1755"/>
      <c r="AL37" s="1755"/>
      <c r="AM37" s="1755"/>
      <c r="AN37" s="1755"/>
      <c r="AO37" s="1755"/>
      <c r="AP37" s="1755"/>
      <c r="AQ37" s="1755"/>
      <c r="AR37" s="1755"/>
      <c r="AS37" s="1755"/>
      <c r="AT37" s="1755"/>
      <c r="AU37" s="1755"/>
      <c r="AV37" s="1755"/>
      <c r="AW37" s="1755"/>
      <c r="AX37" s="1755"/>
      <c r="AY37" s="1755"/>
      <c r="AZ37" s="1755"/>
      <c r="BA37" s="1755"/>
      <c r="BB37" s="1755"/>
      <c r="BC37" s="1755"/>
      <c r="BD37" s="1755"/>
      <c r="BE37" s="1755"/>
      <c r="BF37" s="1755"/>
      <c r="BG37" s="1755"/>
      <c r="BH37" s="1755"/>
      <c r="BI37" s="1755"/>
      <c r="BJ37" s="1755"/>
      <c r="BK37" s="1755"/>
      <c r="BL37" s="1755"/>
      <c r="BM37" s="1755"/>
      <c r="BN37" s="1755"/>
      <c r="BO37" s="1755"/>
      <c r="BP37" s="1755"/>
      <c r="BQ37" s="1755"/>
      <c r="BR37" s="1755"/>
      <c r="BS37" s="1755"/>
      <c r="BT37" s="1755"/>
      <c r="BU37" s="1755"/>
      <c r="BV37" s="1756"/>
      <c r="BW37" s="1756"/>
      <c r="BX37" s="1756"/>
      <c r="BY37" s="1757"/>
      <c r="BZ37" s="1753"/>
      <c r="CA37" s="1753"/>
      <c r="CB37" s="1758"/>
      <c r="CC37" s="1758"/>
      <c r="CD37" s="1758"/>
      <c r="CE37" s="1753"/>
    </row>
    <row r="38" spans="2:89">
      <c r="B38" s="1753"/>
      <c r="C38" s="1753"/>
      <c r="D38" s="1753"/>
      <c r="E38" s="1753"/>
      <c r="F38" s="1753"/>
      <c r="G38" s="1759"/>
      <c r="H38" s="1759"/>
      <c r="I38" s="1759"/>
      <c r="J38" s="1759"/>
      <c r="K38" s="1759"/>
      <c r="L38" s="1760">
        <f t="shared" ref="L38:AP38" si="84">K116+L36-SUM(L44:L109,L39:L42)+L120</f>
        <v>4585814.5997534255</v>
      </c>
      <c r="M38" s="1760">
        <f t="shared" si="84"/>
        <v>4208540.6271506855</v>
      </c>
      <c r="N38" s="1760">
        <f t="shared" si="84"/>
        <v>3350868.5385564836</v>
      </c>
      <c r="O38" s="1760">
        <f t="shared" si="84"/>
        <v>3285636.4718280714</v>
      </c>
      <c r="P38" s="1760">
        <f t="shared" si="84"/>
        <v>5146363.703561266</v>
      </c>
      <c r="Q38" s="1760">
        <f t="shared" si="84"/>
        <v>4127915.5339748003</v>
      </c>
      <c r="R38" s="1760">
        <f t="shared" si="84"/>
        <v>12523237.35847244</v>
      </c>
      <c r="S38" s="1760">
        <f t="shared" si="84"/>
        <v>15010154.764506212</v>
      </c>
      <c r="T38" s="1760">
        <f t="shared" si="84"/>
        <v>15815359.492866043</v>
      </c>
      <c r="U38" s="1760">
        <f t="shared" si="84"/>
        <v>13548610.97437197</v>
      </c>
      <c r="V38" s="1760">
        <f t="shared" si="84"/>
        <v>26000325.326055706</v>
      </c>
      <c r="W38" s="1760">
        <f t="shared" si="84"/>
        <v>24334636.936862316</v>
      </c>
      <c r="X38" s="1760">
        <f t="shared" si="84"/>
        <v>25336051.493537143</v>
      </c>
      <c r="Y38" s="1760">
        <f t="shared" si="84"/>
        <v>19635012.190541014</v>
      </c>
      <c r="Z38" s="1760">
        <f t="shared" si="84"/>
        <v>32237287.028704733</v>
      </c>
      <c r="AA38" s="1760">
        <f t="shared" si="84"/>
        <v>26551671.554531459</v>
      </c>
      <c r="AB38" s="1760">
        <f t="shared" si="84"/>
        <v>26257272.314301334</v>
      </c>
      <c r="AC38" s="1760">
        <f t="shared" si="84"/>
        <v>16763033.881289029</v>
      </c>
      <c r="AD38" s="1760">
        <f t="shared" si="84"/>
        <v>28591263.76104521</v>
      </c>
      <c r="AE38" s="1760">
        <f t="shared" si="84"/>
        <v>22642842.774540432</v>
      </c>
      <c r="AF38" s="1760">
        <f t="shared" si="84"/>
        <v>22050568.352865104</v>
      </c>
      <c r="AG38" s="1760">
        <f t="shared" si="84"/>
        <v>11340683.115760317</v>
      </c>
      <c r="AH38" s="1760">
        <f t="shared" si="84"/>
        <v>23046322.510829818</v>
      </c>
      <c r="AI38" s="1760">
        <f t="shared" si="84"/>
        <v>12779273.191894881</v>
      </c>
      <c r="AJ38" s="1760">
        <f t="shared" si="84"/>
        <v>12156003.951578457</v>
      </c>
      <c r="AK38" s="1760">
        <f t="shared" si="84"/>
        <v>2690165.8055240647</v>
      </c>
      <c r="AL38" s="1760">
        <f t="shared" si="84"/>
        <v>14147151.702156955</v>
      </c>
      <c r="AM38" s="1760">
        <f t="shared" si="84"/>
        <v>5349165.8672117814</v>
      </c>
      <c r="AN38" s="1760">
        <f t="shared" si="84"/>
        <v>4300535.5648238212</v>
      </c>
      <c r="AO38" s="1760">
        <f t="shared" si="84"/>
        <v>3361800.6685676705</v>
      </c>
      <c r="AP38" s="1760">
        <f t="shared" si="84"/>
        <v>2801462.6900361776</v>
      </c>
      <c r="AQ38" s="1760">
        <f>AP116+AQ36-SUM(AQ44:AQ109,AQ39:AQ42)+AQ120</f>
        <v>1296050.5371416707</v>
      </c>
      <c r="AR38" s="1760">
        <f t="shared" ref="AR38:BV38" si="85">AQ116+AR36-SUM(AR44:AR109,AR39:AR42)+AR120</f>
        <v>1296050.5371416707</v>
      </c>
      <c r="AS38" s="1760">
        <f t="shared" si="85"/>
        <v>1296050.5371416707</v>
      </c>
      <c r="AT38" s="1760">
        <f t="shared" si="85"/>
        <v>1296050.5371416707</v>
      </c>
      <c r="AU38" s="1760">
        <f t="shared" si="85"/>
        <v>1296050.5371416707</v>
      </c>
      <c r="AV38" s="1760">
        <f t="shared" si="85"/>
        <v>1296050.5371416707</v>
      </c>
      <c r="AW38" s="1760">
        <f t="shared" si="85"/>
        <v>1296050.5371416707</v>
      </c>
      <c r="AX38" s="1760">
        <f t="shared" si="85"/>
        <v>1296050.5371416707</v>
      </c>
      <c r="AY38" s="1760">
        <f t="shared" si="85"/>
        <v>1296050.5371416707</v>
      </c>
      <c r="AZ38" s="1760">
        <f t="shared" si="85"/>
        <v>1296050.5371416707</v>
      </c>
      <c r="BA38" s="1760">
        <f t="shared" si="85"/>
        <v>1296050.5371416707</v>
      </c>
      <c r="BB38" s="1760">
        <f t="shared" si="85"/>
        <v>1296050.5371416707</v>
      </c>
      <c r="BC38" s="1760">
        <f t="shared" si="85"/>
        <v>1296050.5371416707</v>
      </c>
      <c r="BD38" s="1760">
        <f t="shared" si="85"/>
        <v>1296050.5371416707</v>
      </c>
      <c r="BE38" s="1760">
        <f t="shared" si="85"/>
        <v>1296050.5371416707</v>
      </c>
      <c r="BF38" s="1760">
        <f t="shared" si="85"/>
        <v>1296050.5371416707</v>
      </c>
      <c r="BG38" s="1760">
        <f t="shared" si="85"/>
        <v>1296050.5371416707</v>
      </c>
      <c r="BH38" s="1760">
        <f t="shared" si="85"/>
        <v>1296050.5371416707</v>
      </c>
      <c r="BI38" s="1760">
        <f t="shared" si="85"/>
        <v>1296050.5371416707</v>
      </c>
      <c r="BJ38" s="1760">
        <f t="shared" si="85"/>
        <v>1296050.5371416707</v>
      </c>
      <c r="BK38" s="1760">
        <f t="shared" si="85"/>
        <v>1296050.5371416707</v>
      </c>
      <c r="BL38" s="1760">
        <f t="shared" si="85"/>
        <v>1296050.5371416707</v>
      </c>
      <c r="BM38" s="1760">
        <f t="shared" si="85"/>
        <v>1296050.5371416707</v>
      </c>
      <c r="BN38" s="1760">
        <f t="shared" si="85"/>
        <v>1296050.5371416707</v>
      </c>
      <c r="BO38" s="1760">
        <f t="shared" si="85"/>
        <v>1296050.5371416707</v>
      </c>
      <c r="BP38" s="1760">
        <f t="shared" si="85"/>
        <v>1296050.5371416707</v>
      </c>
      <c r="BQ38" s="1760">
        <f t="shared" si="85"/>
        <v>1296050.5371416707</v>
      </c>
      <c r="BR38" s="1760">
        <f t="shared" si="85"/>
        <v>1296050.5371416707</v>
      </c>
      <c r="BS38" s="1760">
        <f t="shared" si="85"/>
        <v>1296050.5371416707</v>
      </c>
      <c r="BT38" s="1760">
        <f t="shared" si="85"/>
        <v>1296050.5371416707</v>
      </c>
      <c r="BU38" s="1760">
        <f t="shared" si="85"/>
        <v>1296050.5371416707</v>
      </c>
      <c r="BV38" s="1930">
        <f t="shared" si="85"/>
        <v>-2750214.9026125669</v>
      </c>
      <c r="BW38" s="1930">
        <f t="shared" ref="BW38:BX38" si="86">BV116+BW36-SUM(BW44:BW109,BW39:BW42)+BW120</f>
        <v>-2780214.9026125669</v>
      </c>
      <c r="BX38" s="1930">
        <f t="shared" si="86"/>
        <v>-2810214.9026125669</v>
      </c>
      <c r="BY38" s="1757"/>
      <c r="BZ38" s="1753"/>
      <c r="CA38" s="1753"/>
      <c r="CB38" s="1761"/>
      <c r="CC38" s="1761"/>
      <c r="CD38" s="1761"/>
      <c r="CE38" s="1753"/>
    </row>
    <row r="39" spans="2:89" s="1038" customFormat="1" ht="15.75" customHeight="1">
      <c r="B39" s="1103" t="str">
        <f>'사업수지표 '!Y23</f>
        <v>토지비</v>
      </c>
      <c r="C39" s="1892"/>
      <c r="D39" s="1104"/>
      <c r="E39" s="1105">
        <f>'사업수지표 '!E23:E23</f>
        <v>16000000</v>
      </c>
      <c r="F39" s="1058" t="b">
        <f t="shared" ref="F39:F110" si="87">CA39</f>
        <v>1</v>
      </c>
      <c r="G39" s="1056"/>
      <c r="H39" s="1057"/>
      <c r="I39" s="1057"/>
      <c r="J39" s="1057">
        <f>$E$39*비용집행계획!E35</f>
        <v>2000000</v>
      </c>
      <c r="K39" s="1057">
        <f>$E$39*비용집행계획!F35</f>
        <v>14000000</v>
      </c>
      <c r="L39" s="1057">
        <f>$E$39*비용집행계획!G35</f>
        <v>0</v>
      </c>
      <c r="M39" s="1057">
        <f>$E$39*비용집행계획!H35</f>
        <v>0</v>
      </c>
      <c r="N39" s="1057">
        <f>$E$39*비용집행계획!I35</f>
        <v>0</v>
      </c>
      <c r="O39" s="1057">
        <f>$E$39*비용집행계획!J35</f>
        <v>0</v>
      </c>
      <c r="P39" s="1057">
        <f>$E$39*비용집행계획!K35</f>
        <v>0</v>
      </c>
      <c r="Q39" s="1057">
        <f>$E$39*비용집행계획!L35</f>
        <v>0</v>
      </c>
      <c r="R39" s="1057">
        <f>$E$39*비용집행계획!M35</f>
        <v>0</v>
      </c>
      <c r="S39" s="1057">
        <f>$E$39*비용집행계획!N35</f>
        <v>0</v>
      </c>
      <c r="T39" s="1057">
        <f>$E$39*비용집행계획!O35</f>
        <v>0</v>
      </c>
      <c r="U39" s="1057">
        <f>$E$39*비용집행계획!P35</f>
        <v>0</v>
      </c>
      <c r="V39" s="1057">
        <f>$E$39*비용집행계획!Q35</f>
        <v>0</v>
      </c>
      <c r="W39" s="1057">
        <f>$E$39*비용집행계획!R35</f>
        <v>0</v>
      </c>
      <c r="X39" s="1057">
        <f>$E$39*비용집행계획!S35</f>
        <v>0</v>
      </c>
      <c r="Y39" s="1057">
        <f>$E$39*비용집행계획!T35</f>
        <v>0</v>
      </c>
      <c r="Z39" s="1057">
        <f>$E$39*비용집행계획!U35</f>
        <v>0</v>
      </c>
      <c r="AA39" s="1057">
        <f>$E$39*비용집행계획!V35</f>
        <v>0</v>
      </c>
      <c r="AB39" s="1057">
        <f>$E$39*비용집행계획!W35</f>
        <v>0</v>
      </c>
      <c r="AC39" s="1057">
        <f>$E$39*비용집행계획!X35</f>
        <v>0</v>
      </c>
      <c r="AD39" s="1057">
        <f>$E$39*비용집행계획!Y35</f>
        <v>0</v>
      </c>
      <c r="AE39" s="1057">
        <f>$E$39*비용집행계획!Z35</f>
        <v>0</v>
      </c>
      <c r="AF39" s="1057">
        <f>$E$39*비용집행계획!AA35</f>
        <v>0</v>
      </c>
      <c r="AG39" s="1057">
        <f>$E$39*비용집행계획!AB35</f>
        <v>0</v>
      </c>
      <c r="AH39" s="1057">
        <f>$E$39*비용집행계획!AC35</f>
        <v>0</v>
      </c>
      <c r="AI39" s="1057">
        <f>$E$39*비용집행계획!AD35</f>
        <v>0</v>
      </c>
      <c r="AJ39" s="1057">
        <f>$E$39*비용집행계획!AE35</f>
        <v>0</v>
      </c>
      <c r="AK39" s="1057">
        <f>$E$39*비용집행계획!AF35</f>
        <v>0</v>
      </c>
      <c r="AL39" s="1057">
        <f>$E$39*비용집행계획!AG35</f>
        <v>0</v>
      </c>
      <c r="AM39" s="1057">
        <f>$E$39*비용집행계획!AH35</f>
        <v>0</v>
      </c>
      <c r="AN39" s="1057">
        <f>$E$39*비용집행계획!AI35</f>
        <v>0</v>
      </c>
      <c r="AO39" s="1057">
        <f>$E$39*비용집행계획!AJ35</f>
        <v>0</v>
      </c>
      <c r="AP39" s="1057">
        <f>$E$39*비용집행계획!AK35</f>
        <v>0</v>
      </c>
      <c r="AQ39" s="1057">
        <f>$E$39*비용집행계획!AL35</f>
        <v>0</v>
      </c>
      <c r="AR39" s="1057">
        <f>$E$39*비용집행계획!AM35</f>
        <v>0</v>
      </c>
      <c r="AS39" s="1057">
        <f>$E$39*비용집행계획!AN35</f>
        <v>0</v>
      </c>
      <c r="AT39" s="1057">
        <f>$E$39*비용집행계획!AO35</f>
        <v>0</v>
      </c>
      <c r="AU39" s="1057">
        <f>$E$39*비용집행계획!AP35</f>
        <v>0</v>
      </c>
      <c r="AV39" s="1057">
        <f>$E$39*비용집행계획!AQ35</f>
        <v>0</v>
      </c>
      <c r="AW39" s="1057">
        <f>$E$39*비용집행계획!AR35</f>
        <v>0</v>
      </c>
      <c r="AX39" s="1057">
        <f>$E$39*비용집행계획!AS35</f>
        <v>0</v>
      </c>
      <c r="AY39" s="1057">
        <f>$E$39*비용집행계획!AT35</f>
        <v>0</v>
      </c>
      <c r="AZ39" s="1057">
        <f>$E$39*비용집행계획!AU35</f>
        <v>0</v>
      </c>
      <c r="BA39" s="1057">
        <f>$E$39*비용집행계획!AV35</f>
        <v>0</v>
      </c>
      <c r="BB39" s="1057">
        <f>$E$39*비용집행계획!AW35</f>
        <v>0</v>
      </c>
      <c r="BC39" s="1057">
        <f>$E$39*비용집행계획!AX35</f>
        <v>0</v>
      </c>
      <c r="BD39" s="1057">
        <f>$E$39*비용집행계획!AY35</f>
        <v>0</v>
      </c>
      <c r="BE39" s="1057">
        <f>$E$39*비용집행계획!AZ35</f>
        <v>0</v>
      </c>
      <c r="BF39" s="1057">
        <f>$E$39*비용집행계획!BA35</f>
        <v>0</v>
      </c>
      <c r="BG39" s="1057">
        <f>$E$39*비용집행계획!BB35</f>
        <v>0</v>
      </c>
      <c r="BH39" s="1057">
        <f>$E$39*비용집행계획!BC35</f>
        <v>0</v>
      </c>
      <c r="BI39" s="1057">
        <f>$E$39*비용집행계획!BD35</f>
        <v>0</v>
      </c>
      <c r="BJ39" s="1057">
        <f>$E$39*비용집행계획!BE35</f>
        <v>0</v>
      </c>
      <c r="BK39" s="1057">
        <f>$E$39*비용집행계획!BF35</f>
        <v>0</v>
      </c>
      <c r="BL39" s="1057">
        <f>$E$39*비용집행계획!BG35</f>
        <v>0</v>
      </c>
      <c r="BM39" s="1057">
        <f>$E$39*비용집행계획!BH35</f>
        <v>0</v>
      </c>
      <c r="BN39" s="1057">
        <f>$E$39*비용집행계획!BI35</f>
        <v>0</v>
      </c>
      <c r="BO39" s="1057">
        <f>$E$39*비용집행계획!BJ35</f>
        <v>0</v>
      </c>
      <c r="BP39" s="1057">
        <f>$E$39*비용집행계획!BK35</f>
        <v>0</v>
      </c>
      <c r="BQ39" s="1057">
        <f>$E$39*비용집행계획!BL35</f>
        <v>0</v>
      </c>
      <c r="BR39" s="1057">
        <f>$E$39*비용집행계획!BM35</f>
        <v>0</v>
      </c>
      <c r="BS39" s="1057">
        <f>$E$39*비용집행계획!BN35</f>
        <v>0</v>
      </c>
      <c r="BT39" s="1057">
        <f>$E$39*비용집행계획!BO35</f>
        <v>0</v>
      </c>
      <c r="BU39" s="1057">
        <f>$E$39*비용집행계획!BP35</f>
        <v>0</v>
      </c>
      <c r="BV39" s="1057">
        <f>$E$39*비용집행계획!BQ35</f>
        <v>0</v>
      </c>
      <c r="BW39" s="1057">
        <f>$E$39*비용집행계획!BR35</f>
        <v>0</v>
      </c>
      <c r="BX39" s="1057">
        <f>$E$39*비용집행계획!BS35</f>
        <v>0</v>
      </c>
      <c r="BY39" s="1074" t="str">
        <f>B39</f>
        <v>토지비</v>
      </c>
      <c r="BZ39" s="1106">
        <f>SUM(G39:BX39)</f>
        <v>16000000</v>
      </c>
      <c r="CA39" s="1107" t="b">
        <f t="shared" ref="CA39:CA70" si="88">ROUND(BZ39,0)=ROUND(E39,0)</f>
        <v>1</v>
      </c>
      <c r="CB39" s="1108">
        <f>CB43/CD43</f>
        <v>0</v>
      </c>
      <c r="CC39" s="1109">
        <f>CC43/CD43</f>
        <v>1</v>
      </c>
      <c r="CD39" s="1110">
        <f>CB39+CC39</f>
        <v>1</v>
      </c>
      <c r="CF39"/>
      <c r="CG39"/>
      <c r="CH39"/>
      <c r="CI39"/>
      <c r="CJ39"/>
      <c r="CK39"/>
    </row>
    <row r="40" spans="2:89" s="1038" customFormat="1">
      <c r="B40" s="1103" t="str">
        <f>'사업수지표 '!Y24</f>
        <v>취득세 등</v>
      </c>
      <c r="C40" s="1892"/>
      <c r="D40" s="1104"/>
      <c r="E40" s="1105">
        <f>'사업수지표 '!E24:E24</f>
        <v>768000</v>
      </c>
      <c r="F40" s="1058" t="b">
        <f t="shared" si="87"/>
        <v>1</v>
      </c>
      <c r="G40" s="1056"/>
      <c r="H40" s="1057"/>
      <c r="I40" s="1057"/>
      <c r="J40" s="1057">
        <f>$E$40*비용집행계획!E36</f>
        <v>0</v>
      </c>
      <c r="K40" s="1057">
        <f>$E$40*비용집행계획!F36</f>
        <v>768000</v>
      </c>
      <c r="L40" s="1057">
        <f>$E$40*비용집행계획!G36</f>
        <v>0</v>
      </c>
      <c r="M40" s="1057">
        <f>$E$40*비용집행계획!H36</f>
        <v>0</v>
      </c>
      <c r="N40" s="1057">
        <f>$E$40*비용집행계획!I36</f>
        <v>0</v>
      </c>
      <c r="O40" s="1057">
        <f>$E$40*비용집행계획!J36</f>
        <v>0</v>
      </c>
      <c r="P40" s="1057">
        <f>$E$40*비용집행계획!K36</f>
        <v>0</v>
      </c>
      <c r="Q40" s="1057">
        <f>$E$40*비용집행계획!L36</f>
        <v>0</v>
      </c>
      <c r="R40" s="1057">
        <f>$E$40*비용집행계획!M36</f>
        <v>0</v>
      </c>
      <c r="S40" s="1057">
        <f>$E$40*비용집행계획!N36</f>
        <v>0</v>
      </c>
      <c r="T40" s="1057">
        <f>$E$40*비용집행계획!O36</f>
        <v>0</v>
      </c>
      <c r="U40" s="1057">
        <f>$E$40*비용집행계획!P36</f>
        <v>0</v>
      </c>
      <c r="V40" s="1057">
        <f>$E$40*비용집행계획!Q36</f>
        <v>0</v>
      </c>
      <c r="W40" s="1057">
        <f>$E$40*비용집행계획!R36</f>
        <v>0</v>
      </c>
      <c r="X40" s="1057">
        <f>$E$40*비용집행계획!S36</f>
        <v>0</v>
      </c>
      <c r="Y40" s="1057">
        <f>$E$40*비용집행계획!T36</f>
        <v>0</v>
      </c>
      <c r="Z40" s="1057">
        <f>$E$40*비용집행계획!U36</f>
        <v>0</v>
      </c>
      <c r="AA40" s="1057">
        <f>$E$40*비용집행계획!V36</f>
        <v>0</v>
      </c>
      <c r="AB40" s="1057">
        <f>$E$40*비용집행계획!W36</f>
        <v>0</v>
      </c>
      <c r="AC40" s="1057">
        <f>$E$40*비용집행계획!X36</f>
        <v>0</v>
      </c>
      <c r="AD40" s="1057">
        <f>$E$40*비용집행계획!Y36</f>
        <v>0</v>
      </c>
      <c r="AE40" s="1057">
        <f>$E$40*비용집행계획!Z36</f>
        <v>0</v>
      </c>
      <c r="AF40" s="1057">
        <f>$E$40*비용집행계획!AA36</f>
        <v>0</v>
      </c>
      <c r="AG40" s="1057">
        <f>$E$40*비용집행계획!AB36</f>
        <v>0</v>
      </c>
      <c r="AH40" s="1057">
        <f>$E$40*비용집행계획!AC36</f>
        <v>0</v>
      </c>
      <c r="AI40" s="1057">
        <f>$E$40*비용집행계획!AD36</f>
        <v>0</v>
      </c>
      <c r="AJ40" s="1057">
        <f>$E$40*비용집행계획!AE36</f>
        <v>0</v>
      </c>
      <c r="AK40" s="1057">
        <f>$E$40*비용집행계획!AF36</f>
        <v>0</v>
      </c>
      <c r="AL40" s="1057">
        <f>$E$40*비용집행계획!AG36</f>
        <v>0</v>
      </c>
      <c r="AM40" s="1057">
        <f>$E$40*비용집행계획!AH36</f>
        <v>0</v>
      </c>
      <c r="AN40" s="1057">
        <f>$E$40*비용집행계획!AI36</f>
        <v>0</v>
      </c>
      <c r="AO40" s="1057">
        <f>$E$40*비용집행계획!AJ36</f>
        <v>0</v>
      </c>
      <c r="AP40" s="1057">
        <f>$E$40*비용집행계획!AK36</f>
        <v>0</v>
      </c>
      <c r="AQ40" s="1057">
        <f>$E$40*비용집행계획!AL36</f>
        <v>0</v>
      </c>
      <c r="AR40" s="1057">
        <f>$E$40*비용집행계획!AM36</f>
        <v>0</v>
      </c>
      <c r="AS40" s="1057">
        <f>$E$40*비용집행계획!AN36</f>
        <v>0</v>
      </c>
      <c r="AT40" s="1057">
        <f>$E$40*비용집행계획!AO36</f>
        <v>0</v>
      </c>
      <c r="AU40" s="1057">
        <f>$E$40*비용집행계획!AP36</f>
        <v>0</v>
      </c>
      <c r="AV40" s="1057">
        <f>$E$40*비용집행계획!AQ36</f>
        <v>0</v>
      </c>
      <c r="AW40" s="1057">
        <f>$E$40*비용집행계획!AR36</f>
        <v>0</v>
      </c>
      <c r="AX40" s="1057">
        <f>$E$40*비용집행계획!AS36</f>
        <v>0</v>
      </c>
      <c r="AY40" s="1057">
        <f>$E$40*비용집행계획!AT36</f>
        <v>0</v>
      </c>
      <c r="AZ40" s="1057">
        <f>$E$40*비용집행계획!AU36</f>
        <v>0</v>
      </c>
      <c r="BA40" s="1057">
        <f>$E$40*비용집행계획!AV36</f>
        <v>0</v>
      </c>
      <c r="BB40" s="1057">
        <f>$E$40*비용집행계획!AW36</f>
        <v>0</v>
      </c>
      <c r="BC40" s="1057">
        <f>$E$40*비용집행계획!AX36</f>
        <v>0</v>
      </c>
      <c r="BD40" s="1057">
        <f>$E$40*비용집행계획!AY36</f>
        <v>0</v>
      </c>
      <c r="BE40" s="1057">
        <f>$E$40*비용집행계획!AZ36</f>
        <v>0</v>
      </c>
      <c r="BF40" s="1057">
        <f>$E$40*비용집행계획!BA36</f>
        <v>0</v>
      </c>
      <c r="BG40" s="1057">
        <f>$E$40*비용집행계획!BB36</f>
        <v>0</v>
      </c>
      <c r="BH40" s="1057">
        <f>$E$40*비용집행계획!BC36</f>
        <v>0</v>
      </c>
      <c r="BI40" s="1057">
        <f>$E$40*비용집행계획!BD36</f>
        <v>0</v>
      </c>
      <c r="BJ40" s="1057">
        <f>$E$40*비용집행계획!BE36</f>
        <v>0</v>
      </c>
      <c r="BK40" s="1057">
        <f>$E$40*비용집행계획!BF36</f>
        <v>0</v>
      </c>
      <c r="BL40" s="1057">
        <f>$E$40*비용집행계획!BG36</f>
        <v>0</v>
      </c>
      <c r="BM40" s="1057">
        <f>$E$40*비용집행계획!BH36</f>
        <v>0</v>
      </c>
      <c r="BN40" s="1057">
        <f>$E$40*비용집행계획!BI36</f>
        <v>0</v>
      </c>
      <c r="BO40" s="1057">
        <f>$E$40*비용집행계획!BJ36</f>
        <v>0</v>
      </c>
      <c r="BP40" s="1057">
        <f>$E$40*비용집행계획!BK36</f>
        <v>0</v>
      </c>
      <c r="BQ40" s="1057">
        <f>$E$40*비용집행계획!BL36</f>
        <v>0</v>
      </c>
      <c r="BR40" s="1057">
        <f>$E$40*비용집행계획!BM36</f>
        <v>0</v>
      </c>
      <c r="BS40" s="1057">
        <f>$E$40*비용집행계획!BN36</f>
        <v>0</v>
      </c>
      <c r="BT40" s="1057">
        <f>$E$40*비용집행계획!BO36</f>
        <v>0</v>
      </c>
      <c r="BU40" s="1057">
        <f>$E$40*비용집행계획!BP36</f>
        <v>0</v>
      </c>
      <c r="BV40" s="1057">
        <f>$E$40*비용집행계획!BQ36</f>
        <v>0</v>
      </c>
      <c r="BW40" s="1057">
        <f>$E$40*비용집행계획!BR36</f>
        <v>0</v>
      </c>
      <c r="BX40" s="1057">
        <f>$E$40*비용집행계획!BS36</f>
        <v>0</v>
      </c>
      <c r="BY40" s="1074" t="str">
        <f>B40</f>
        <v>취득세 등</v>
      </c>
      <c r="BZ40" s="1106">
        <f>SUM(G40:BX40)</f>
        <v>768000</v>
      </c>
      <c r="CA40" s="1111" t="b">
        <f t="shared" si="88"/>
        <v>1</v>
      </c>
      <c r="CF40"/>
      <c r="CG40"/>
      <c r="CH40"/>
      <c r="CI40"/>
      <c r="CJ40"/>
      <c r="CK40"/>
    </row>
    <row r="41" spans="2:89" s="1038" customFormat="1">
      <c r="B41" s="1103" t="str">
        <f>'사업수지표 '!Y25</f>
        <v>기타비용</v>
      </c>
      <c r="C41" s="1892"/>
      <c r="D41" s="1104"/>
      <c r="E41" s="1105">
        <f>'사업수지표 '!E25:E25</f>
        <v>480000</v>
      </c>
      <c r="F41" s="1058" t="b">
        <f t="shared" si="87"/>
        <v>1</v>
      </c>
      <c r="G41" s="1056"/>
      <c r="H41" s="1057"/>
      <c r="I41" s="1057"/>
      <c r="J41" s="1057">
        <f>$E$41*비용집행계획!E37</f>
        <v>0</v>
      </c>
      <c r="K41" s="1057">
        <f>$E$41*비용집행계획!F37</f>
        <v>240000</v>
      </c>
      <c r="L41" s="1057">
        <f>$E$41*비용집행계획!G37</f>
        <v>0</v>
      </c>
      <c r="M41" s="1057">
        <f>$E$41*비용집행계획!H37</f>
        <v>0</v>
      </c>
      <c r="N41" s="1057">
        <f>$E$41*비용집행계획!I37</f>
        <v>240000</v>
      </c>
      <c r="O41" s="1057">
        <f>$E$41*비용집행계획!J37</f>
        <v>0</v>
      </c>
      <c r="P41" s="1057">
        <f>$E$41*비용집행계획!K37</f>
        <v>0</v>
      </c>
      <c r="Q41" s="1057">
        <f>$E$41*비용집행계획!L37</f>
        <v>0</v>
      </c>
      <c r="R41" s="1057">
        <f>$E$41*비용집행계획!M37</f>
        <v>0</v>
      </c>
      <c r="S41" s="1057">
        <f>$E$41*비용집행계획!N37</f>
        <v>0</v>
      </c>
      <c r="T41" s="1057">
        <f>$E$41*비용집행계획!O37</f>
        <v>0</v>
      </c>
      <c r="U41" s="1057">
        <f>$E$41*비용집행계획!P37</f>
        <v>0</v>
      </c>
      <c r="V41" s="1057">
        <f>$E$41*비용집행계획!Q37</f>
        <v>0</v>
      </c>
      <c r="W41" s="1057">
        <f>$E$41*비용집행계획!R37</f>
        <v>0</v>
      </c>
      <c r="X41" s="1057">
        <f>$E$41*비용집행계획!S37</f>
        <v>0</v>
      </c>
      <c r="Y41" s="1057">
        <f>$E$41*비용집행계획!T37</f>
        <v>0</v>
      </c>
      <c r="Z41" s="1057">
        <f>$E$41*비용집행계획!U37</f>
        <v>0</v>
      </c>
      <c r="AA41" s="1057">
        <f>$E$41*비용집행계획!V37</f>
        <v>0</v>
      </c>
      <c r="AB41" s="1057">
        <f>$E$41*비용집행계획!W37</f>
        <v>0</v>
      </c>
      <c r="AC41" s="1057">
        <f>$E$41*비용집행계획!X37</f>
        <v>0</v>
      </c>
      <c r="AD41" s="1057">
        <f>$E$41*비용집행계획!Y37</f>
        <v>0</v>
      </c>
      <c r="AE41" s="1057">
        <f>$E$41*비용집행계획!Z37</f>
        <v>0</v>
      </c>
      <c r="AF41" s="1057">
        <f>$E$41*비용집행계획!AA37</f>
        <v>0</v>
      </c>
      <c r="AG41" s="1057">
        <f>$E$41*비용집행계획!AB37</f>
        <v>0</v>
      </c>
      <c r="AH41" s="1057">
        <f>$E$41*비용집행계획!AC37</f>
        <v>0</v>
      </c>
      <c r="AI41" s="1057">
        <f>$E$41*비용집행계획!AD37</f>
        <v>0</v>
      </c>
      <c r="AJ41" s="1057">
        <f>$E$41*비용집행계획!AE37</f>
        <v>0</v>
      </c>
      <c r="AK41" s="1057">
        <f>$E$41*비용집행계획!AF37</f>
        <v>0</v>
      </c>
      <c r="AL41" s="1057">
        <f>$E$41*비용집행계획!AG37</f>
        <v>0</v>
      </c>
      <c r="AM41" s="1057">
        <f>$E$41*비용집행계획!AH37</f>
        <v>0</v>
      </c>
      <c r="AN41" s="1057">
        <f>$E$41*비용집행계획!AI37</f>
        <v>0</v>
      </c>
      <c r="AO41" s="1057">
        <f>$E$41*비용집행계획!AJ37</f>
        <v>0</v>
      </c>
      <c r="AP41" s="1057">
        <f>$E$41*비용집행계획!AK37</f>
        <v>0</v>
      </c>
      <c r="AQ41" s="1057">
        <f>$E$41*비용집행계획!AL37</f>
        <v>0</v>
      </c>
      <c r="AR41" s="1057">
        <f>$E$41*비용집행계획!AM37</f>
        <v>0</v>
      </c>
      <c r="AS41" s="1057">
        <f>$E$41*비용집행계획!AN37</f>
        <v>0</v>
      </c>
      <c r="AT41" s="1057">
        <f>$E$41*비용집행계획!AO37</f>
        <v>0</v>
      </c>
      <c r="AU41" s="1057">
        <f>$E$41*비용집행계획!AP37</f>
        <v>0</v>
      </c>
      <c r="AV41" s="1057">
        <f>$E$41*비용집행계획!AQ37</f>
        <v>0</v>
      </c>
      <c r="AW41" s="1057">
        <f>$E$41*비용집행계획!AR37</f>
        <v>0</v>
      </c>
      <c r="AX41" s="1057">
        <f>$E$41*비용집행계획!AS37</f>
        <v>0</v>
      </c>
      <c r="AY41" s="1057">
        <f>$E$41*비용집행계획!AT37</f>
        <v>0</v>
      </c>
      <c r="AZ41" s="1057">
        <f>$E$41*비용집행계획!AU37</f>
        <v>0</v>
      </c>
      <c r="BA41" s="1057">
        <f>$E$41*비용집행계획!AV37</f>
        <v>0</v>
      </c>
      <c r="BB41" s="1057">
        <f>$E$41*비용집행계획!AW37</f>
        <v>0</v>
      </c>
      <c r="BC41" s="1057">
        <f>$E$41*비용집행계획!AX37</f>
        <v>0</v>
      </c>
      <c r="BD41" s="1057">
        <f>$E$41*비용집행계획!AY37</f>
        <v>0</v>
      </c>
      <c r="BE41" s="1057">
        <f>$E$41*비용집행계획!AZ37</f>
        <v>0</v>
      </c>
      <c r="BF41" s="1057">
        <f>$E$41*비용집행계획!BA37</f>
        <v>0</v>
      </c>
      <c r="BG41" s="1057">
        <f>$E$41*비용집행계획!BB37</f>
        <v>0</v>
      </c>
      <c r="BH41" s="1057">
        <f>$E$41*비용집행계획!BC37</f>
        <v>0</v>
      </c>
      <c r="BI41" s="1057">
        <f>$E$41*비용집행계획!BD37</f>
        <v>0</v>
      </c>
      <c r="BJ41" s="1057">
        <f>$E$41*비용집행계획!BE37</f>
        <v>0</v>
      </c>
      <c r="BK41" s="1057">
        <f>$E$41*비용집행계획!BF37</f>
        <v>0</v>
      </c>
      <c r="BL41" s="1057">
        <f>$E$41*비용집행계획!BG37</f>
        <v>0</v>
      </c>
      <c r="BM41" s="1057">
        <f>$E$41*비용집행계획!BH37</f>
        <v>0</v>
      </c>
      <c r="BN41" s="1057">
        <f>$E$41*비용집행계획!BI37</f>
        <v>0</v>
      </c>
      <c r="BO41" s="1057">
        <f>$E$41*비용집행계획!BJ37</f>
        <v>0</v>
      </c>
      <c r="BP41" s="1057">
        <f>$E$41*비용집행계획!BK37</f>
        <v>0</v>
      </c>
      <c r="BQ41" s="1057">
        <f>$E$41*비용집행계획!BL37</f>
        <v>0</v>
      </c>
      <c r="BR41" s="1057">
        <f>$E$41*비용집행계획!BM37</f>
        <v>0</v>
      </c>
      <c r="BS41" s="1057">
        <f>$E$41*비용집행계획!BN37</f>
        <v>0</v>
      </c>
      <c r="BT41" s="1057">
        <f>$E$41*비용집행계획!BO37</f>
        <v>0</v>
      </c>
      <c r="BU41" s="1057">
        <f>$E$41*비용집행계획!BP37</f>
        <v>0</v>
      </c>
      <c r="BV41" s="1057">
        <f>$E$41*비용집행계획!BQ37</f>
        <v>0</v>
      </c>
      <c r="BW41" s="1057">
        <f>$E$41*비용집행계획!BR37</f>
        <v>0</v>
      </c>
      <c r="BX41" s="1057">
        <f>$E$41*비용집행계획!BS37</f>
        <v>0</v>
      </c>
      <c r="BY41" s="1074" t="str">
        <f>B41</f>
        <v>기타비용</v>
      </c>
      <c r="BZ41" s="1106">
        <f>SUM(G41:BX41)</f>
        <v>480000</v>
      </c>
      <c r="CA41" s="1111" t="b">
        <f t="shared" si="88"/>
        <v>1</v>
      </c>
      <c r="CB41" s="1095"/>
      <c r="CF41"/>
      <c r="CG41"/>
      <c r="CH41"/>
      <c r="CI41"/>
      <c r="CJ41"/>
      <c r="CK41"/>
    </row>
    <row r="42" spans="2:89" s="1038" customFormat="1" ht="15.75" customHeight="1">
      <c r="B42" s="1103"/>
      <c r="C42" s="1892"/>
      <c r="D42" s="1104"/>
      <c r="E42" s="1105"/>
      <c r="F42" s="1058" t="b">
        <f t="shared" si="87"/>
        <v>1</v>
      </c>
      <c r="G42" s="1056"/>
      <c r="H42" s="1057"/>
      <c r="I42" s="1057"/>
      <c r="J42" s="1057">
        <f>$E$42*비용집행계획!E38</f>
        <v>0</v>
      </c>
      <c r="K42" s="1057">
        <f>$E$42*비용집행계획!F38</f>
        <v>0</v>
      </c>
      <c r="L42" s="1057">
        <f>$E$42*비용집행계획!G38</f>
        <v>0</v>
      </c>
      <c r="M42" s="1057">
        <f>$E$42*비용집행계획!H38</f>
        <v>0</v>
      </c>
      <c r="N42" s="1057">
        <f>$E$42*비용집행계획!I38</f>
        <v>0</v>
      </c>
      <c r="O42" s="1057">
        <f>$E$42*비용집행계획!J38</f>
        <v>0</v>
      </c>
      <c r="P42" s="1057">
        <f>$E$42*비용집행계획!K38</f>
        <v>0</v>
      </c>
      <c r="Q42" s="1057">
        <f>$E$42*비용집행계획!L38</f>
        <v>0</v>
      </c>
      <c r="R42" s="1057">
        <f>$E$42*비용집행계획!M38</f>
        <v>0</v>
      </c>
      <c r="S42" s="1057">
        <f>$E$42*비용집행계획!N38</f>
        <v>0</v>
      </c>
      <c r="T42" s="1057">
        <f>$E$42*비용집행계획!O38</f>
        <v>0</v>
      </c>
      <c r="U42" s="1057">
        <f>$E$42*비용집행계획!P38</f>
        <v>0</v>
      </c>
      <c r="V42" s="1057">
        <f>$E$42*비용집행계획!Q38</f>
        <v>0</v>
      </c>
      <c r="W42" s="1057">
        <f>$E$42*비용집행계획!R38</f>
        <v>0</v>
      </c>
      <c r="X42" s="1057">
        <f>$E$42*비용집행계획!S38</f>
        <v>0</v>
      </c>
      <c r="Y42" s="1057">
        <f>$E$42*비용집행계획!T38</f>
        <v>0</v>
      </c>
      <c r="Z42" s="1057">
        <f>$E$42*비용집행계획!U38</f>
        <v>0</v>
      </c>
      <c r="AA42" s="1057">
        <f>$E$42*비용집행계획!V38</f>
        <v>0</v>
      </c>
      <c r="AB42" s="1057">
        <f>$E$42*비용집행계획!W38</f>
        <v>0</v>
      </c>
      <c r="AC42" s="1057">
        <f>$E$42*비용집행계획!X38</f>
        <v>0</v>
      </c>
      <c r="AD42" s="1057">
        <f>$E$42*비용집행계획!Y38</f>
        <v>0</v>
      </c>
      <c r="AE42" s="1057">
        <f>$E$42*비용집행계획!Z38</f>
        <v>0</v>
      </c>
      <c r="AF42" s="1057">
        <f>$E$42*비용집행계획!AA38</f>
        <v>0</v>
      </c>
      <c r="AG42" s="1057">
        <f>$E$42*비용집행계획!AB38</f>
        <v>0</v>
      </c>
      <c r="AH42" s="1057">
        <f>$E$42*비용집행계획!AC38</f>
        <v>0</v>
      </c>
      <c r="AI42" s="1057">
        <f>$E$42*비용집행계획!AD38</f>
        <v>0</v>
      </c>
      <c r="AJ42" s="1057">
        <f>$E$42*비용집행계획!AE38</f>
        <v>0</v>
      </c>
      <c r="AK42" s="1057">
        <f>$E$42*비용집행계획!AF38</f>
        <v>0</v>
      </c>
      <c r="AL42" s="1057">
        <f>$E$42*비용집행계획!AG38</f>
        <v>0</v>
      </c>
      <c r="AM42" s="1057">
        <f>$E$42*비용집행계획!AH38</f>
        <v>0</v>
      </c>
      <c r="AN42" s="1057">
        <f>$E$42*비용집행계획!AI38</f>
        <v>0</v>
      </c>
      <c r="AO42" s="1057">
        <f>$E$42*비용집행계획!AJ38</f>
        <v>0</v>
      </c>
      <c r="AP42" s="1057">
        <f>$E$42*비용집행계획!AK38</f>
        <v>0</v>
      </c>
      <c r="AQ42" s="1057">
        <f>$E$42*비용집행계획!AL38</f>
        <v>0</v>
      </c>
      <c r="AR42" s="1057">
        <f>$E$42*비용집행계획!AM38</f>
        <v>0</v>
      </c>
      <c r="AS42" s="1057">
        <f>$E$42*비용집행계획!AN38</f>
        <v>0</v>
      </c>
      <c r="AT42" s="1057">
        <f>$E$42*비용집행계획!AO38</f>
        <v>0</v>
      </c>
      <c r="AU42" s="1057">
        <f>$E$42*비용집행계획!AP38</f>
        <v>0</v>
      </c>
      <c r="AV42" s="1057">
        <f>$E$42*비용집행계획!AQ38</f>
        <v>0</v>
      </c>
      <c r="AW42" s="1057">
        <f>$E$42*비용집행계획!AR38</f>
        <v>0</v>
      </c>
      <c r="AX42" s="1057">
        <f>$E$42*비용집행계획!AS38</f>
        <v>0</v>
      </c>
      <c r="AY42" s="1057">
        <f>$E$42*비용집행계획!AT38</f>
        <v>0</v>
      </c>
      <c r="AZ42" s="1057">
        <f>$E$42*비용집행계획!AU38</f>
        <v>0</v>
      </c>
      <c r="BA42" s="1057">
        <f>$E$42*비용집행계획!AV38</f>
        <v>0</v>
      </c>
      <c r="BB42" s="1057">
        <f>$E$42*비용집행계획!AW38</f>
        <v>0</v>
      </c>
      <c r="BC42" s="1057">
        <f>$E$42*비용집행계획!AX38</f>
        <v>0</v>
      </c>
      <c r="BD42" s="1057">
        <f>$E$42*비용집행계획!AY38</f>
        <v>0</v>
      </c>
      <c r="BE42" s="1057">
        <f>$E$42*비용집행계획!AZ38</f>
        <v>0</v>
      </c>
      <c r="BF42" s="1057">
        <f>$E$42*비용집행계획!BA38</f>
        <v>0</v>
      </c>
      <c r="BG42" s="1057">
        <f>$E$42*비용집행계획!BB38</f>
        <v>0</v>
      </c>
      <c r="BH42" s="1057">
        <f>$E$42*비용집행계획!BC38</f>
        <v>0</v>
      </c>
      <c r="BI42" s="1057">
        <f>$E$42*비용집행계획!BD38</f>
        <v>0</v>
      </c>
      <c r="BJ42" s="1057">
        <f>$E$42*비용집행계획!BE38</f>
        <v>0</v>
      </c>
      <c r="BK42" s="1057">
        <f>$E$42*비용집행계획!BF38</f>
        <v>0</v>
      </c>
      <c r="BL42" s="1057">
        <f>$E$42*비용집행계획!BG38</f>
        <v>0</v>
      </c>
      <c r="BM42" s="1057">
        <f>$E$42*비용집행계획!BH38</f>
        <v>0</v>
      </c>
      <c r="BN42" s="1057">
        <f>$E$42*비용집행계획!BI38</f>
        <v>0</v>
      </c>
      <c r="BO42" s="1057">
        <f>$E$42*비용집행계획!BJ38</f>
        <v>0</v>
      </c>
      <c r="BP42" s="1057">
        <f>$E$42*비용집행계획!BK38</f>
        <v>0</v>
      </c>
      <c r="BQ42" s="1057">
        <f>$E$42*비용집행계획!BL38</f>
        <v>0</v>
      </c>
      <c r="BR42" s="1057">
        <f>$E$42*비용집행계획!BM38</f>
        <v>0</v>
      </c>
      <c r="BS42" s="1057">
        <f>$E$42*비용집행계획!BN38</f>
        <v>0</v>
      </c>
      <c r="BT42" s="1057">
        <f>$E$42*비용집행계획!BO38</f>
        <v>0</v>
      </c>
      <c r="BU42" s="1057">
        <f>$E$42*비용집행계획!BP38</f>
        <v>0</v>
      </c>
      <c r="BV42" s="1057">
        <f>$E$42*비용집행계획!BQ38</f>
        <v>0</v>
      </c>
      <c r="BW42" s="1057">
        <f>$E$42*비용집행계획!BR38</f>
        <v>0</v>
      </c>
      <c r="BX42" s="1057">
        <f>$E$42*비용집행계획!BS38</f>
        <v>0</v>
      </c>
      <c r="BY42" s="1074"/>
      <c r="BZ42" s="1106"/>
      <c r="CA42" s="1111" t="b">
        <f t="shared" si="88"/>
        <v>1</v>
      </c>
      <c r="CB42" s="1095"/>
      <c r="CF42"/>
      <c r="CG42"/>
      <c r="CH42"/>
      <c r="CI42"/>
      <c r="CJ42"/>
      <c r="CK42"/>
    </row>
    <row r="43" spans="2:89" s="1038" customFormat="1">
      <c r="B43" s="1112" t="str">
        <f>'사업수지표 '!Y27</f>
        <v>공사비</v>
      </c>
      <c r="C43" s="1893"/>
      <c r="D43" s="1113"/>
      <c r="E43" s="1114">
        <f>'사업수지표 '!E27:E27</f>
        <v>84190983.249999985</v>
      </c>
      <c r="F43" s="1058" t="b">
        <f t="shared" si="87"/>
        <v>1</v>
      </c>
      <c r="G43" s="1056"/>
      <c r="H43" s="1057"/>
      <c r="I43" s="1057"/>
      <c r="J43" s="1057">
        <f>IF(AND($E$37="분양불",J38&gt;0),IF(J35=1,MIN((J190*$E$43-SUM(I$43:$L43)),J38),0),IF($E$37="기성불",IF(J8&gt;=총괄장!$P$6,0,$E$43*비용집행계획!E39),))</f>
        <v>0</v>
      </c>
      <c r="K43" s="1057">
        <f>IF(AND(OR($E$37="분양불",$E$37="개발신탁"),K38&gt;0),IF(K35=1,MIN((K190*$E$43-SUM(J$43:$L43)),K38),0),IF($E$37="기성불",IF(K8&gt;=총괄장!$P$6,0,$E$43*비용집행계획!F39),))</f>
        <v>0</v>
      </c>
      <c r="L43" s="1057">
        <f>IF(AND($E$37="분양불",L38&gt;0,L186=1),IF(L8&gt;=총괄장!$P$6,0,MIN((L190*$E$43-SUM(K$43:$L43)),L38)),IF(OR($E$37="개발신탁",$E$37="기성불"),IF(L8&gt;=총괄장!$P$6,0,$E$43*비용집행계획!G39),))</f>
        <v>0</v>
      </c>
      <c r="M43" s="1057">
        <f>IF(AND($E$37="분양불",M38&gt;0,M186=1),IF(M8&gt;=총괄장!$P$6,0,MIN((M190*$E$43-SUM(L$43:$L43)),M38)),IF(OR($E$37="개발신탁",$E$37="기성불"),IF(M8&gt;=총괄장!$P$6,0,$E$43*비용집행계획!H39),))</f>
        <v>0</v>
      </c>
      <c r="N43" s="1057">
        <f>IF(AND($E$37="분양불",N38&gt;0,N186=1),IF(N8&gt;=총괄장!$P$6,0,MIN((N190*$E$43-SUM($L$43:M43)),N38)),IF(OR($E$37="개발신탁",$E$37="기성불"),IF(N8&gt;=총괄장!$P$6,0,$E$43*비용집행계획!I39),))</f>
        <v>0</v>
      </c>
      <c r="O43" s="1057">
        <f>IF(AND($E$37="분양불",O38&gt;0,O186=1),IF(O8&gt;=총괄장!$P$6,0,MIN((O190*$E$43-SUM($L$43:N43)),O38)),IF(OR($E$37="개발신탁",$E$37="기성불"),IF(O8&gt;=총괄장!$P$6,0,$E$43*비용집행계획!J39),))</f>
        <v>0</v>
      </c>
      <c r="P43" s="1057">
        <f>IF(AND($E$37="분양불",P38&gt;0,P186=1),IF(P8&gt;=총괄장!$P$6,0,MIN((P190*$E$43-SUM($L$43:O43)),P38)),IF(OR($E$37="개발신탁",$E$37="기성불"),IF(P8&gt;=총괄장!$P$6,0,$E$43*비용집행계획!K39),))</f>
        <v>572498.68609999982</v>
      </c>
      <c r="Q43" s="1057">
        <f>IF(AND($E$37="분양불",Q38&gt;0,Q186=1),IF(Q8&gt;=총괄장!$P$6,0,MIN((Q190*$E$43-SUM($L$43:P43)),Q38)),IF(OR($E$37="개발신탁",$E$37="기성불"),IF(Q8&gt;=총괄장!$P$6,0,$E$43*비용집행계획!L39),))</f>
        <v>0</v>
      </c>
      <c r="R43" s="1057">
        <f>IF(AND($E$37="분양불",R38&gt;0,R186=1),IF(R8&gt;=총괄장!$P$6,0,MIN((R190*$E$43-SUM($L$43:Q43)),R38)),IF(OR($E$37="개발신탁",$E$37="기성불"),IF(R8&gt;=총괄장!$P$6,0,$E$43*비용집행계획!M39),))</f>
        <v>1414408.5185999996</v>
      </c>
      <c r="S43" s="1057">
        <f>IF(AND($E$37="분양불",S38&gt;0,S186=1),IF(S8&gt;=총괄장!$P$6,0,MIN((S190*$E$43-SUM($L$43:R43)),S38)),IF(OR($E$37="개발신탁",$E$37="기성불"),IF(S8&gt;=총괄장!$P$6,0,$E$43*비용집행계획!N39),))</f>
        <v>0</v>
      </c>
      <c r="T43" s="1057">
        <f>IF(AND($E$37="분양불",T38&gt;0,T186=1),IF(T8&gt;=총괄장!$P$6,0,MIN((T190*$E$43-SUM($L$43:S43)),T38)),IF(OR($E$37="개발신탁",$E$37="기성불"),IF(T8&gt;=총괄장!$P$6,0,$E$43*비용집행계획!O39),))</f>
        <v>2727787.8572999975</v>
      </c>
      <c r="U43" s="1057">
        <f>IF(AND($E$37="분양불",U38&gt;0,U186=1),IF(U8&gt;=총괄장!$P$6,0,MIN((U190*$E$43-SUM($L$43:T43)),U38)),IF(OR($E$37="개발신탁",$E$37="기성불"),IF(U8&gt;=총괄장!$P$6,0,$E$43*비용집행계획!P39),))</f>
        <v>0</v>
      </c>
      <c r="V43" s="1057">
        <f>IF(AND($E$37="분양불",V38&gt;0,V186=1),IF(V8&gt;=총괄장!$P$6,0,MIN((V190*$E$43-SUM($L$43:U43)),V38)),IF(OR($E$37="개발신탁",$E$37="기성불"),IF(V8&gt;=총괄장!$P$6,0,$E$43*비용집행계획!Q39),))</f>
        <v>5118811.7815999985</v>
      </c>
      <c r="W43" s="1057">
        <f>IF(AND($E$37="분양불",W38&gt;0,W186=1),IF(W8&gt;=총괄장!$P$6,0,MIN((W190*$E$43-SUM($L$43:V43)),W38)),IF(OR($E$37="개발신탁",$E$37="기성불"),IF(W8&gt;=총괄장!$P$6,0,$E$43*비용집행계획!R39),))</f>
        <v>0</v>
      </c>
      <c r="X43" s="1057">
        <f>IF(AND($E$37="분양불",X38&gt;0,X186=1),IF(X8&gt;=총괄장!$P$6,0,MIN((X190*$E$43-SUM($L$43:W43)),X38)),IF(OR($E$37="개발신탁",$E$37="기성불"),IF(X8&gt;=총괄장!$P$6,0,$E$43*비용집행계획!S39),))</f>
        <v>6364838.3336999975</v>
      </c>
      <c r="Y43" s="1057">
        <f>IF(AND($E$37="분양불",Y38&gt;0,Y186=1),IF(Y8&gt;=총괄장!$P$6,0,MIN((Y190*$E$43-SUM($L$43:X43)),Y38)),IF(OR($E$37="개발신탁",$E$37="기성불"),IF(Y8&gt;=총괄장!$P$6,0,$E$43*비용집행계획!T39),))</f>
        <v>0</v>
      </c>
      <c r="Z43" s="1057">
        <f>IF(AND($E$37="분양불",Z38&gt;0,Z186=1),IF(Z8&gt;=총괄장!$P$6,0,MIN((Z190*$E$43-SUM($L$43:Y43)),Z38)),IF(OR($E$37="개발신탁",$E$37="기성불"),IF(Z8&gt;=총괄장!$P$6,0,$E$43*비용집행계획!U39),))</f>
        <v>8048657.9987000022</v>
      </c>
      <c r="AA43" s="1057">
        <f>IF(AND($E$37="분양불",AA38&gt;0,AA186=1),IF(AA8&gt;=총괄장!$P$6,0,MIN((AA190*$E$43-SUM($L$43:Z43)),AA38)),IF(OR($E$37="개발신탁",$E$37="기성불"),IF(AA8&gt;=총괄장!$P$6,0,$E$43*비용집행계획!V39),))</f>
        <v>0</v>
      </c>
      <c r="AB43" s="1057">
        <f>IF(AND($E$37="분양불",AB38&gt;0,AB186=1),IF(AB8&gt;=총괄장!$P$6,0,MIN((AB190*$E$43-SUM($L$43:AA43)),AB38)),IF(OR($E$37="개발신탁",$E$37="기성불"),IF(AB8&gt;=총괄장!$P$6,0,$E$43*비용집행계획!W39),))</f>
        <v>8637994.88144999</v>
      </c>
      <c r="AC43" s="1057">
        <f>IF(AND($E$37="분양불",AC38&gt;0,AC186=1),IF(AC8&gt;=총괄장!$P$6,0,MIN((AC190*$E$43-SUM($L$43:AB43)),AC38)),IF(OR($E$37="개발신탁",$E$37="기성불"),IF(AC8&gt;=총괄장!$P$6,0,$E$43*비용집행계획!X39),))</f>
        <v>0</v>
      </c>
      <c r="AD43" s="1057">
        <f>IF(AND($E$37="분양불",AD38&gt;0,AD186=1),IF(AD8&gt;=총괄장!$P$6,0,MIN((AD190*$E$43-SUM($L$43:AC43)),AD38)),IF(OR($E$37="개발신탁",$E$37="기성불"),IF(AD8&gt;=총괄장!$P$6,0,$E$43*비용집행계획!Y39),))</f>
        <v>7223586.3628499992</v>
      </c>
      <c r="AE43" s="1057">
        <f>IF(AND($E$37="분양불",AE38&gt;0,AE186=1),IF(AE8&gt;=총괄장!$P$6,0,MIN((AE190*$E$43-SUM($L$43:AD43)),AE38)),IF(OR($E$37="개발신탁",$E$37="기성불"),IF(AE8&gt;=총괄장!$P$6,0,$E$43*비용집행계획!Z39),))</f>
        <v>0</v>
      </c>
      <c r="AF43" s="1057">
        <f>IF(AND($E$37="분양불",AF38&gt;0,AF186=1),IF(AF8&gt;=총괄장!$P$6,0,MIN((AF190*$E$43-SUM($L$43:AE43)),AF38)),IF(OR($E$37="개발신탁",$E$37="기성불"),IF(AF8&gt;=총괄장!$P$6,0,$E$43*비용집행계획!AA39),))</f>
        <v>9985050.6134500057</v>
      </c>
      <c r="AG43" s="1057">
        <f>IF(AND($E$37="분양불",AG38&gt;0,AG186=1),IF(AG8&gt;=총괄장!$P$6,0,MIN((AG190*$E$43-SUM($L$43:AF43)),AG38)),IF(OR($E$37="개발신탁",$E$37="기성불"),IF(AG8&gt;=총괄장!$P$6,0,$E$43*비용집행계획!AB39),))</f>
        <v>0</v>
      </c>
      <c r="AH43" s="1057">
        <f>IF(AND($E$37="분양불",AH38&gt;0,AH186=1),IF(AH8&gt;=총괄장!$P$6,0,MIN((AH190*$E$43-SUM($L$43:AG43)),AH38)),IF(OR($E$37="개발신탁",$E$37="기성불"),IF(AH8&gt;=총괄장!$P$6,0,$E$43*비용집행계획!AC39),))</f>
        <v>9268585.3459924832</v>
      </c>
      <c r="AI43" s="1057">
        <f>IF(AND($E$37="분양불",AI38&gt;0,AI186=1),IF(AI8&gt;=총괄장!$P$6,0,MIN((AI190*$E$43-SUM($L$43:AH43)),AI38)),IF(OR($E$37="개발신탁",$E$37="기성불"),IF(AI8&gt;=총괄장!$P$6,0,$E$43*비용집행계획!AD39),))</f>
        <v>0</v>
      </c>
      <c r="AJ43" s="1057">
        <f>IF(AND($E$37="분양불",AJ38&gt;0,AJ186=1),IF(AJ8&gt;=총괄장!$P$6,0,MIN((AJ190*$E$43-SUM($L$43:AI43)),AJ38)),IF(OR($E$37="개발신탁",$E$37="기성불"),IF(AJ8&gt;=총괄장!$P$6,0,$E$43*비용집행계획!AE39),))</f>
        <v>8536965.701549992</v>
      </c>
      <c r="AK43" s="1057">
        <f>IF(AND($E$37="분양불",AK38&gt;0,AK186=1),IF(AK8&gt;=총괄장!$P$6,0,MIN((AK190*$E$43-SUM($L$43:AJ43)),AK38)),IF(OR($E$37="개발신탁",$E$37="기성불"),IF(AK8&gt;=총괄장!$P$6,0,$E$43*비용집행계획!AF39),))</f>
        <v>0</v>
      </c>
      <c r="AL43" s="1057">
        <f>IF(AND($E$37="분양불",AL38&gt;0,AL186=1),IF(AL8&gt;=총괄장!$P$6,0,MIN((AL190*$E$43-SUM($L$43:AK43)),AL38)),IF(OR($E$37="개발신탁",$E$37="기성불"),IF(AL8&gt;=총괄장!$P$6,0,$E$43*비용집행계획!AG39),))</f>
        <v>7872698.8437075168</v>
      </c>
      <c r="AM43" s="1057">
        <f>IF(AND($E$37="분양불",AM38&gt;0,AM186=1),IF(AM8&gt;=총괄장!$P$6,0,MIN((AM190*$E$43-SUM($L$43:AL43)),AM38)),IF(OR($E$37="개발신탁",$E$37="기성불"),IF(AM8&gt;=총괄장!$P$6,0,$E$43*비용집행계획!AH39),))</f>
        <v>0</v>
      </c>
      <c r="AN43" s="1057">
        <f>IF(AND($E$37="분양불",AN38&gt;0,AN186=1),IF(AN8&gt;=총괄장!$P$6,0,MIN((AN190*$E$43-SUM($L$43:AM43)),AN38)),IF(OR($E$37="개발신탁",$E$37="기성불"),IF(AN8&gt;=총괄장!$P$6,0,$E$43*비용집행계획!AI39),))</f>
        <v>0</v>
      </c>
      <c r="AO43" s="1057">
        <f>IF(AND($E$37="분양불",AO38&gt;0,AO186=1),IF(AO8&gt;=총괄장!$P$6,0,MIN((AO190*$E$43-SUM($L$43:AN43)),AO38)),IF(OR($E$37="개발신탁",$E$37="기성불"),IF(AO8&gt;=총괄장!$P$6,0,$E$43*비용집행계획!AJ39),))</f>
        <v>0</v>
      </c>
      <c r="AP43" s="1057">
        <f>IF(AND($E$37="분양불",AP38&gt;0,AP186=1),IF(AP8&gt;=총괄장!$P$6,0,MIN((AP190*$E$43-SUM($L$43:AO43)),AP38)),IF(OR($E$37="개발신탁",$E$37="기성불"),IF(AP8&gt;=총괄장!$P$6,0,$E$43*비용집행계획!AK39),))</f>
        <v>0</v>
      </c>
      <c r="AQ43" s="1057">
        <f>IF(AND($E$37="분양불",AQ38&gt;0,AQ186=1),IF(AQ8&gt;=총괄장!$P$6,0,MIN((AQ190*$E$43-SUM($L$43:AP43)),AQ38)),IF(OR($E$37="개발신탁",$E$37="기성불"),IF(AQ8&gt;=총괄장!$P$6,0,$E$43*비용집행계획!AL39),))</f>
        <v>0</v>
      </c>
      <c r="AR43" s="1057">
        <f>IF(AND($E$37="분양불",AR38&gt;0,AR186=1),IF(AR8&gt;=총괄장!$P$6,0,MIN((AR190*$E$43-SUM($L$43:AQ43)),AR38)),IF(OR($E$37="개발신탁",$E$37="기성불"),IF(AR8&gt;=총괄장!$P$6,0,$E$43*비용집행계획!AM39),))</f>
        <v>0</v>
      </c>
      <c r="AS43" s="1057">
        <f>IF(AND($E$37="분양불",AS38&gt;0,AS186=1),IF(AS8&gt;=총괄장!$P$6,0,MIN((AS190*$E$43-SUM($L$43:AR43)),AS38)),IF(OR($E$37="개발신탁",$E$37="기성불"),IF(AS8&gt;=총괄장!$P$6,0,$E$43*비용집행계획!AN39),))</f>
        <v>0</v>
      </c>
      <c r="AT43" s="1057">
        <f>IF(AND($E$37="분양불",AT38&gt;0,AT186=1),IF(AT8&gt;=총괄장!$P$6,0,MIN((AT190*$E$43-SUM($L$43:AS43)),AT38)),IF(OR($E$37="개발신탁",$E$37="기성불"),IF(AT8&gt;=총괄장!$P$6,0,$E$43*비용집행계획!AO39),))</f>
        <v>0</v>
      </c>
      <c r="AU43" s="1057">
        <f>IF(AND($E$37="분양불",AU38&gt;0,AU186=1),IF(AU8&gt;=총괄장!$P$6,0,MIN((AU190*$E$43-SUM($L$43:AT43)),AU38)),IF(OR($E$37="개발신탁",$E$37="기성불"),IF(AU8&gt;=총괄장!$P$6,0,$E$43*비용집행계획!AP39),))</f>
        <v>0</v>
      </c>
      <c r="AV43" s="1057">
        <f>IF(AND($E$37="분양불",AV38&gt;0,AV186=1),IF(AV8&gt;=총괄장!$P$6,0,MIN((AV190*$E$43-SUM($L$43:AU43)),AV38)),IF(OR($E$37="개발신탁",$E$37="기성불"),IF(AV8&gt;=총괄장!$P$6,0,$E$43*비용집행계획!AQ39),))</f>
        <v>0</v>
      </c>
      <c r="AW43" s="1057">
        <f>IF(AND($E$37="분양불",AW38&gt;0,AW186=1),IF(AW8&gt;=총괄장!$P$6,0,MIN((AW190*$E$43-SUM($L$43:AV43)),AW38)),IF(OR($E$37="개발신탁",$E$37="기성불"),IF(AW8&gt;=총괄장!$P$6,0,$E$43*비용집행계획!AR39),))</f>
        <v>0</v>
      </c>
      <c r="AX43" s="1057">
        <f>IF(AND($E$37="분양불",AX38&gt;0,AX186=1),IF(AX8&gt;=총괄장!$P$6,0,MIN((AX190*$E$43-SUM($L$43:AW43)),AX38)),IF(OR($E$37="개발신탁",$E$37="기성불"),IF(AX8&gt;=총괄장!$P$6,0,$E$43*비용집행계획!AS39),))</f>
        <v>0</v>
      </c>
      <c r="AY43" s="1057">
        <f>IF(AND($E$37="분양불",AY38&gt;0,AY186=1),IF(AY8&gt;=총괄장!$P$6,0,MIN((AY190*$E$43-SUM($L$43:AX43)),AY38)),IF(OR($E$37="개발신탁",$E$37="기성불"),IF(AY8&gt;=총괄장!$P$6,0,$E$43*비용집행계획!AT39),))</f>
        <v>0</v>
      </c>
      <c r="AZ43" s="1057">
        <f>IF(AND($E$37="분양불",AZ38&gt;0,AZ186=1),IF(AZ8&gt;=총괄장!$P$6,0,MIN((AZ190*$E$43-SUM($L$43:AY43)),AZ38)),IF(OR($E$37="개발신탁",$E$37="기성불"),IF(AZ8&gt;=총괄장!$P$6,0,$E$43*비용집행계획!AU39),))</f>
        <v>0</v>
      </c>
      <c r="BA43" s="1057">
        <f>IF(AND($E$37="분양불",BA38&gt;0,BA186=1),IF(BA8&gt;=총괄장!$P$6,0,MIN((BA190*$E$43-SUM($L$43:AZ43)),BA38)),IF(OR($E$37="개발신탁",$E$37="기성불"),IF(BA8&gt;=총괄장!$P$6,0,$E$43*비용집행계획!AV39),))</f>
        <v>0</v>
      </c>
      <c r="BB43" s="1057">
        <f>IF(AND($E$37="분양불",BB38&gt;0,BB186=1),IF(BB8&gt;=총괄장!$P$6,0,MIN((BB190*$E$43-SUM($L$43:BA43)),BB38)),IF(OR($E$37="개발신탁",$E$37="기성불"),IF(BB8&gt;=총괄장!$P$6,0,$E$43*비용집행계획!AW39),))</f>
        <v>0</v>
      </c>
      <c r="BC43" s="1057">
        <f>IF(AND($E$37="분양불",BC38&gt;0,BC186=1),IF(BC8&gt;=총괄장!$P$6,0,MIN((BC190*$E$43-SUM($L$43:BB43)),BC38)),IF(OR($E$37="개발신탁",$E$37="기성불"),IF(BC8&gt;=총괄장!$P$6,0,$E$43*비용집행계획!AX39),))</f>
        <v>0</v>
      </c>
      <c r="BD43" s="1057">
        <f>IF(AND($E$37="분양불",BD38&gt;0,BD186=1),IF(BD8&gt;=총괄장!$P$6,0,MIN((BD190*$E$43-SUM($L$43:BC43)),BD38)),IF(OR($E$37="개발신탁",$E$37="기성불"),IF(BD8&gt;=총괄장!$P$6,0,$E$43*비용집행계획!AY39),))</f>
        <v>0</v>
      </c>
      <c r="BE43" s="1057">
        <f>IF(AND($E$37="분양불",BE38&gt;0,BE186=1),IF(BE8&gt;=총괄장!$P$6,0,MIN((BE190*$E$43-SUM($L$43:BD43)),BE38)),IF(OR($E$37="개발신탁",$E$37="기성불"),IF(BE8&gt;=총괄장!$P$6,0,$E$43*비용집행계획!AZ39),))</f>
        <v>0</v>
      </c>
      <c r="BF43" s="1057">
        <f>IF(AND($E$37="분양불",BF38&gt;0,BF186=1),IF(BF8&gt;=총괄장!$P$6,0,MIN((BF190*$E$43-SUM($L$43:BE43)),BF38)),IF(OR($E$37="개발신탁",$E$37="기성불"),IF(BF8&gt;=총괄장!$P$6,0,$E$43*비용집행계획!BA39),))</f>
        <v>0</v>
      </c>
      <c r="BG43" s="1057">
        <f>IF(AND($E$37="분양불",BG38&gt;0,BG186=1),IF(BG8&gt;=총괄장!$P$6,0,MIN((BG190*$E$43-SUM($L$43:BF43)),BG38)),IF(OR($E$37="개발신탁",$E$37="기성불"),IF(BG8&gt;=총괄장!$P$6,0,$E$43*비용집행계획!BB39),))</f>
        <v>0</v>
      </c>
      <c r="BH43" s="1057">
        <f>IF(AND($E$37="분양불",BH38&gt;0,BH186=1),IF(BH8&gt;=총괄장!$P$6,0,MIN((BH190*$E$43-SUM($L$43:BG43)),BH38)),IF(OR($E$37="개발신탁",$E$37="기성불"),IF(BH8&gt;=총괄장!$P$6,0,$E$43*비용집행계획!BC39),))</f>
        <v>0</v>
      </c>
      <c r="BI43" s="1057">
        <f>IF(AND($E$37="분양불",BI38&gt;0,BI186=1),IF(BI8&gt;=총괄장!$P$6,0,MIN((BI190*$E$43-SUM($L$43:BH43)),BI38)),IF(OR($E$37="개발신탁",$E$37="기성불"),IF(BI8&gt;=총괄장!$P$6,0,$E$43*비용집행계획!BD39),))</f>
        <v>0</v>
      </c>
      <c r="BJ43" s="1057">
        <f>IF(AND($E$37="분양불",BJ38&gt;0,BJ186=1),IF(BJ8&gt;=총괄장!$P$6,0,MIN((BJ190*$E$43-SUM($L$43:BI43)),BJ38)),IF(OR($E$37="개발신탁",$E$37="기성불"),IF(BJ8&gt;=총괄장!$P$6,0,$E$43*비용집행계획!BE39),))</f>
        <v>0</v>
      </c>
      <c r="BK43" s="1057">
        <f>IF(AND($E$37="분양불",BK38&gt;0,BK186=1),IF(BK8&gt;=총괄장!$P$6,0,MIN((BK190*$E$43-SUM($L$43:BJ43)),BK38)),IF(OR($E$37="개발신탁",$E$37="기성불"),IF(BK8&gt;=총괄장!$P$6,0,$E$43*비용집행계획!BF39),))</f>
        <v>0</v>
      </c>
      <c r="BL43" s="1057">
        <f>IF(AND($E$37="분양불",BL38&gt;0,BL186=1),IF(BL8&gt;=총괄장!$P$6,0,MIN((BL190*$E$43-SUM($L$43:BK43)),BL38)),IF(OR($E$37="개발신탁",$E$37="기성불"),IF(BL8&gt;=총괄장!$P$6,0,$E$43*비용집행계획!BG39),))</f>
        <v>0</v>
      </c>
      <c r="BM43" s="1057">
        <f>IF(AND($E$37="분양불",BM38&gt;0,BM186=1),IF(BM8&gt;=총괄장!$P$6,0,MIN((BM190*$E$43-SUM($L$43:BL43)),BM38)),IF(OR($E$37="개발신탁",$E$37="기성불"),IF(BM8&gt;=총괄장!$P$6,0,$E$43*비용집행계획!BH39),))</f>
        <v>0</v>
      </c>
      <c r="BN43" s="1057">
        <f>IF(AND($E$37="분양불",BN38&gt;0,BN186=1),IF(BN8&gt;=총괄장!$P$6,0,MIN((BN190*$E$43-SUM($L$43:BM43)),BN38)),IF(OR($E$37="개발신탁",$E$37="기성불"),IF(BN8&gt;=총괄장!$P$6,0,$E$43*비용집행계획!BI39),))</f>
        <v>0</v>
      </c>
      <c r="BO43" s="1057">
        <f>IF(AND($E$37="분양불",BO38&gt;0,BO186=1),IF(BO8&gt;=총괄장!$P$6,0,MIN((BO190*$E$43-SUM($L$43:BN43)),BO38)),IF(OR($E$37="개발신탁",$E$37="기성불"),IF(BO8&gt;=총괄장!$P$6,0,$E$43*비용집행계획!BJ39),))</f>
        <v>0</v>
      </c>
      <c r="BP43" s="1057">
        <f>IF(AND($E$37="분양불",BP38&gt;0,BP186=1),IF(BP8&gt;=총괄장!$P$6,0,MIN((BP190*$E$43-SUM($L$43:BO43)),BP38)),IF(OR($E$37="개발신탁",$E$37="기성불"),IF(BP8&gt;=총괄장!$P$6,0,$E$43*비용집행계획!BK39),))</f>
        <v>0</v>
      </c>
      <c r="BQ43" s="1057">
        <f>IF(AND($E$37="분양불",BQ38&gt;0,BQ186=1),IF(BQ8&gt;=총괄장!$P$6,0,MIN((BQ190*$E$43-SUM($L$43:BP43)),BQ38)),IF(OR($E$37="개발신탁",$E$37="기성불"),IF(BQ8&gt;=총괄장!$P$6,0,$E$43*비용집행계획!BL39),))</f>
        <v>0</v>
      </c>
      <c r="BR43" s="1057">
        <f>IF(AND($E$37="분양불",BR38&gt;0,BR186=1),IF(BR8&gt;=총괄장!$P$6,0,MIN((BR190*$E$43-SUM($L$43:BQ43)),BR38)),IF(OR($E$37="개발신탁",$E$37="기성불"),IF(BR8&gt;=총괄장!$P$6,0,$E$43*비용집행계획!BM39),))</f>
        <v>0</v>
      </c>
      <c r="BS43" s="1057">
        <f>IF(AND($E$37="분양불",BS38&gt;0,BS186=1),IF(BS8&gt;=총괄장!$P$6,0,MIN((BS190*$E$43-SUM($L$43:BR43)),BS38)),IF(OR($E$37="개발신탁",$E$37="기성불"),IF(BS8&gt;=총괄장!$P$6,0,$E$43*비용집행계획!BN39),))</f>
        <v>0</v>
      </c>
      <c r="BT43" s="1057">
        <f>IF(AND($E$37="분양불",BT38&gt;0,BT186=1),IF(BT8&gt;=총괄장!$P$6,0,MIN((BT190*$E$43-SUM($L$43:BS43)),BT38)),IF(OR($E$37="개발신탁",$E$37="기성불"),IF(BT8&gt;=총괄장!$P$6,0,$E$43*비용집행계획!BO39),))</f>
        <v>0</v>
      </c>
      <c r="BU43" s="1057">
        <f>IF(AND($E$37="분양불",BU38&gt;0,BU186=1),IF(BU8&gt;=총괄장!$P$6,0,MIN((BU190*$E$43-SUM($L$43:BT43)),BU38)),IF(OR($E$37="개발신탁",$E$37="기성불"),IF(BU8&gt;=총괄장!$P$6,0,$E$43*비용집행계획!BP39),))</f>
        <v>0</v>
      </c>
      <c r="BV43" s="1057">
        <f>IFERROR(비용집행계획!BQ39,0)</f>
        <v>0</v>
      </c>
      <c r="BW43" s="1057">
        <f>IFERROR(비용집행계획!BR39,0)</f>
        <v>0</v>
      </c>
      <c r="BX43" s="1057">
        <f>IFERROR((E43-SUM(K43:BW43)),0)</f>
        <v>8419098.325000003</v>
      </c>
      <c r="BY43" s="1115" t="str">
        <f t="shared" ref="BY43:BY48" si="89">B43</f>
        <v>공사비</v>
      </c>
      <c r="BZ43" s="1116">
        <f t="shared" ref="BZ43:BZ48" si="90">SUM(G43:BX43)</f>
        <v>84190983.249999985</v>
      </c>
      <c r="CA43" s="1117" t="b">
        <f t="shared" si="88"/>
        <v>1</v>
      </c>
      <c r="CB43" s="1118">
        <f>'사업수지표 '!AC27</f>
        <v>0</v>
      </c>
      <c r="CC43" s="1119">
        <f>'사업수지표 '!AD27</f>
        <v>84190983.249999985</v>
      </c>
      <c r="CD43" s="1120">
        <f>CB43+CC43</f>
        <v>84190983.249999985</v>
      </c>
      <c r="CE43" s="1095"/>
      <c r="CF43"/>
      <c r="CG43"/>
      <c r="CH43"/>
      <c r="CI43"/>
      <c r="CJ43"/>
      <c r="CK43"/>
    </row>
    <row r="44" spans="2:89" s="1038" customFormat="1">
      <c r="B44" s="1103" t="str">
        <f>'사업수지표 '!Y28</f>
        <v>철거비</v>
      </c>
      <c r="C44" s="1892"/>
      <c r="D44" s="1104"/>
      <c r="E44" s="1105">
        <f>'사업수지표 '!E28:E28</f>
        <v>0</v>
      </c>
      <c r="F44" s="1058" t="b">
        <f t="shared" si="87"/>
        <v>1</v>
      </c>
      <c r="G44" s="1056"/>
      <c r="H44" s="1057"/>
      <c r="I44" s="1057"/>
      <c r="J44" s="1057">
        <f>$E$44*비용집행계획!E40</f>
        <v>0</v>
      </c>
      <c r="K44" s="1057">
        <f>$E$44*비용집행계획!F40</f>
        <v>0</v>
      </c>
      <c r="L44" s="1057">
        <f>$E$44*비용집행계획!G40</f>
        <v>0</v>
      </c>
      <c r="M44" s="1057">
        <f>$E$44*비용집행계획!H40</f>
        <v>0</v>
      </c>
      <c r="N44" s="1057">
        <f>$E$44*비용집행계획!I40</f>
        <v>0</v>
      </c>
      <c r="O44" s="1057">
        <f>$E$44*비용집행계획!J40</f>
        <v>0</v>
      </c>
      <c r="P44" s="1057">
        <f>$E$44*비용집행계획!K40</f>
        <v>0</v>
      </c>
      <c r="Q44" s="1057">
        <f>$E$44*비용집행계획!L40</f>
        <v>0</v>
      </c>
      <c r="R44" s="1057">
        <f>$E$44*비용집행계획!M40</f>
        <v>0</v>
      </c>
      <c r="S44" s="1057">
        <f>$E$44*비용집행계획!N40</f>
        <v>0</v>
      </c>
      <c r="T44" s="1057">
        <f>$E$44*비용집행계획!O40</f>
        <v>0</v>
      </c>
      <c r="U44" s="1057">
        <f>$E$44*비용집행계획!P40</f>
        <v>0</v>
      </c>
      <c r="V44" s="1057">
        <f>$E$44*비용집행계획!Q40</f>
        <v>0</v>
      </c>
      <c r="W44" s="1057">
        <f>$E$44*비용집행계획!R40</f>
        <v>0</v>
      </c>
      <c r="X44" s="1057">
        <f>$E$44*비용집행계획!S40</f>
        <v>0</v>
      </c>
      <c r="Y44" s="1057">
        <f>$E$44*비용집행계획!T40</f>
        <v>0</v>
      </c>
      <c r="Z44" s="1057">
        <f>$E$44*비용집행계획!U40</f>
        <v>0</v>
      </c>
      <c r="AA44" s="1057">
        <f>$E$44*비용집행계획!V40</f>
        <v>0</v>
      </c>
      <c r="AB44" s="1057">
        <f>$E$44*비용집행계획!W40</f>
        <v>0</v>
      </c>
      <c r="AC44" s="1057">
        <f>$E$44*비용집행계획!X40</f>
        <v>0</v>
      </c>
      <c r="AD44" s="1057">
        <f>$E$44*비용집행계획!Y40</f>
        <v>0</v>
      </c>
      <c r="AE44" s="1057">
        <f>$E$44*비용집행계획!Z40</f>
        <v>0</v>
      </c>
      <c r="AF44" s="1057">
        <f>$E$44*비용집행계획!AA40</f>
        <v>0</v>
      </c>
      <c r="AG44" s="1057">
        <f>$E$44*비용집행계획!AB40</f>
        <v>0</v>
      </c>
      <c r="AH44" s="1057">
        <f>$E$44*비용집행계획!AC40</f>
        <v>0</v>
      </c>
      <c r="AI44" s="1057">
        <f>$E$44*비용집행계획!AD40</f>
        <v>0</v>
      </c>
      <c r="AJ44" s="1057">
        <f>$E$44*비용집행계획!AE40</f>
        <v>0</v>
      </c>
      <c r="AK44" s="1057">
        <f>$E$44*비용집행계획!AF40</f>
        <v>0</v>
      </c>
      <c r="AL44" s="1057">
        <f>$E$44*비용집행계획!AG40</f>
        <v>0</v>
      </c>
      <c r="AM44" s="1057">
        <f>$E$44*비용집행계획!AH40</f>
        <v>0</v>
      </c>
      <c r="AN44" s="1057">
        <f>$E$44*비용집행계획!AI40</f>
        <v>0</v>
      </c>
      <c r="AO44" s="1057">
        <f>$E$44*비용집행계획!AJ40</f>
        <v>0</v>
      </c>
      <c r="AP44" s="1057">
        <f>$E$44*비용집행계획!AK40</f>
        <v>0</v>
      </c>
      <c r="AQ44" s="1057">
        <f>$E$44*비용집행계획!AL40</f>
        <v>0</v>
      </c>
      <c r="AR44" s="1057">
        <f>$E$44*비용집행계획!AM40</f>
        <v>0</v>
      </c>
      <c r="AS44" s="1057">
        <f>$E$44*비용집행계획!AN40</f>
        <v>0</v>
      </c>
      <c r="AT44" s="1057">
        <f>$E$44*비용집행계획!AO40</f>
        <v>0</v>
      </c>
      <c r="AU44" s="1057">
        <f>$E$44*비용집행계획!AP40</f>
        <v>0</v>
      </c>
      <c r="AV44" s="1057">
        <f>$E$44*비용집행계획!AQ40</f>
        <v>0</v>
      </c>
      <c r="AW44" s="1057">
        <f>$E$44*비용집행계획!AR40</f>
        <v>0</v>
      </c>
      <c r="AX44" s="1057">
        <f>$E$44*비용집행계획!AS40</f>
        <v>0</v>
      </c>
      <c r="AY44" s="1057">
        <f>$E$44*비용집행계획!AT40</f>
        <v>0</v>
      </c>
      <c r="AZ44" s="1057">
        <f>$E$44*비용집행계획!AU40</f>
        <v>0</v>
      </c>
      <c r="BA44" s="1057">
        <f>$E$44*비용집행계획!AV40</f>
        <v>0</v>
      </c>
      <c r="BB44" s="1057">
        <f>$E$44*비용집행계획!AW40</f>
        <v>0</v>
      </c>
      <c r="BC44" s="1057">
        <f>$E$44*비용집행계획!AX40</f>
        <v>0</v>
      </c>
      <c r="BD44" s="1057">
        <f>$E$44*비용집행계획!AY40</f>
        <v>0</v>
      </c>
      <c r="BE44" s="1057">
        <f>$E$44*비용집행계획!AZ40</f>
        <v>0</v>
      </c>
      <c r="BF44" s="1057">
        <f>$E$44*비용집행계획!BA40</f>
        <v>0</v>
      </c>
      <c r="BG44" s="1057">
        <f>$E$44*비용집행계획!BB40</f>
        <v>0</v>
      </c>
      <c r="BH44" s="1057">
        <f>$E$44*비용집행계획!BC40</f>
        <v>0</v>
      </c>
      <c r="BI44" s="1057">
        <f>$E$44*비용집행계획!BD40</f>
        <v>0</v>
      </c>
      <c r="BJ44" s="1057">
        <f>$E$44*비용집행계획!BE40</f>
        <v>0</v>
      </c>
      <c r="BK44" s="1057">
        <f>$E$44*비용집행계획!BF40</f>
        <v>0</v>
      </c>
      <c r="BL44" s="1057">
        <f>$E$44*비용집행계획!BG40</f>
        <v>0</v>
      </c>
      <c r="BM44" s="1057">
        <f>$E$44*비용집행계획!BH40</f>
        <v>0</v>
      </c>
      <c r="BN44" s="1057">
        <f>$E$44*비용집행계획!BI40</f>
        <v>0</v>
      </c>
      <c r="BO44" s="1057">
        <f>$E$44*비용집행계획!BJ40</f>
        <v>0</v>
      </c>
      <c r="BP44" s="1057">
        <f>$E$44*비용집행계획!BK40</f>
        <v>0</v>
      </c>
      <c r="BQ44" s="1057">
        <f>$E$44*비용집행계획!BL40</f>
        <v>0</v>
      </c>
      <c r="BR44" s="1057">
        <f>$E$44*비용집행계획!BM40</f>
        <v>0</v>
      </c>
      <c r="BS44" s="1057">
        <f>$E$44*비용집행계획!BN40</f>
        <v>0</v>
      </c>
      <c r="BT44" s="1057">
        <f>$E$44*비용집행계획!BO40</f>
        <v>0</v>
      </c>
      <c r="BU44" s="1057">
        <f>$E$44*비용집행계획!BP40</f>
        <v>0</v>
      </c>
      <c r="BV44" s="1057">
        <f>$E$44*비용집행계획!BQ40</f>
        <v>0</v>
      </c>
      <c r="BW44" s="1057">
        <f>$E$44*비용집행계획!BR40</f>
        <v>0</v>
      </c>
      <c r="BX44" s="1057">
        <f>$E$44*비용집행계획!BS40</f>
        <v>0</v>
      </c>
      <c r="BY44" s="1074" t="str">
        <f t="shared" si="89"/>
        <v>철거비</v>
      </c>
      <c r="BZ44" s="1106">
        <f t="shared" si="90"/>
        <v>0</v>
      </c>
      <c r="CA44" s="1111" t="b">
        <f t="shared" si="88"/>
        <v>1</v>
      </c>
      <c r="CB44" s="1750">
        <f>BX43/BZ43</f>
        <v>0.10000000000000005</v>
      </c>
      <c r="CC44" s="1751"/>
      <c r="CD44" s="1752">
        <f>CB44-CC44</f>
        <v>0.10000000000000005</v>
      </c>
      <c r="CF44"/>
      <c r="CG44"/>
      <c r="CH44"/>
      <c r="CI44"/>
      <c r="CJ44"/>
      <c r="CK44"/>
    </row>
    <row r="45" spans="2:89" s="1038" customFormat="1">
      <c r="B45" s="1103" t="str">
        <f>'사업수지표 '!Y29</f>
        <v>인입공사비</v>
      </c>
      <c r="C45" s="1892"/>
      <c r="D45" s="1104"/>
      <c r="E45" s="1105">
        <f>'사업수지표 '!E29:E29</f>
        <v>505145.89949999994</v>
      </c>
      <c r="F45" s="1058" t="b">
        <f t="shared" si="87"/>
        <v>1</v>
      </c>
      <c r="G45" s="1056"/>
      <c r="H45" s="1057"/>
      <c r="I45" s="1057"/>
      <c r="J45" s="1057">
        <f>$E$45*비용집행계획!E41</f>
        <v>0</v>
      </c>
      <c r="K45" s="1057">
        <f>$E$45*비용집행계획!F41</f>
        <v>0</v>
      </c>
      <c r="L45" s="1057">
        <f>$E$45*비용집행계획!G41</f>
        <v>0</v>
      </c>
      <c r="M45" s="1057">
        <f>$E$45*비용집행계획!H41</f>
        <v>0</v>
      </c>
      <c r="N45" s="1057">
        <f>$E$45*비용집행계획!I41</f>
        <v>0</v>
      </c>
      <c r="O45" s="1057">
        <f>$E$45*비용집행계획!J41</f>
        <v>0</v>
      </c>
      <c r="P45" s="1057">
        <f>$E$45*비용집행계획!K41</f>
        <v>0</v>
      </c>
      <c r="Q45" s="1057">
        <f>$E$45*비용집행계획!L41</f>
        <v>0</v>
      </c>
      <c r="R45" s="1057">
        <f>$E$45*비용집행계획!M41</f>
        <v>0</v>
      </c>
      <c r="S45" s="1057">
        <f>$E$45*비용집행계획!N41</f>
        <v>0</v>
      </c>
      <c r="T45" s="1057">
        <f>$E$45*비용집행계획!O41</f>
        <v>0</v>
      </c>
      <c r="U45" s="1057">
        <f>$E$45*비용집행계획!P41</f>
        <v>0</v>
      </c>
      <c r="V45" s="1057">
        <f>$E$45*비용집행계획!Q41</f>
        <v>0</v>
      </c>
      <c r="W45" s="1057">
        <f>$E$45*비용집행계획!R41</f>
        <v>0</v>
      </c>
      <c r="X45" s="1057">
        <f>$E$45*비용집행계획!S41</f>
        <v>0</v>
      </c>
      <c r="Y45" s="1057">
        <f>$E$45*비용집행계획!T41</f>
        <v>0</v>
      </c>
      <c r="Z45" s="1057">
        <f>$E$45*비용집행계획!U41</f>
        <v>0</v>
      </c>
      <c r="AA45" s="1057">
        <f>$E$45*비용집행계획!V41</f>
        <v>0</v>
      </c>
      <c r="AB45" s="1057">
        <f>$E$45*비용집행계획!W41</f>
        <v>0</v>
      </c>
      <c r="AC45" s="1057">
        <f>$E$45*비용집행계획!X41</f>
        <v>0</v>
      </c>
      <c r="AD45" s="1057">
        <f>$E$45*비용집행계획!Y41</f>
        <v>0</v>
      </c>
      <c r="AE45" s="1057">
        <f>$E$45*비용집행계획!Z41</f>
        <v>0</v>
      </c>
      <c r="AF45" s="1057">
        <f>$E$45*비용집행계획!AA41</f>
        <v>0</v>
      </c>
      <c r="AG45" s="1057">
        <f>$E$45*비용집행계획!AB41</f>
        <v>0</v>
      </c>
      <c r="AH45" s="1057">
        <f>$E$45*비용집행계획!AC41</f>
        <v>0</v>
      </c>
      <c r="AI45" s="1057">
        <f>$E$45*비용집행계획!AD41</f>
        <v>0</v>
      </c>
      <c r="AJ45" s="1057">
        <f>$E$45*비용집행계획!AE41</f>
        <v>151543.76984999998</v>
      </c>
      <c r="AK45" s="1057">
        <f>$E$45*비용집행계획!AF41</f>
        <v>0</v>
      </c>
      <c r="AL45" s="1057">
        <f>$E$45*비용집행계획!AG41</f>
        <v>0</v>
      </c>
      <c r="AM45" s="1057">
        <f>$E$45*비용집행계획!AH41</f>
        <v>151543.76984999998</v>
      </c>
      <c r="AN45" s="1057">
        <f>$E$45*비용집행계획!AI41</f>
        <v>0</v>
      </c>
      <c r="AO45" s="1057">
        <f>$E$45*비용집행계획!AJ41</f>
        <v>202058.35979999998</v>
      </c>
      <c r="AP45" s="1057">
        <f>$E$45*비용집행계획!AK41</f>
        <v>0</v>
      </c>
      <c r="AQ45" s="1057">
        <f>$E$45*비용집행계획!AL41</f>
        <v>0</v>
      </c>
      <c r="AR45" s="1057">
        <f>$E$45*비용집행계획!AM41</f>
        <v>0</v>
      </c>
      <c r="AS45" s="1057">
        <f>$E$45*비용집행계획!AN41</f>
        <v>0</v>
      </c>
      <c r="AT45" s="1057">
        <f>$E$45*비용집행계획!AO41</f>
        <v>0</v>
      </c>
      <c r="AU45" s="1057">
        <f>$E$45*비용집행계획!AP41</f>
        <v>0</v>
      </c>
      <c r="AV45" s="1057">
        <f>$E$45*비용집행계획!AQ41</f>
        <v>0</v>
      </c>
      <c r="AW45" s="1057">
        <f>$E$45*비용집행계획!AR41</f>
        <v>0</v>
      </c>
      <c r="AX45" s="1057">
        <f>$E$45*비용집행계획!AS41</f>
        <v>0</v>
      </c>
      <c r="AY45" s="1057">
        <f>$E$45*비용집행계획!AT41</f>
        <v>0</v>
      </c>
      <c r="AZ45" s="1057">
        <f>$E$45*비용집행계획!AU41</f>
        <v>0</v>
      </c>
      <c r="BA45" s="1057">
        <f>$E$45*비용집행계획!AV41</f>
        <v>0</v>
      </c>
      <c r="BB45" s="1057">
        <f>$E$45*비용집행계획!AW41</f>
        <v>0</v>
      </c>
      <c r="BC45" s="1057">
        <f>$E$45*비용집행계획!AX41</f>
        <v>0</v>
      </c>
      <c r="BD45" s="1057">
        <f>$E$45*비용집행계획!AY41</f>
        <v>0</v>
      </c>
      <c r="BE45" s="1057">
        <f>$E$45*비용집행계획!AZ41</f>
        <v>0</v>
      </c>
      <c r="BF45" s="1057">
        <f>$E$45*비용집행계획!BA41</f>
        <v>0</v>
      </c>
      <c r="BG45" s="1057">
        <f>$E$45*비용집행계획!BB41</f>
        <v>0</v>
      </c>
      <c r="BH45" s="1057">
        <f>$E$45*비용집행계획!BC41</f>
        <v>0</v>
      </c>
      <c r="BI45" s="1057">
        <f>$E$45*비용집행계획!BD41</f>
        <v>0</v>
      </c>
      <c r="BJ45" s="1057">
        <f>$E$45*비용집행계획!BE41</f>
        <v>0</v>
      </c>
      <c r="BK45" s="1057">
        <f>$E$45*비용집행계획!BF41</f>
        <v>0</v>
      </c>
      <c r="BL45" s="1057">
        <f>$E$45*비용집행계획!BG41</f>
        <v>0</v>
      </c>
      <c r="BM45" s="1057">
        <f>$E$45*비용집행계획!BH41</f>
        <v>0</v>
      </c>
      <c r="BN45" s="1057">
        <f>$E$45*비용집행계획!BI41</f>
        <v>0</v>
      </c>
      <c r="BO45" s="1057">
        <f>$E$45*비용집행계획!BJ41</f>
        <v>0</v>
      </c>
      <c r="BP45" s="1057">
        <f>$E$45*비용집행계획!BK41</f>
        <v>0</v>
      </c>
      <c r="BQ45" s="1057">
        <f>$E$45*비용집행계획!BL41</f>
        <v>0</v>
      </c>
      <c r="BR45" s="1057">
        <f>$E$45*비용집행계획!BM41</f>
        <v>0</v>
      </c>
      <c r="BS45" s="1057">
        <f>$E$45*비용집행계획!BN41</f>
        <v>0</v>
      </c>
      <c r="BT45" s="1057">
        <f>$E$45*비용집행계획!BO41</f>
        <v>0</v>
      </c>
      <c r="BU45" s="1057">
        <f>$E$45*비용집행계획!BP41</f>
        <v>0</v>
      </c>
      <c r="BV45" s="1057">
        <f>$E$45*비용집행계획!BQ41</f>
        <v>0</v>
      </c>
      <c r="BW45" s="1057">
        <f>$E$45*비용집행계획!BR41</f>
        <v>0</v>
      </c>
      <c r="BX45" s="1057">
        <f>$E$45*비용집행계획!BS41</f>
        <v>0</v>
      </c>
      <c r="BY45" s="1074" t="str">
        <f t="shared" si="89"/>
        <v>인입공사비</v>
      </c>
      <c r="BZ45" s="1106">
        <f t="shared" si="90"/>
        <v>505145.89949999994</v>
      </c>
      <c r="CA45" s="1111" t="b">
        <f t="shared" si="88"/>
        <v>1</v>
      </c>
      <c r="CD45" s="1124">
        <f>CD43*CD44</f>
        <v>8419098.325000003</v>
      </c>
      <c r="CF45"/>
      <c r="CG45"/>
      <c r="CH45"/>
      <c r="CI45"/>
      <c r="CJ45"/>
      <c r="CK45"/>
    </row>
    <row r="46" spans="2:89" s="1124" customFormat="1">
      <c r="B46" s="1121" t="str">
        <f>'사업수지표 '!Y30</f>
        <v>미술장식품설치</v>
      </c>
      <c r="C46" s="1122"/>
      <c r="D46" s="1122"/>
      <c r="E46" s="1123">
        <f>'사업수지표 '!E30:E30</f>
        <v>90104.601759000012</v>
      </c>
      <c r="F46" s="1058" t="b">
        <f t="shared" si="87"/>
        <v>1</v>
      </c>
      <c r="G46" s="1073"/>
      <c r="H46" s="1063"/>
      <c r="I46" s="1063"/>
      <c r="J46" s="1057">
        <f>$E$46*비용집행계획!E42</f>
        <v>0</v>
      </c>
      <c r="K46" s="1057">
        <f>$E$46*비용집행계획!F42</f>
        <v>0</v>
      </c>
      <c r="L46" s="1057">
        <f>$E$46*비용집행계획!G42</f>
        <v>0</v>
      </c>
      <c r="M46" s="1057">
        <f>$E$46*비용집행계획!H42</f>
        <v>0</v>
      </c>
      <c r="N46" s="1057">
        <f>$E$46*비용집행계획!I42</f>
        <v>0</v>
      </c>
      <c r="O46" s="1057">
        <f>$E$46*비용집행계획!J42</f>
        <v>0</v>
      </c>
      <c r="P46" s="1057">
        <f>$E$46*비용집행계획!K42</f>
        <v>0</v>
      </c>
      <c r="Q46" s="1057">
        <f>$E$46*비용집행계획!L42</f>
        <v>0</v>
      </c>
      <c r="R46" s="1057">
        <f>$E$46*비용집행계획!M42</f>
        <v>0</v>
      </c>
      <c r="S46" s="1057">
        <f>$E$46*비용집행계획!N42</f>
        <v>0</v>
      </c>
      <c r="T46" s="1057">
        <f>$E$46*비용집행계획!O42</f>
        <v>0</v>
      </c>
      <c r="U46" s="1057">
        <f>$E$46*비용집행계획!P42</f>
        <v>0</v>
      </c>
      <c r="V46" s="1057">
        <f>$E$46*비용집행계획!Q42</f>
        <v>0</v>
      </c>
      <c r="W46" s="1057">
        <f>$E$46*비용집행계획!R42</f>
        <v>0</v>
      </c>
      <c r="X46" s="1057">
        <f>$E$46*비용집행계획!S42</f>
        <v>0</v>
      </c>
      <c r="Y46" s="1057">
        <f>$E$46*비용집행계획!T42</f>
        <v>0</v>
      </c>
      <c r="Z46" s="1057">
        <f>$E$46*비용집행계획!U42</f>
        <v>0</v>
      </c>
      <c r="AA46" s="1057">
        <f>$E$46*비용집행계획!V42</f>
        <v>0</v>
      </c>
      <c r="AB46" s="1057">
        <f>$E$46*비용집행계획!W42</f>
        <v>0</v>
      </c>
      <c r="AC46" s="1057">
        <f>$E$46*비용집행계획!X42</f>
        <v>0</v>
      </c>
      <c r="AD46" s="1057">
        <f>$E$46*비용집행계획!Y42</f>
        <v>0</v>
      </c>
      <c r="AE46" s="1057">
        <f>$E$46*비용집행계획!Z42</f>
        <v>0</v>
      </c>
      <c r="AF46" s="1057">
        <f>$E$46*비용집행계획!AA42</f>
        <v>0</v>
      </c>
      <c r="AG46" s="1057">
        <f>$E$46*비용집행계획!AB42</f>
        <v>0</v>
      </c>
      <c r="AH46" s="1057">
        <f>$E$46*비용집행계획!AC42</f>
        <v>0</v>
      </c>
      <c r="AI46" s="1057">
        <f>$E$46*비용집행계획!AD42</f>
        <v>0</v>
      </c>
      <c r="AJ46" s="1057">
        <f>$E$46*비용집행계획!AE42</f>
        <v>0</v>
      </c>
      <c r="AK46" s="1057">
        <f>$E$46*비용집행계획!AF42</f>
        <v>27031.380527700003</v>
      </c>
      <c r="AL46" s="1057">
        <f>$E$46*비용집행계획!AG42</f>
        <v>0</v>
      </c>
      <c r="AM46" s="1057">
        <f>$E$46*비용집행계획!AH42</f>
        <v>0</v>
      </c>
      <c r="AN46" s="1057">
        <f>$E$46*비용집행계획!AI42</f>
        <v>27031.380527700003</v>
      </c>
      <c r="AO46" s="1057">
        <f>$E$46*비용집행계획!AJ42</f>
        <v>0</v>
      </c>
      <c r="AP46" s="1057">
        <f>$E$46*비용집행계획!AK42</f>
        <v>0</v>
      </c>
      <c r="AQ46" s="1057">
        <f>$E$46*비용집행계획!AL42</f>
        <v>0</v>
      </c>
      <c r="AR46" s="1057">
        <f>$E$46*비용집행계획!AM42</f>
        <v>0</v>
      </c>
      <c r="AS46" s="1057">
        <f>$E$46*비용집행계획!AN42</f>
        <v>0</v>
      </c>
      <c r="AT46" s="1057">
        <f>$E$46*비용집행계획!AO42</f>
        <v>0</v>
      </c>
      <c r="AU46" s="1057">
        <f>$E$46*비용집행계획!AP42</f>
        <v>0</v>
      </c>
      <c r="AV46" s="1057">
        <f>$E$46*비용집행계획!AQ42</f>
        <v>0</v>
      </c>
      <c r="AW46" s="1057">
        <f>$E$46*비용집행계획!AR42</f>
        <v>0</v>
      </c>
      <c r="AX46" s="1057">
        <f>$E$46*비용집행계획!AS42</f>
        <v>0</v>
      </c>
      <c r="AY46" s="1057">
        <f>$E$46*비용집행계획!AT42</f>
        <v>0</v>
      </c>
      <c r="AZ46" s="1057">
        <f>$E$46*비용집행계획!AU42</f>
        <v>0</v>
      </c>
      <c r="BA46" s="1057">
        <f>$E$46*비용집행계획!AV42</f>
        <v>0</v>
      </c>
      <c r="BB46" s="1057">
        <f>$E$46*비용집행계획!AW42</f>
        <v>0</v>
      </c>
      <c r="BC46" s="1057">
        <f>$E$46*비용집행계획!AX42</f>
        <v>0</v>
      </c>
      <c r="BD46" s="1057">
        <f>$E$46*비용집행계획!AY42</f>
        <v>0</v>
      </c>
      <c r="BE46" s="1057">
        <f>$E$46*비용집행계획!AZ42</f>
        <v>0</v>
      </c>
      <c r="BF46" s="1057">
        <f>$E$46*비용집행계획!BA42</f>
        <v>0</v>
      </c>
      <c r="BG46" s="1057">
        <f>$E$46*비용집행계획!BB42</f>
        <v>0</v>
      </c>
      <c r="BH46" s="1057">
        <f>$E$46*비용집행계획!BC42</f>
        <v>0</v>
      </c>
      <c r="BI46" s="1057">
        <f>$E$46*비용집행계획!BD42</f>
        <v>0</v>
      </c>
      <c r="BJ46" s="1057">
        <f>$E$46*비용집행계획!BE42</f>
        <v>0</v>
      </c>
      <c r="BK46" s="1057">
        <f>$E$46*비용집행계획!BF42</f>
        <v>0</v>
      </c>
      <c r="BL46" s="1057">
        <f>$E$46*비용집행계획!BG42</f>
        <v>0</v>
      </c>
      <c r="BM46" s="1057">
        <f>$E$46*비용집행계획!BH42</f>
        <v>0</v>
      </c>
      <c r="BN46" s="1057">
        <f>$E$46*비용집행계획!BI42</f>
        <v>0</v>
      </c>
      <c r="BO46" s="1057">
        <f>$E$46*비용집행계획!BJ42</f>
        <v>0</v>
      </c>
      <c r="BP46" s="1057">
        <f>$E$46*비용집행계획!BK42</f>
        <v>0</v>
      </c>
      <c r="BQ46" s="1057">
        <f>$E$46*비용집행계획!BL42</f>
        <v>0</v>
      </c>
      <c r="BR46" s="1057">
        <f>$E$46*비용집행계획!BM42</f>
        <v>0</v>
      </c>
      <c r="BS46" s="1057">
        <f>$E$46*비용집행계획!BN42</f>
        <v>0</v>
      </c>
      <c r="BT46" s="1057">
        <f>$E$46*비용집행계획!BO42</f>
        <v>0</v>
      </c>
      <c r="BU46" s="1057">
        <f>$E$46*비용집행계획!BP42</f>
        <v>0</v>
      </c>
      <c r="BV46" s="1057">
        <f>$E$46*비용집행계획!BQ42</f>
        <v>36041.840703600006</v>
      </c>
      <c r="BW46" s="1057">
        <f>$E$46*비용집행계획!BR42</f>
        <v>0</v>
      </c>
      <c r="BX46" s="1057">
        <f>$E$46*비용집행계획!BS42</f>
        <v>0</v>
      </c>
      <c r="BY46" s="1074" t="str">
        <f t="shared" si="89"/>
        <v>미술장식품설치</v>
      </c>
      <c r="BZ46" s="1106">
        <f t="shared" si="90"/>
        <v>90104.601759000012</v>
      </c>
      <c r="CA46" s="1111" t="b">
        <f t="shared" si="88"/>
        <v>1</v>
      </c>
      <c r="CF46" s="398"/>
      <c r="CG46" s="398"/>
      <c r="CH46" s="398"/>
      <c r="CI46" s="398"/>
      <c r="CJ46" s="398"/>
      <c r="CK46" s="398"/>
    </row>
    <row r="47" spans="2:89" s="1038" customFormat="1" ht="17.25" customHeight="1">
      <c r="B47" s="1103" t="str">
        <f>'사업수지표 '!Y31</f>
        <v>허가조건부이행공사비</v>
      </c>
      <c r="C47" s="1892"/>
      <c r="D47" s="1104"/>
      <c r="E47" s="1105">
        <f>'사업수지표 '!E31:E31</f>
        <v>500000</v>
      </c>
      <c r="F47" s="1058" t="b">
        <f t="shared" si="87"/>
        <v>1</v>
      </c>
      <c r="G47" s="1056"/>
      <c r="H47" s="1057"/>
      <c r="I47" s="1057"/>
      <c r="J47" s="1057">
        <f>$E$47*비용집행계획!E43</f>
        <v>0</v>
      </c>
      <c r="K47" s="1057">
        <f>$E$47*비용집행계획!F43</f>
        <v>0</v>
      </c>
      <c r="L47" s="1057">
        <f>$E$47*비용집행계획!G43</f>
        <v>0</v>
      </c>
      <c r="M47" s="1057">
        <f>$E$47*비용집행계획!H43</f>
        <v>0</v>
      </c>
      <c r="N47" s="1057">
        <f>$E$47*비용집행계획!I43</f>
        <v>0</v>
      </c>
      <c r="O47" s="1057">
        <f>$E$47*비용집행계획!J43</f>
        <v>0</v>
      </c>
      <c r="P47" s="1057">
        <f>$E$47*비용집행계획!K43</f>
        <v>0</v>
      </c>
      <c r="Q47" s="1057">
        <f>$E$47*비용집행계획!L43</f>
        <v>0</v>
      </c>
      <c r="R47" s="1057">
        <f>$E$47*비용집행계획!M43</f>
        <v>0</v>
      </c>
      <c r="S47" s="1057">
        <f>$E$47*비용집행계획!N43</f>
        <v>0</v>
      </c>
      <c r="T47" s="1057">
        <f>$E$47*비용집행계획!O43</f>
        <v>0</v>
      </c>
      <c r="U47" s="1057">
        <f>$E$47*비용집행계획!P43</f>
        <v>0</v>
      </c>
      <c r="V47" s="1057">
        <f>$E$47*비용집행계획!Q43</f>
        <v>0</v>
      </c>
      <c r="W47" s="1057">
        <f>$E$47*비용집행계획!R43</f>
        <v>0</v>
      </c>
      <c r="X47" s="1057">
        <f>$E$47*비용집행계획!S43</f>
        <v>0</v>
      </c>
      <c r="Y47" s="1057">
        <f>$E$47*비용집행계획!T43</f>
        <v>0</v>
      </c>
      <c r="Z47" s="1057">
        <f>$E$47*비용집행계획!U43</f>
        <v>0</v>
      </c>
      <c r="AA47" s="1057">
        <f>$E$47*비용집행계획!V43</f>
        <v>0</v>
      </c>
      <c r="AB47" s="1057">
        <f>$E$47*비용집행계획!W43</f>
        <v>0</v>
      </c>
      <c r="AC47" s="1057">
        <f>$E$47*비용집행계획!X43</f>
        <v>0</v>
      </c>
      <c r="AD47" s="1057">
        <f>$E$47*비용집행계획!Y43</f>
        <v>0</v>
      </c>
      <c r="AE47" s="1057">
        <f>$E$47*비용집행계획!Z43</f>
        <v>0</v>
      </c>
      <c r="AF47" s="1057">
        <f>$E$47*비용집행계획!AA43</f>
        <v>0</v>
      </c>
      <c r="AG47" s="1057">
        <f>$E$47*비용집행계획!AB43</f>
        <v>0</v>
      </c>
      <c r="AH47" s="1057">
        <f>$E$47*비용집행계획!AC43</f>
        <v>0</v>
      </c>
      <c r="AI47" s="1057">
        <f>$E$47*비용집행계획!AD43</f>
        <v>0</v>
      </c>
      <c r="AJ47" s="1057">
        <f>$E$47*비용집행계획!AE43</f>
        <v>0</v>
      </c>
      <c r="AK47" s="1057">
        <f>$E$47*비용집행계획!AF43</f>
        <v>0</v>
      </c>
      <c r="AL47" s="1057">
        <f>$E$47*비용집행계획!AG43</f>
        <v>0</v>
      </c>
      <c r="AM47" s="1057">
        <f>$E$47*비용집행계획!AH43</f>
        <v>0</v>
      </c>
      <c r="AN47" s="1057">
        <f>$E$47*비용집행계획!AI43</f>
        <v>500000</v>
      </c>
      <c r="AO47" s="1057">
        <f>$E$47*비용집행계획!AJ43</f>
        <v>0</v>
      </c>
      <c r="AP47" s="1057">
        <f>$E$47*비용집행계획!AK43</f>
        <v>0</v>
      </c>
      <c r="AQ47" s="1057">
        <f>$E$47*비용집행계획!AL43</f>
        <v>0</v>
      </c>
      <c r="AR47" s="1057">
        <f>$E$47*비용집행계획!AM43</f>
        <v>0</v>
      </c>
      <c r="AS47" s="1057">
        <f>$E$47*비용집행계획!AN43</f>
        <v>0</v>
      </c>
      <c r="AT47" s="1057">
        <f>$E$47*비용집행계획!AO43</f>
        <v>0</v>
      </c>
      <c r="AU47" s="1057">
        <f>$E$47*비용집행계획!AP43</f>
        <v>0</v>
      </c>
      <c r="AV47" s="1057">
        <f>$E$47*비용집행계획!AQ43</f>
        <v>0</v>
      </c>
      <c r="AW47" s="1057">
        <f>$E$47*비용집행계획!AR43</f>
        <v>0</v>
      </c>
      <c r="AX47" s="1057">
        <f>$E$47*비용집행계획!AS43</f>
        <v>0</v>
      </c>
      <c r="AY47" s="1057">
        <f>$E$47*비용집행계획!AT43</f>
        <v>0</v>
      </c>
      <c r="AZ47" s="1057">
        <f>$E$47*비용집행계획!AU43</f>
        <v>0</v>
      </c>
      <c r="BA47" s="1057">
        <f>$E$47*비용집행계획!AV43</f>
        <v>0</v>
      </c>
      <c r="BB47" s="1057">
        <f>$E$47*비용집행계획!AW43</f>
        <v>0</v>
      </c>
      <c r="BC47" s="1057">
        <f>$E$47*비용집행계획!AX43</f>
        <v>0</v>
      </c>
      <c r="BD47" s="1057">
        <f>$E$47*비용집행계획!AY43</f>
        <v>0</v>
      </c>
      <c r="BE47" s="1057">
        <f>$E$47*비용집행계획!AZ43</f>
        <v>0</v>
      </c>
      <c r="BF47" s="1057">
        <f>$E$47*비용집행계획!BA43</f>
        <v>0</v>
      </c>
      <c r="BG47" s="1057">
        <f>$E$47*비용집행계획!BB43</f>
        <v>0</v>
      </c>
      <c r="BH47" s="1057">
        <f>$E$47*비용집행계획!BC43</f>
        <v>0</v>
      </c>
      <c r="BI47" s="1057">
        <f>$E$47*비용집행계획!BD43</f>
        <v>0</v>
      </c>
      <c r="BJ47" s="1057">
        <f>$E$47*비용집행계획!BE43</f>
        <v>0</v>
      </c>
      <c r="BK47" s="1057">
        <f>$E$47*비용집행계획!BF43</f>
        <v>0</v>
      </c>
      <c r="BL47" s="1057">
        <f>$E$47*비용집행계획!BG43</f>
        <v>0</v>
      </c>
      <c r="BM47" s="1057">
        <f>$E$47*비용집행계획!BH43</f>
        <v>0</v>
      </c>
      <c r="BN47" s="1057">
        <f>$E$47*비용집행계획!BI43</f>
        <v>0</v>
      </c>
      <c r="BO47" s="1057">
        <f>$E$47*비용집행계획!BJ43</f>
        <v>0</v>
      </c>
      <c r="BP47" s="1057">
        <f>$E$47*비용집행계획!BK43</f>
        <v>0</v>
      </c>
      <c r="BQ47" s="1057">
        <f>$E$47*비용집행계획!BL43</f>
        <v>0</v>
      </c>
      <c r="BR47" s="1057">
        <f>$E$47*비용집행계획!BM43</f>
        <v>0</v>
      </c>
      <c r="BS47" s="1057">
        <f>$E$47*비용집행계획!BN43</f>
        <v>0</v>
      </c>
      <c r="BT47" s="1057">
        <f>$E$47*비용집행계획!BO43</f>
        <v>0</v>
      </c>
      <c r="BU47" s="1057">
        <f>$E$47*비용집행계획!BP43</f>
        <v>0</v>
      </c>
      <c r="BV47" s="1057">
        <f>$E$47*비용집행계획!BQ43</f>
        <v>0</v>
      </c>
      <c r="BW47" s="1057">
        <f>$E$47*비용집행계획!BR43</f>
        <v>0</v>
      </c>
      <c r="BX47" s="1057">
        <f>$E$47*비용집행계획!BS43</f>
        <v>0</v>
      </c>
      <c r="BY47" s="1074" t="str">
        <f t="shared" si="89"/>
        <v>허가조건부이행공사비</v>
      </c>
      <c r="BZ47" s="1106">
        <f t="shared" si="90"/>
        <v>500000</v>
      </c>
      <c r="CA47" s="1111" t="b">
        <f t="shared" si="88"/>
        <v>1</v>
      </c>
      <c r="CF47"/>
      <c r="CG47"/>
      <c r="CH47"/>
      <c r="CI47"/>
      <c r="CJ47"/>
      <c r="CK47"/>
    </row>
    <row r="48" spans="2:89" s="1038" customFormat="1" ht="17.25" customHeight="1">
      <c r="B48" s="1103" t="str">
        <f>'사업수지표 '!Y32</f>
        <v>기타</v>
      </c>
      <c r="C48" s="1892"/>
      <c r="D48" s="1104"/>
      <c r="E48" s="1105">
        <f>'사업수지표 '!E32:E32</f>
        <v>0</v>
      </c>
      <c r="F48" s="1058" t="b">
        <f t="shared" si="87"/>
        <v>1</v>
      </c>
      <c r="G48" s="1056"/>
      <c r="H48" s="1057"/>
      <c r="I48" s="1057"/>
      <c r="J48" s="1057">
        <f>$E$48*비용집행계획!E44</f>
        <v>0</v>
      </c>
      <c r="K48" s="1057">
        <f>$E$48*비용집행계획!F44</f>
        <v>0</v>
      </c>
      <c r="L48" s="1057">
        <f>$E$48*비용집행계획!G44</f>
        <v>0</v>
      </c>
      <c r="M48" s="1057">
        <f>$E$48*비용집행계획!H44</f>
        <v>0</v>
      </c>
      <c r="N48" s="1057">
        <f>$E$48*비용집행계획!I44</f>
        <v>0</v>
      </c>
      <c r="O48" s="1057">
        <f>$E$48*비용집행계획!J44</f>
        <v>0</v>
      </c>
      <c r="P48" s="1057">
        <f>$E$48*비용집행계획!K44</f>
        <v>0</v>
      </c>
      <c r="Q48" s="1057">
        <f>$E$48*비용집행계획!L44</f>
        <v>0</v>
      </c>
      <c r="R48" s="1057">
        <f>$E$48*비용집행계획!M44</f>
        <v>0</v>
      </c>
      <c r="S48" s="1057">
        <f>$E$48*비용집행계획!N44</f>
        <v>0</v>
      </c>
      <c r="T48" s="1057">
        <f>$E$48*비용집행계획!O44</f>
        <v>0</v>
      </c>
      <c r="U48" s="1057">
        <f>$E$48*비용집행계획!P44</f>
        <v>0</v>
      </c>
      <c r="V48" s="1057">
        <f>$E$48*비용집행계획!Q44</f>
        <v>0</v>
      </c>
      <c r="W48" s="1057">
        <f>$E$48*비용집행계획!R44</f>
        <v>0</v>
      </c>
      <c r="X48" s="1057">
        <f>$E$48*비용집행계획!S44</f>
        <v>0</v>
      </c>
      <c r="Y48" s="1057">
        <f>$E$48*비용집행계획!T44</f>
        <v>0</v>
      </c>
      <c r="Z48" s="1057">
        <f>$E$48*비용집행계획!U44</f>
        <v>0</v>
      </c>
      <c r="AA48" s="1057">
        <f>$E$48*비용집행계획!V44</f>
        <v>0</v>
      </c>
      <c r="AB48" s="1057">
        <f>$E$48*비용집행계획!W44</f>
        <v>0</v>
      </c>
      <c r="AC48" s="1057">
        <f>$E$48*비용집행계획!X44</f>
        <v>0</v>
      </c>
      <c r="AD48" s="1057">
        <f>$E$48*비용집행계획!Y44</f>
        <v>0</v>
      </c>
      <c r="AE48" s="1057">
        <f>$E$48*비용집행계획!Z44</f>
        <v>0</v>
      </c>
      <c r="AF48" s="1057">
        <f>$E$48*비용집행계획!AA44</f>
        <v>0</v>
      </c>
      <c r="AG48" s="1057">
        <f>$E$48*비용집행계획!AB44</f>
        <v>0</v>
      </c>
      <c r="AH48" s="1057">
        <f>$E$48*비용집행계획!AC44</f>
        <v>0</v>
      </c>
      <c r="AI48" s="1057">
        <f>$E$48*비용집행계획!AD44</f>
        <v>0</v>
      </c>
      <c r="AJ48" s="1057">
        <f>$E$48*비용집행계획!AE44</f>
        <v>0</v>
      </c>
      <c r="AK48" s="1057">
        <f>$E$48*비용집행계획!AF44</f>
        <v>0</v>
      </c>
      <c r="AL48" s="1057">
        <f>$E$48*비용집행계획!AG44</f>
        <v>0</v>
      </c>
      <c r="AM48" s="1057">
        <f>$E$48*비용집행계획!AH44</f>
        <v>0</v>
      </c>
      <c r="AN48" s="1057">
        <f>$E$48*비용집행계획!AI44</f>
        <v>0</v>
      </c>
      <c r="AO48" s="1057">
        <f>$E$48*비용집행계획!AJ44</f>
        <v>0</v>
      </c>
      <c r="AP48" s="1057">
        <f>$E$48*비용집행계획!AK44</f>
        <v>0</v>
      </c>
      <c r="AQ48" s="1057">
        <f>$E$48*비용집행계획!AL44</f>
        <v>0</v>
      </c>
      <c r="AR48" s="1057">
        <f>$E$48*비용집행계획!AM44</f>
        <v>0</v>
      </c>
      <c r="AS48" s="1057">
        <f>$E$48*비용집행계획!AN44</f>
        <v>0</v>
      </c>
      <c r="AT48" s="1057">
        <f>$E$48*비용집행계획!AO44</f>
        <v>0</v>
      </c>
      <c r="AU48" s="1057">
        <f>$E$48*비용집행계획!AP44</f>
        <v>0</v>
      </c>
      <c r="AV48" s="1057">
        <f>$E$48*비용집행계획!AQ44</f>
        <v>0</v>
      </c>
      <c r="AW48" s="1057">
        <f>$E$48*비용집행계획!AR44</f>
        <v>0</v>
      </c>
      <c r="AX48" s="1057">
        <f>$E$48*비용집행계획!AS44</f>
        <v>0</v>
      </c>
      <c r="AY48" s="1057">
        <f>$E$48*비용집행계획!AT44</f>
        <v>0</v>
      </c>
      <c r="AZ48" s="1057">
        <f>$E$48*비용집행계획!AU44</f>
        <v>0</v>
      </c>
      <c r="BA48" s="1057">
        <f>$E$48*비용집행계획!AV44</f>
        <v>0</v>
      </c>
      <c r="BB48" s="1057">
        <f>$E$48*비용집행계획!AW44</f>
        <v>0</v>
      </c>
      <c r="BC48" s="1057">
        <f>$E$48*비용집행계획!AX44</f>
        <v>0</v>
      </c>
      <c r="BD48" s="1057">
        <f>$E$48*비용집행계획!AY44</f>
        <v>0</v>
      </c>
      <c r="BE48" s="1057">
        <f>$E$48*비용집행계획!AZ44</f>
        <v>0</v>
      </c>
      <c r="BF48" s="1057">
        <f>$E$48*비용집행계획!BA44</f>
        <v>0</v>
      </c>
      <c r="BG48" s="1057">
        <f>$E$48*비용집행계획!BB44</f>
        <v>0</v>
      </c>
      <c r="BH48" s="1057">
        <f>$E$48*비용집행계획!BC44</f>
        <v>0</v>
      </c>
      <c r="BI48" s="1057">
        <f>$E$48*비용집행계획!BD44</f>
        <v>0</v>
      </c>
      <c r="BJ48" s="1057">
        <f>$E$48*비용집행계획!BE44</f>
        <v>0</v>
      </c>
      <c r="BK48" s="1057">
        <f>$E$48*비용집행계획!BF44</f>
        <v>0</v>
      </c>
      <c r="BL48" s="1057">
        <f>$E$48*비용집행계획!BG44</f>
        <v>0</v>
      </c>
      <c r="BM48" s="1057">
        <f>$E$48*비용집행계획!BH44</f>
        <v>0</v>
      </c>
      <c r="BN48" s="1057">
        <f>$E$48*비용집행계획!BI44</f>
        <v>0</v>
      </c>
      <c r="BO48" s="1057">
        <f>$E$48*비용집행계획!BJ44</f>
        <v>0</v>
      </c>
      <c r="BP48" s="1057">
        <f>$E$48*비용집행계획!BK44</f>
        <v>0</v>
      </c>
      <c r="BQ48" s="1057">
        <f>$E$48*비용집행계획!BL44</f>
        <v>0</v>
      </c>
      <c r="BR48" s="1057">
        <f>$E$48*비용집행계획!BM44</f>
        <v>0</v>
      </c>
      <c r="BS48" s="1057">
        <f>$E$48*비용집행계획!BN44</f>
        <v>0</v>
      </c>
      <c r="BT48" s="1057">
        <f>$E$48*비용집행계획!BO44</f>
        <v>0</v>
      </c>
      <c r="BU48" s="1057">
        <f>$E$48*비용집행계획!BP44</f>
        <v>0</v>
      </c>
      <c r="BV48" s="1057">
        <f>$E$48*비용집행계획!BQ44</f>
        <v>0</v>
      </c>
      <c r="BW48" s="1057">
        <f>$E$48*비용집행계획!BR44</f>
        <v>0</v>
      </c>
      <c r="BX48" s="1057">
        <f>$E$48*비용집행계획!BS44</f>
        <v>0</v>
      </c>
      <c r="BY48" s="1074" t="str">
        <f t="shared" si="89"/>
        <v>기타</v>
      </c>
      <c r="BZ48" s="1106">
        <f t="shared" si="90"/>
        <v>0</v>
      </c>
      <c r="CA48" s="1111" t="b">
        <f t="shared" si="88"/>
        <v>1</v>
      </c>
      <c r="CF48"/>
      <c r="CG48"/>
      <c r="CH48"/>
      <c r="CI48"/>
      <c r="CJ48"/>
      <c r="CK48"/>
    </row>
    <row r="49" spans="2:89" s="1038" customFormat="1" ht="17.25" customHeight="1">
      <c r="B49" s="1103"/>
      <c r="C49" s="1892"/>
      <c r="D49" s="1104"/>
      <c r="E49" s="1105"/>
      <c r="F49" s="1058" t="b">
        <f t="shared" si="87"/>
        <v>1</v>
      </c>
      <c r="G49" s="1056"/>
      <c r="H49" s="1057"/>
      <c r="I49" s="1057"/>
      <c r="J49" s="1057">
        <f>$E$49*비용집행계획!E45</f>
        <v>0</v>
      </c>
      <c r="K49" s="1057">
        <f>$E$49*비용집행계획!F45</f>
        <v>0</v>
      </c>
      <c r="L49" s="1057">
        <f>$E$49*비용집행계획!G45</f>
        <v>0</v>
      </c>
      <c r="M49" s="1057">
        <f>$E$49*비용집행계획!H45</f>
        <v>0</v>
      </c>
      <c r="N49" s="1057">
        <f>$E$49*비용집행계획!I45</f>
        <v>0</v>
      </c>
      <c r="O49" s="1057">
        <f>$E$49*비용집행계획!J45</f>
        <v>0</v>
      </c>
      <c r="P49" s="1057">
        <f>$E$49*비용집행계획!K45</f>
        <v>0</v>
      </c>
      <c r="Q49" s="1057">
        <f>$E$49*비용집행계획!L45</f>
        <v>0</v>
      </c>
      <c r="R49" s="1057">
        <f>$E$49*비용집행계획!M45</f>
        <v>0</v>
      </c>
      <c r="S49" s="1057">
        <f>$E$49*비용집행계획!N45</f>
        <v>0</v>
      </c>
      <c r="T49" s="1057">
        <f>$E$49*비용집행계획!O45</f>
        <v>0</v>
      </c>
      <c r="U49" s="1057">
        <f>$E$49*비용집행계획!P45</f>
        <v>0</v>
      </c>
      <c r="V49" s="1057">
        <f>$E$49*비용집행계획!Q45</f>
        <v>0</v>
      </c>
      <c r="W49" s="1057">
        <f>$E$49*비용집행계획!R45</f>
        <v>0</v>
      </c>
      <c r="X49" s="1057">
        <f>$E$49*비용집행계획!S45</f>
        <v>0</v>
      </c>
      <c r="Y49" s="1057">
        <f>$E$49*비용집행계획!T45</f>
        <v>0</v>
      </c>
      <c r="Z49" s="1057">
        <f>$E$49*비용집행계획!U45</f>
        <v>0</v>
      </c>
      <c r="AA49" s="1057">
        <f>$E$49*비용집행계획!V45</f>
        <v>0</v>
      </c>
      <c r="AB49" s="1057">
        <f>$E$49*비용집행계획!W45</f>
        <v>0</v>
      </c>
      <c r="AC49" s="1057">
        <f>$E$49*비용집행계획!X45</f>
        <v>0</v>
      </c>
      <c r="AD49" s="1057">
        <f>$E$49*비용집행계획!Y45</f>
        <v>0</v>
      </c>
      <c r="AE49" s="1057">
        <f>$E$49*비용집행계획!Z45</f>
        <v>0</v>
      </c>
      <c r="AF49" s="1057">
        <f>$E$49*비용집행계획!AA45</f>
        <v>0</v>
      </c>
      <c r="AG49" s="1057">
        <f>$E$49*비용집행계획!AB45</f>
        <v>0</v>
      </c>
      <c r="AH49" s="1057">
        <f>$E$49*비용집행계획!AC45</f>
        <v>0</v>
      </c>
      <c r="AI49" s="1057">
        <f>$E$49*비용집행계획!AD45</f>
        <v>0</v>
      </c>
      <c r="AJ49" s="1057">
        <f>$E$49*비용집행계획!AE45</f>
        <v>0</v>
      </c>
      <c r="AK49" s="1057">
        <f>$E$49*비용집행계획!AF45</f>
        <v>0</v>
      </c>
      <c r="AL49" s="1057">
        <f>$E$49*비용집행계획!AG45</f>
        <v>0</v>
      </c>
      <c r="AM49" s="1057">
        <f>$E$49*비용집행계획!AH45</f>
        <v>0</v>
      </c>
      <c r="AN49" s="1057">
        <f>$E$49*비용집행계획!AI45</f>
        <v>0</v>
      </c>
      <c r="AO49" s="1057">
        <f>$E$49*비용집행계획!AJ45</f>
        <v>0</v>
      </c>
      <c r="AP49" s="1057">
        <f>$E$49*비용집행계획!AK45</f>
        <v>0</v>
      </c>
      <c r="AQ49" s="1057">
        <f>$E$49*비용집행계획!AL45</f>
        <v>0</v>
      </c>
      <c r="AR49" s="1057">
        <f>$E$49*비용집행계획!AM45</f>
        <v>0</v>
      </c>
      <c r="AS49" s="1057">
        <f>$E$49*비용집행계획!AN45</f>
        <v>0</v>
      </c>
      <c r="AT49" s="1057">
        <f>$E$49*비용집행계획!AO45</f>
        <v>0</v>
      </c>
      <c r="AU49" s="1057">
        <f>$E$49*비용집행계획!AP45</f>
        <v>0</v>
      </c>
      <c r="AV49" s="1057">
        <f>$E$49*비용집행계획!AQ45</f>
        <v>0</v>
      </c>
      <c r="AW49" s="1057">
        <f>$E$49*비용집행계획!AR45</f>
        <v>0</v>
      </c>
      <c r="AX49" s="1057">
        <f>$E$49*비용집행계획!AS45</f>
        <v>0</v>
      </c>
      <c r="AY49" s="1057">
        <f>$E$49*비용집행계획!AT45</f>
        <v>0</v>
      </c>
      <c r="AZ49" s="1057">
        <f>$E$49*비용집행계획!AU45</f>
        <v>0</v>
      </c>
      <c r="BA49" s="1057">
        <f>$E$49*비용집행계획!AV45</f>
        <v>0</v>
      </c>
      <c r="BB49" s="1057">
        <f>$E$49*비용집행계획!AW45</f>
        <v>0</v>
      </c>
      <c r="BC49" s="1057">
        <f>$E$49*비용집행계획!AX45</f>
        <v>0</v>
      </c>
      <c r="BD49" s="1057">
        <f>$E$49*비용집행계획!AY45</f>
        <v>0</v>
      </c>
      <c r="BE49" s="1057">
        <f>$E$49*비용집행계획!AZ45</f>
        <v>0</v>
      </c>
      <c r="BF49" s="1057">
        <f>$E$49*비용집행계획!BA45</f>
        <v>0</v>
      </c>
      <c r="BG49" s="1057">
        <f>$E$49*비용집행계획!BB45</f>
        <v>0</v>
      </c>
      <c r="BH49" s="1057">
        <f>$E$49*비용집행계획!BC45</f>
        <v>0</v>
      </c>
      <c r="BI49" s="1057">
        <f>$E$49*비용집행계획!BD45</f>
        <v>0</v>
      </c>
      <c r="BJ49" s="1057">
        <f>$E$49*비용집행계획!BE45</f>
        <v>0</v>
      </c>
      <c r="BK49" s="1057">
        <f>$E$49*비용집행계획!BF45</f>
        <v>0</v>
      </c>
      <c r="BL49" s="1057">
        <f>$E$49*비용집행계획!BG45</f>
        <v>0</v>
      </c>
      <c r="BM49" s="1057">
        <f>$E$49*비용집행계획!BH45</f>
        <v>0</v>
      </c>
      <c r="BN49" s="1057">
        <f>$E$49*비용집행계획!BI45</f>
        <v>0</v>
      </c>
      <c r="BO49" s="1057">
        <f>$E$49*비용집행계획!BJ45</f>
        <v>0</v>
      </c>
      <c r="BP49" s="1057">
        <f>$E$49*비용집행계획!BK45</f>
        <v>0</v>
      </c>
      <c r="BQ49" s="1057">
        <f>$E$49*비용집행계획!BL45</f>
        <v>0</v>
      </c>
      <c r="BR49" s="1057">
        <f>$E$49*비용집행계획!BM45</f>
        <v>0</v>
      </c>
      <c r="BS49" s="1057">
        <f>$E$49*비용집행계획!BN45</f>
        <v>0</v>
      </c>
      <c r="BT49" s="1057">
        <f>$E$49*비용집행계획!BO45</f>
        <v>0</v>
      </c>
      <c r="BU49" s="1057">
        <f>$E$49*비용집행계획!BP45</f>
        <v>0</v>
      </c>
      <c r="BV49" s="1057">
        <f>$E$49*비용집행계획!BQ45</f>
        <v>0</v>
      </c>
      <c r="BW49" s="1057">
        <f>$E$49*비용집행계획!BR45</f>
        <v>0</v>
      </c>
      <c r="BX49" s="1057">
        <f>$E$49*비용집행계획!BS45</f>
        <v>0</v>
      </c>
      <c r="BY49" s="1074"/>
      <c r="BZ49" s="1106"/>
      <c r="CA49" s="1111" t="b">
        <f t="shared" si="88"/>
        <v>1</v>
      </c>
      <c r="CF49"/>
      <c r="CG49"/>
      <c r="CH49"/>
      <c r="CI49"/>
      <c r="CJ49"/>
      <c r="CK49"/>
    </row>
    <row r="50" spans="2:89" s="1038" customFormat="1">
      <c r="B50" s="1103" t="str">
        <f>'사업수지표 '!Y34</f>
        <v>설계비</v>
      </c>
      <c r="C50" s="1892"/>
      <c r="D50" s="1104"/>
      <c r="E50" s="1105">
        <f>'사업수지표 '!E34:E34</f>
        <v>1683819.6649999998</v>
      </c>
      <c r="F50" s="1058" t="b">
        <f t="shared" si="87"/>
        <v>1</v>
      </c>
      <c r="G50" s="1056"/>
      <c r="H50" s="1057"/>
      <c r="I50" s="1057"/>
      <c r="J50" s="1057">
        <f>$E$50*비용집행계획!E46</f>
        <v>0</v>
      </c>
      <c r="K50" s="1057">
        <f>$E$50*비용집행계획!F46</f>
        <v>673527.86599999992</v>
      </c>
      <c r="L50" s="1057">
        <f>$E$50*비용집행계획!G46</f>
        <v>0</v>
      </c>
      <c r="M50" s="1057">
        <f>$E$50*비용집행계획!H46</f>
        <v>0</v>
      </c>
      <c r="N50" s="1057">
        <f>$E$50*비용집행계획!I46</f>
        <v>0</v>
      </c>
      <c r="O50" s="1057">
        <f>$E$50*비용집행계획!J46</f>
        <v>841909.8324999999</v>
      </c>
      <c r="P50" s="1057">
        <f>$E$50*비용집행계획!K46</f>
        <v>0</v>
      </c>
      <c r="Q50" s="1057">
        <f>$E$50*비용집행계획!L46</f>
        <v>0</v>
      </c>
      <c r="R50" s="1057">
        <f>$E$50*비용집행계획!M46</f>
        <v>0</v>
      </c>
      <c r="S50" s="1057">
        <f>$E$50*비용집행계획!N46</f>
        <v>0</v>
      </c>
      <c r="T50" s="1057">
        <f>$E$50*비용집행계획!O46</f>
        <v>0</v>
      </c>
      <c r="U50" s="1057">
        <f>$E$50*비용집행계획!P46</f>
        <v>0</v>
      </c>
      <c r="V50" s="1057">
        <f>$E$50*비용집행계획!Q46</f>
        <v>0</v>
      </c>
      <c r="W50" s="1057">
        <f>$E$50*비용집행계획!R46</f>
        <v>0</v>
      </c>
      <c r="X50" s="1057">
        <f>$E$50*비용집행계획!S46</f>
        <v>0</v>
      </c>
      <c r="Y50" s="1057">
        <f>$E$50*비용집행계획!T46</f>
        <v>0</v>
      </c>
      <c r="Z50" s="1057">
        <f>$E$50*비용집행계획!U46</f>
        <v>0</v>
      </c>
      <c r="AA50" s="1057">
        <f>$E$50*비용집행계획!V46</f>
        <v>0</v>
      </c>
      <c r="AB50" s="1057">
        <f>$E$50*비용집행계획!W46</f>
        <v>0</v>
      </c>
      <c r="AC50" s="1057">
        <f>$E$50*비용집행계획!X46</f>
        <v>0</v>
      </c>
      <c r="AD50" s="1057">
        <f>$E$50*비용집행계획!Y46</f>
        <v>0</v>
      </c>
      <c r="AE50" s="1057">
        <f>$E$50*비용집행계획!Z46</f>
        <v>0</v>
      </c>
      <c r="AF50" s="1057">
        <f>$E$50*비용집행계획!AA46</f>
        <v>0</v>
      </c>
      <c r="AG50" s="1057">
        <f>$E$50*비용집행계획!AB46</f>
        <v>0</v>
      </c>
      <c r="AH50" s="1057">
        <f>$E$50*비용집행계획!AC46</f>
        <v>0</v>
      </c>
      <c r="AI50" s="1057">
        <f>$E$50*비용집행계획!AD46</f>
        <v>0</v>
      </c>
      <c r="AJ50" s="1057">
        <f>$E$50*비용집행계획!AE46</f>
        <v>0</v>
      </c>
      <c r="AK50" s="1057">
        <f>$E$50*비용집행계획!AF46</f>
        <v>0</v>
      </c>
      <c r="AL50" s="1057">
        <f>$E$50*비용집행계획!AG46</f>
        <v>0</v>
      </c>
      <c r="AM50" s="1057">
        <f>$E$50*비용집행계획!AH46</f>
        <v>0</v>
      </c>
      <c r="AN50" s="1057">
        <f>$E$50*비용집행계획!AI46</f>
        <v>0</v>
      </c>
      <c r="AO50" s="1057">
        <f>$E$50*비용집행계획!AJ46</f>
        <v>0</v>
      </c>
      <c r="AP50" s="1057">
        <f>$E$50*비용집행계획!AK46</f>
        <v>0</v>
      </c>
      <c r="AQ50" s="1057">
        <f>$E$50*비용집행계획!AL46</f>
        <v>0</v>
      </c>
      <c r="AR50" s="1057">
        <f>$E$50*비용집행계획!AM46</f>
        <v>0</v>
      </c>
      <c r="AS50" s="1057">
        <f>$E$50*비용집행계획!AN46</f>
        <v>0</v>
      </c>
      <c r="AT50" s="1057">
        <f>$E$50*비용집행계획!AO46</f>
        <v>0</v>
      </c>
      <c r="AU50" s="1057">
        <f>$E$50*비용집행계획!AP46</f>
        <v>0</v>
      </c>
      <c r="AV50" s="1057">
        <f>$E$50*비용집행계획!AQ46</f>
        <v>0</v>
      </c>
      <c r="AW50" s="1057">
        <f>$E$50*비용집행계획!AR46</f>
        <v>0</v>
      </c>
      <c r="AX50" s="1057">
        <f>$E$50*비용집행계획!AS46</f>
        <v>0</v>
      </c>
      <c r="AY50" s="1057">
        <f>$E$50*비용집행계획!AT46</f>
        <v>0</v>
      </c>
      <c r="AZ50" s="1057">
        <f>$E$50*비용집행계획!AU46</f>
        <v>0</v>
      </c>
      <c r="BA50" s="1057">
        <f>$E$50*비용집행계획!AV46</f>
        <v>0</v>
      </c>
      <c r="BB50" s="1057">
        <f>$E$50*비용집행계획!AW46</f>
        <v>0</v>
      </c>
      <c r="BC50" s="1057">
        <f>$E$50*비용집행계획!AX46</f>
        <v>0</v>
      </c>
      <c r="BD50" s="1057">
        <f>$E$50*비용집행계획!AY46</f>
        <v>0</v>
      </c>
      <c r="BE50" s="1057">
        <f>$E$50*비용집행계획!AZ46</f>
        <v>0</v>
      </c>
      <c r="BF50" s="1057">
        <f>$E$50*비용집행계획!BA46</f>
        <v>0</v>
      </c>
      <c r="BG50" s="1057">
        <f>$E$50*비용집행계획!BB46</f>
        <v>0</v>
      </c>
      <c r="BH50" s="1057">
        <f>$E$50*비용집행계획!BC46</f>
        <v>0</v>
      </c>
      <c r="BI50" s="1057">
        <f>$E$50*비용집행계획!BD46</f>
        <v>0</v>
      </c>
      <c r="BJ50" s="1057">
        <f>$E$50*비용집행계획!BE46</f>
        <v>0</v>
      </c>
      <c r="BK50" s="1057">
        <f>$E$50*비용집행계획!BF46</f>
        <v>0</v>
      </c>
      <c r="BL50" s="1057">
        <f>$E$50*비용집행계획!BG46</f>
        <v>0</v>
      </c>
      <c r="BM50" s="1057">
        <f>$E$50*비용집행계획!BH46</f>
        <v>0</v>
      </c>
      <c r="BN50" s="1057">
        <f>$E$50*비용집행계획!BI46</f>
        <v>0</v>
      </c>
      <c r="BO50" s="1057">
        <f>$E$50*비용집행계획!BJ46</f>
        <v>0</v>
      </c>
      <c r="BP50" s="1057">
        <f>$E$50*비용집행계획!BK46</f>
        <v>0</v>
      </c>
      <c r="BQ50" s="1057">
        <f>$E$50*비용집행계획!BL46</f>
        <v>0</v>
      </c>
      <c r="BR50" s="1057">
        <f>$E$50*비용집행계획!BM46</f>
        <v>0</v>
      </c>
      <c r="BS50" s="1057">
        <f>$E$50*비용집행계획!BN46</f>
        <v>0</v>
      </c>
      <c r="BT50" s="1057">
        <f>$E$50*비용집행계획!BO46</f>
        <v>0</v>
      </c>
      <c r="BU50" s="1057">
        <f>$E$50*비용집행계획!BP46</f>
        <v>0</v>
      </c>
      <c r="BV50" s="1057">
        <f>$E$50*비용집행계획!BQ46</f>
        <v>168381.96649999995</v>
      </c>
      <c r="BW50" s="1057">
        <f>$E$50*비용집행계획!BR46</f>
        <v>0</v>
      </c>
      <c r="BX50" s="1057">
        <f>$E$50*비용집행계획!BS46</f>
        <v>0</v>
      </c>
      <c r="BY50" s="1074" t="str">
        <f t="shared" ref="BY50:BY56" si="91">B50</f>
        <v>설계비</v>
      </c>
      <c r="BZ50" s="1106">
        <f t="shared" ref="BZ50:BZ56" si="92">SUM(G50:BX50)</f>
        <v>1683819.6649999998</v>
      </c>
      <c r="CA50" s="1111" t="b">
        <f t="shared" si="88"/>
        <v>1</v>
      </c>
      <c r="CF50"/>
      <c r="CG50"/>
      <c r="CH50"/>
      <c r="CI50"/>
      <c r="CJ50"/>
      <c r="CK50"/>
    </row>
    <row r="51" spans="2:89" s="1038" customFormat="1">
      <c r="B51" s="1103" t="str">
        <f>'사업수지표 '!Y35</f>
        <v>감리비</v>
      </c>
      <c r="C51" s="1892"/>
      <c r="D51" s="1104"/>
      <c r="E51" s="1105">
        <f>'사업수지표 '!E35:E35</f>
        <v>1683819.6649999998</v>
      </c>
      <c r="F51" s="1058" t="b">
        <f t="shared" si="87"/>
        <v>1</v>
      </c>
      <c r="G51" s="1056"/>
      <c r="H51" s="1057"/>
      <c r="I51" s="1063"/>
      <c r="J51" s="1057">
        <f>$E$51*비용집행계획!E47</f>
        <v>0</v>
      </c>
      <c r="K51" s="1057">
        <f>$E$51*비용집행계획!F47</f>
        <v>0</v>
      </c>
      <c r="L51" s="1057">
        <f>$E$51*비용집행계획!G47</f>
        <v>0</v>
      </c>
      <c r="M51" s="1057">
        <f>$E$51*비용집행계획!H47</f>
        <v>0</v>
      </c>
      <c r="N51" s="1057">
        <f>$E$51*비용집행계획!I47</f>
        <v>168381.96649999998</v>
      </c>
      <c r="O51" s="1057">
        <f>$E$51*비용집행계획!J47</f>
        <v>0</v>
      </c>
      <c r="P51" s="1057">
        <f>$E$51*비용집행계획!K47</f>
        <v>0</v>
      </c>
      <c r="Q51" s="1057">
        <f>$E$51*비용집행계획!L47</f>
        <v>168381.96649999998</v>
      </c>
      <c r="R51" s="1057">
        <f>$E$51*비용집행계획!M47</f>
        <v>0</v>
      </c>
      <c r="S51" s="1057">
        <f>$E$51*비용집행계획!N47</f>
        <v>0</v>
      </c>
      <c r="T51" s="1057">
        <f>$E$51*비용집행계획!O47</f>
        <v>168381.96649999998</v>
      </c>
      <c r="U51" s="1057">
        <f>$E$51*비용집행계획!P47</f>
        <v>0</v>
      </c>
      <c r="V51" s="1057">
        <f>$E$51*비용집행계획!Q47</f>
        <v>0</v>
      </c>
      <c r="W51" s="1057">
        <f>$E$51*비용집행계획!R47</f>
        <v>168381.96649999998</v>
      </c>
      <c r="X51" s="1057">
        <f>$E$51*비용집행계획!S47</f>
        <v>0</v>
      </c>
      <c r="Y51" s="1057">
        <f>$E$51*비용집행계획!T47</f>
        <v>0</v>
      </c>
      <c r="Z51" s="1057">
        <f>$E$51*비용집행계획!U47</f>
        <v>168381.96649999998</v>
      </c>
      <c r="AA51" s="1057">
        <f>$E$51*비용집행계획!V47</f>
        <v>0</v>
      </c>
      <c r="AB51" s="1057">
        <f>$E$51*비용집행계획!W47</f>
        <v>0</v>
      </c>
      <c r="AC51" s="1057">
        <f>$E$51*비용집행계획!X47</f>
        <v>168381.96649999998</v>
      </c>
      <c r="AD51" s="1057">
        <f>$E$51*비용집행계획!Y47</f>
        <v>0</v>
      </c>
      <c r="AE51" s="1057">
        <f>$E$51*비용집행계획!Z47</f>
        <v>0</v>
      </c>
      <c r="AF51" s="1057">
        <f>$E$51*비용집행계획!AA47</f>
        <v>168381.96649999998</v>
      </c>
      <c r="AG51" s="1057">
        <f>$E$51*비용집행계획!AB47</f>
        <v>0</v>
      </c>
      <c r="AH51" s="1057">
        <f>$E$51*비용집행계획!AC47</f>
        <v>0</v>
      </c>
      <c r="AI51" s="1057">
        <f>$E$51*비용집행계획!AD47</f>
        <v>168381.96649999998</v>
      </c>
      <c r="AJ51" s="1057">
        <f>$E$51*비용집행계획!AE47</f>
        <v>0</v>
      </c>
      <c r="AK51" s="1057">
        <f>$E$51*비용집행계획!AF47</f>
        <v>0</v>
      </c>
      <c r="AL51" s="1057">
        <f>$E$51*비용집행계획!AG47</f>
        <v>168381.96649999998</v>
      </c>
      <c r="AM51" s="1057">
        <f>$E$51*비용집행계획!AH47</f>
        <v>0</v>
      </c>
      <c r="AN51" s="1057">
        <f>$E$51*비용집행계획!AI47</f>
        <v>0</v>
      </c>
      <c r="AO51" s="1057">
        <f>$E$51*비용집행계획!AJ47</f>
        <v>0</v>
      </c>
      <c r="AP51" s="1057">
        <f>$E$51*비용집행계획!AK47</f>
        <v>0</v>
      </c>
      <c r="AQ51" s="1057">
        <f>$E$51*비용집행계획!AL47</f>
        <v>0</v>
      </c>
      <c r="AR51" s="1057">
        <f>$E$51*비용집행계획!AM47</f>
        <v>0</v>
      </c>
      <c r="AS51" s="1057">
        <f>$E$51*비용집행계획!AN47</f>
        <v>0</v>
      </c>
      <c r="AT51" s="1057">
        <f>$E$51*비용집행계획!AO47</f>
        <v>0</v>
      </c>
      <c r="AU51" s="1057">
        <f>$E$51*비용집행계획!AP47</f>
        <v>0</v>
      </c>
      <c r="AV51" s="1057">
        <f>$E$51*비용집행계획!AQ47</f>
        <v>0</v>
      </c>
      <c r="AW51" s="1057">
        <f>$E$51*비용집행계획!AR47</f>
        <v>0</v>
      </c>
      <c r="AX51" s="1057">
        <f>$E$51*비용집행계획!AS47</f>
        <v>0</v>
      </c>
      <c r="AY51" s="1057">
        <f>$E$51*비용집행계획!AT47</f>
        <v>0</v>
      </c>
      <c r="AZ51" s="1057">
        <f>$E$51*비용집행계획!AU47</f>
        <v>0</v>
      </c>
      <c r="BA51" s="1057">
        <f>$E$51*비용집행계획!AV47</f>
        <v>0</v>
      </c>
      <c r="BB51" s="1057">
        <f>$E$51*비용집행계획!AW47</f>
        <v>0</v>
      </c>
      <c r="BC51" s="1057">
        <f>$E$51*비용집행계획!AX47</f>
        <v>0</v>
      </c>
      <c r="BD51" s="1057">
        <f>$E$51*비용집행계획!AY47</f>
        <v>0</v>
      </c>
      <c r="BE51" s="1057">
        <f>$E$51*비용집행계획!AZ47</f>
        <v>0</v>
      </c>
      <c r="BF51" s="1057">
        <f>$E$51*비용집행계획!BA47</f>
        <v>0</v>
      </c>
      <c r="BG51" s="1057">
        <f>$E$51*비용집행계획!BB47</f>
        <v>0</v>
      </c>
      <c r="BH51" s="1057">
        <f>$E$51*비용집행계획!BC47</f>
        <v>0</v>
      </c>
      <c r="BI51" s="1057">
        <f>$E$51*비용집행계획!BD47</f>
        <v>0</v>
      </c>
      <c r="BJ51" s="1057">
        <f>$E$51*비용집행계획!BE47</f>
        <v>0</v>
      </c>
      <c r="BK51" s="1057">
        <f>$E$51*비용집행계획!BF47</f>
        <v>0</v>
      </c>
      <c r="BL51" s="1057">
        <f>$E$51*비용집행계획!BG47</f>
        <v>0</v>
      </c>
      <c r="BM51" s="1057">
        <f>$E$51*비용집행계획!BH47</f>
        <v>0</v>
      </c>
      <c r="BN51" s="1057">
        <f>$E$51*비용집행계획!BI47</f>
        <v>0</v>
      </c>
      <c r="BO51" s="1057">
        <f>$E$51*비용집행계획!BJ47</f>
        <v>0</v>
      </c>
      <c r="BP51" s="1057">
        <f>$E$51*비용집행계획!BK47</f>
        <v>0</v>
      </c>
      <c r="BQ51" s="1057">
        <f>$E$51*비용집행계획!BL47</f>
        <v>0</v>
      </c>
      <c r="BR51" s="1057">
        <f>$E$51*비용집행계획!BM47</f>
        <v>0</v>
      </c>
      <c r="BS51" s="1057">
        <f>$E$51*비용집행계획!BN47</f>
        <v>0</v>
      </c>
      <c r="BT51" s="1057">
        <f>$E$51*비용집행계획!BO47</f>
        <v>0</v>
      </c>
      <c r="BU51" s="1057">
        <f>$E$51*비용집행계획!BP47</f>
        <v>0</v>
      </c>
      <c r="BV51" s="1057">
        <f>$E$51*비용집행계획!BQ47</f>
        <v>168381.96650000013</v>
      </c>
      <c r="BW51" s="1057">
        <f>$E$51*비용집행계획!BR47</f>
        <v>0</v>
      </c>
      <c r="BX51" s="1057">
        <f>$E$51*비용집행계획!BS47</f>
        <v>0</v>
      </c>
      <c r="BY51" s="1074" t="str">
        <f t="shared" si="91"/>
        <v>감리비</v>
      </c>
      <c r="BZ51" s="1106">
        <f t="shared" si="92"/>
        <v>1683819.665</v>
      </c>
      <c r="CA51" s="1111" t="b">
        <f t="shared" si="88"/>
        <v>1</v>
      </c>
      <c r="CB51"/>
      <c r="CC51"/>
      <c r="CD51"/>
      <c r="CE51"/>
      <c r="CF51"/>
      <c r="CG51"/>
      <c r="CH51"/>
      <c r="CI51"/>
      <c r="CJ51"/>
      <c r="CK51"/>
    </row>
    <row r="52" spans="2:89" s="1038" customFormat="1">
      <c r="B52" s="1103" t="str">
        <f>'사업수지표 '!Y36</f>
        <v>지구단위</v>
      </c>
      <c r="C52" s="1892"/>
      <c r="D52" s="1104"/>
      <c r="E52" s="1105">
        <f>'사업수지표 '!E36:E36</f>
        <v>0</v>
      </c>
      <c r="F52" s="1058" t="b">
        <f t="shared" si="87"/>
        <v>1</v>
      </c>
      <c r="G52" s="1056"/>
      <c r="H52" s="1057"/>
      <c r="I52" s="1057"/>
      <c r="J52" s="1057">
        <f>$E$52*비용집행계획!E48</f>
        <v>0</v>
      </c>
      <c r="K52" s="1057">
        <f>$E$52*비용집행계획!F48</f>
        <v>0</v>
      </c>
      <c r="L52" s="1057">
        <f>$E$52*비용집행계획!G48</f>
        <v>0</v>
      </c>
      <c r="M52" s="1057">
        <f>$E$52*비용집행계획!H48</f>
        <v>0</v>
      </c>
      <c r="N52" s="1057">
        <f>$E$52*비용집행계획!I48</f>
        <v>0</v>
      </c>
      <c r="O52" s="1057">
        <f>$E$52*비용집행계획!J48</f>
        <v>0</v>
      </c>
      <c r="P52" s="1057">
        <f>$E$52*비용집행계획!K48</f>
        <v>0</v>
      </c>
      <c r="Q52" s="1057">
        <f>$E$52*비용집행계획!L48</f>
        <v>0</v>
      </c>
      <c r="R52" s="1057">
        <f>$E$52*비용집행계획!M48</f>
        <v>0</v>
      </c>
      <c r="S52" s="1057">
        <f>$E$52*비용집행계획!N48</f>
        <v>0</v>
      </c>
      <c r="T52" s="1057">
        <f>$E$52*비용집행계획!O48</f>
        <v>0</v>
      </c>
      <c r="U52" s="1057">
        <f>$E$52*비용집행계획!P48</f>
        <v>0</v>
      </c>
      <c r="V52" s="1057">
        <f>$E$52*비용집행계획!Q48</f>
        <v>0</v>
      </c>
      <c r="W52" s="1057">
        <f>$E$52*비용집행계획!R48</f>
        <v>0</v>
      </c>
      <c r="X52" s="1057">
        <f>$E$52*비용집행계획!S48</f>
        <v>0</v>
      </c>
      <c r="Y52" s="1057">
        <f>$E$52*비용집행계획!T48</f>
        <v>0</v>
      </c>
      <c r="Z52" s="1057">
        <f>$E$52*비용집행계획!U48</f>
        <v>0</v>
      </c>
      <c r="AA52" s="1057">
        <f>$E$52*비용집행계획!V48</f>
        <v>0</v>
      </c>
      <c r="AB52" s="1057">
        <f>$E$52*비용집행계획!W48</f>
        <v>0</v>
      </c>
      <c r="AC52" s="1057">
        <f>$E$52*비용집행계획!X48</f>
        <v>0</v>
      </c>
      <c r="AD52" s="1057">
        <f>$E$52*비용집행계획!Y48</f>
        <v>0</v>
      </c>
      <c r="AE52" s="1057">
        <f>$E$52*비용집행계획!Z48</f>
        <v>0</v>
      </c>
      <c r="AF52" s="1057">
        <f>$E$52*비용집행계획!AA48</f>
        <v>0</v>
      </c>
      <c r="AG52" s="1057">
        <f>$E$52*비용집행계획!AB48</f>
        <v>0</v>
      </c>
      <c r="AH52" s="1057">
        <f>$E$52*비용집행계획!AC48</f>
        <v>0</v>
      </c>
      <c r="AI52" s="1057">
        <f>$E$52*비용집행계획!AD48</f>
        <v>0</v>
      </c>
      <c r="AJ52" s="1057">
        <f>$E$52*비용집행계획!AE48</f>
        <v>0</v>
      </c>
      <c r="AK52" s="1057">
        <f>$E$52*비용집행계획!AF48</f>
        <v>0</v>
      </c>
      <c r="AL52" s="1057">
        <f>$E$52*비용집행계획!AG48</f>
        <v>0</v>
      </c>
      <c r="AM52" s="1057">
        <f>$E$52*비용집행계획!AH48</f>
        <v>0</v>
      </c>
      <c r="AN52" s="1057">
        <f>$E$52*비용집행계획!AI48</f>
        <v>0</v>
      </c>
      <c r="AO52" s="1057">
        <f>$E$52*비용집행계획!AJ48</f>
        <v>0</v>
      </c>
      <c r="AP52" s="1057">
        <f>$E$52*비용집행계획!AK48</f>
        <v>0</v>
      </c>
      <c r="AQ52" s="1057">
        <f>$E$52*비용집행계획!AL48</f>
        <v>0</v>
      </c>
      <c r="AR52" s="1057">
        <f>$E$52*비용집행계획!AM48</f>
        <v>0</v>
      </c>
      <c r="AS52" s="1057">
        <f>$E$52*비용집행계획!AN48</f>
        <v>0</v>
      </c>
      <c r="AT52" s="1057">
        <f>$E$52*비용집행계획!AO48</f>
        <v>0</v>
      </c>
      <c r="AU52" s="1057">
        <f>$E$52*비용집행계획!AP48</f>
        <v>0</v>
      </c>
      <c r="AV52" s="1057">
        <f>$E$52*비용집행계획!AQ48</f>
        <v>0</v>
      </c>
      <c r="AW52" s="1057">
        <f>$E$52*비용집행계획!AR48</f>
        <v>0</v>
      </c>
      <c r="AX52" s="1057">
        <f>$E$52*비용집행계획!AS48</f>
        <v>0</v>
      </c>
      <c r="AY52" s="1057">
        <f>$E$52*비용집행계획!AT48</f>
        <v>0</v>
      </c>
      <c r="AZ52" s="1057">
        <f>$E$52*비용집행계획!AU48</f>
        <v>0</v>
      </c>
      <c r="BA52" s="1057">
        <f>$E$52*비용집행계획!AV48</f>
        <v>0</v>
      </c>
      <c r="BB52" s="1057">
        <f>$E$52*비용집행계획!AW48</f>
        <v>0</v>
      </c>
      <c r="BC52" s="1057">
        <f>$E$52*비용집행계획!AX48</f>
        <v>0</v>
      </c>
      <c r="BD52" s="1057">
        <f>$E$52*비용집행계획!AY48</f>
        <v>0</v>
      </c>
      <c r="BE52" s="1057">
        <f>$E$52*비용집행계획!AZ48</f>
        <v>0</v>
      </c>
      <c r="BF52" s="1057">
        <f>$E$52*비용집행계획!BA48</f>
        <v>0</v>
      </c>
      <c r="BG52" s="1057">
        <f>$E$52*비용집행계획!BB48</f>
        <v>0</v>
      </c>
      <c r="BH52" s="1057">
        <f>$E$52*비용집행계획!BC48</f>
        <v>0</v>
      </c>
      <c r="BI52" s="1057">
        <f>$E$52*비용집행계획!BD48</f>
        <v>0</v>
      </c>
      <c r="BJ52" s="1057">
        <f>$E$52*비용집행계획!BE48</f>
        <v>0</v>
      </c>
      <c r="BK52" s="1057">
        <f>$E$52*비용집행계획!BF48</f>
        <v>0</v>
      </c>
      <c r="BL52" s="1057">
        <f>$E$52*비용집행계획!BG48</f>
        <v>0</v>
      </c>
      <c r="BM52" s="1057">
        <f>$E$52*비용집행계획!BH48</f>
        <v>0</v>
      </c>
      <c r="BN52" s="1057">
        <f>$E$52*비용집행계획!BI48</f>
        <v>0</v>
      </c>
      <c r="BO52" s="1057">
        <f>$E$52*비용집행계획!BJ48</f>
        <v>0</v>
      </c>
      <c r="BP52" s="1057">
        <f>$E$52*비용집행계획!BK48</f>
        <v>0</v>
      </c>
      <c r="BQ52" s="1057">
        <f>$E$52*비용집행계획!BL48</f>
        <v>0</v>
      </c>
      <c r="BR52" s="1057">
        <f>$E$52*비용집행계획!BM48</f>
        <v>0</v>
      </c>
      <c r="BS52" s="1057">
        <f>$E$52*비용집행계획!BN48</f>
        <v>0</v>
      </c>
      <c r="BT52" s="1057">
        <f>$E$52*비용집행계획!BO48</f>
        <v>0</v>
      </c>
      <c r="BU52" s="1057">
        <f>$E$52*비용집행계획!BP48</f>
        <v>0</v>
      </c>
      <c r="BV52" s="1057">
        <f>$E$52*비용집행계획!BQ48</f>
        <v>0</v>
      </c>
      <c r="BW52" s="1057">
        <f>$E$52*비용집행계획!BR48</f>
        <v>0</v>
      </c>
      <c r="BX52" s="1057">
        <f>$E$52*비용집행계획!BS48</f>
        <v>0</v>
      </c>
      <c r="BY52" s="1074" t="str">
        <f t="shared" si="91"/>
        <v>지구단위</v>
      </c>
      <c r="BZ52" s="1106">
        <f t="shared" si="92"/>
        <v>0</v>
      </c>
      <c r="CA52" s="1111" t="b">
        <f t="shared" si="88"/>
        <v>1</v>
      </c>
      <c r="CB52"/>
      <c r="CC52"/>
      <c r="CD52"/>
      <c r="CE52"/>
      <c r="CF52"/>
      <c r="CG52"/>
      <c r="CH52"/>
      <c r="CI52"/>
      <c r="CJ52"/>
      <c r="CK52"/>
    </row>
    <row r="53" spans="2:89" s="1038" customFormat="1">
      <c r="B53" s="1103" t="str">
        <f>'사업수지표 '!Y37</f>
        <v>교통영향평가</v>
      </c>
      <c r="C53" s="1892"/>
      <c r="D53" s="1104"/>
      <c r="E53" s="1105">
        <f>'사업수지표 '!E37:E37</f>
        <v>0</v>
      </c>
      <c r="F53" s="1058" t="b">
        <f t="shared" si="87"/>
        <v>1</v>
      </c>
      <c r="G53" s="1056"/>
      <c r="H53" s="1057"/>
      <c r="I53" s="1057"/>
      <c r="J53" s="1057">
        <f>$E$53*비용집행계획!E49</f>
        <v>0</v>
      </c>
      <c r="K53" s="1057">
        <f>$E$53*비용집행계획!F49</f>
        <v>0</v>
      </c>
      <c r="L53" s="1057">
        <f>$E$53*비용집행계획!G49</f>
        <v>0</v>
      </c>
      <c r="M53" s="1057">
        <f>$E$53*비용집행계획!H49</f>
        <v>0</v>
      </c>
      <c r="N53" s="1057">
        <f>$E$53*비용집행계획!I49</f>
        <v>0</v>
      </c>
      <c r="O53" s="1057">
        <f>$E$53*비용집행계획!J49</f>
        <v>0</v>
      </c>
      <c r="P53" s="1057">
        <f>$E$53*비용집행계획!K49</f>
        <v>0</v>
      </c>
      <c r="Q53" s="1057">
        <f>$E$53*비용집행계획!L49</f>
        <v>0</v>
      </c>
      <c r="R53" s="1057">
        <f>$E$53*비용집행계획!M49</f>
        <v>0</v>
      </c>
      <c r="S53" s="1057">
        <f>$E$53*비용집행계획!N49</f>
        <v>0</v>
      </c>
      <c r="T53" s="1057">
        <f>$E$53*비용집행계획!O49</f>
        <v>0</v>
      </c>
      <c r="U53" s="1057">
        <f>$E$53*비용집행계획!P49</f>
        <v>0</v>
      </c>
      <c r="V53" s="1057">
        <f>$E$53*비용집행계획!Q49</f>
        <v>0</v>
      </c>
      <c r="W53" s="1057">
        <f>$E$53*비용집행계획!R49</f>
        <v>0</v>
      </c>
      <c r="X53" s="1057">
        <f>$E$53*비용집행계획!S49</f>
        <v>0</v>
      </c>
      <c r="Y53" s="1057">
        <f>$E$53*비용집행계획!T49</f>
        <v>0</v>
      </c>
      <c r="Z53" s="1057">
        <f>$E$53*비용집행계획!U49</f>
        <v>0</v>
      </c>
      <c r="AA53" s="1057">
        <f>$E$53*비용집행계획!V49</f>
        <v>0</v>
      </c>
      <c r="AB53" s="1057">
        <f>$E$53*비용집행계획!W49</f>
        <v>0</v>
      </c>
      <c r="AC53" s="1057">
        <f>$E$53*비용집행계획!X49</f>
        <v>0</v>
      </c>
      <c r="AD53" s="1057">
        <f>$E$53*비용집행계획!Y49</f>
        <v>0</v>
      </c>
      <c r="AE53" s="1057">
        <f>$E$53*비용집행계획!Z49</f>
        <v>0</v>
      </c>
      <c r="AF53" s="1057">
        <f>$E$53*비용집행계획!AA49</f>
        <v>0</v>
      </c>
      <c r="AG53" s="1057">
        <f>$E$53*비용집행계획!AB49</f>
        <v>0</v>
      </c>
      <c r="AH53" s="1057">
        <f>$E$53*비용집행계획!AC49</f>
        <v>0</v>
      </c>
      <c r="AI53" s="1057">
        <f>$E$53*비용집행계획!AD49</f>
        <v>0</v>
      </c>
      <c r="AJ53" s="1057">
        <f>$E$53*비용집행계획!AE49</f>
        <v>0</v>
      </c>
      <c r="AK53" s="1057">
        <f>$E$53*비용집행계획!AF49</f>
        <v>0</v>
      </c>
      <c r="AL53" s="1057">
        <f>$E$53*비용집행계획!AG49</f>
        <v>0</v>
      </c>
      <c r="AM53" s="1057">
        <f>$E$53*비용집행계획!AH49</f>
        <v>0</v>
      </c>
      <c r="AN53" s="1057">
        <f>$E$53*비용집행계획!AI49</f>
        <v>0</v>
      </c>
      <c r="AO53" s="1057">
        <f>$E$53*비용집행계획!AJ49</f>
        <v>0</v>
      </c>
      <c r="AP53" s="1057">
        <f>$E$53*비용집행계획!AK49</f>
        <v>0</v>
      </c>
      <c r="AQ53" s="1057">
        <f>$E$53*비용집행계획!AL49</f>
        <v>0</v>
      </c>
      <c r="AR53" s="1057">
        <f>$E$53*비용집행계획!AM49</f>
        <v>0</v>
      </c>
      <c r="AS53" s="1057">
        <f>$E$53*비용집행계획!AN49</f>
        <v>0</v>
      </c>
      <c r="AT53" s="1057">
        <f>$E$53*비용집행계획!AO49</f>
        <v>0</v>
      </c>
      <c r="AU53" s="1057">
        <f>$E$53*비용집행계획!AP49</f>
        <v>0</v>
      </c>
      <c r="AV53" s="1057">
        <f>$E$53*비용집행계획!AQ49</f>
        <v>0</v>
      </c>
      <c r="AW53" s="1057">
        <f>$E$53*비용집행계획!AR49</f>
        <v>0</v>
      </c>
      <c r="AX53" s="1057">
        <f>$E$53*비용집행계획!AS49</f>
        <v>0</v>
      </c>
      <c r="AY53" s="1057">
        <f>$E$53*비용집행계획!AT49</f>
        <v>0</v>
      </c>
      <c r="AZ53" s="1057">
        <f>$E$53*비용집행계획!AU49</f>
        <v>0</v>
      </c>
      <c r="BA53" s="1057">
        <f>$E$53*비용집행계획!AV49</f>
        <v>0</v>
      </c>
      <c r="BB53" s="1057">
        <f>$E$53*비용집행계획!AW49</f>
        <v>0</v>
      </c>
      <c r="BC53" s="1057">
        <f>$E$53*비용집행계획!AX49</f>
        <v>0</v>
      </c>
      <c r="BD53" s="1057">
        <f>$E$53*비용집행계획!AY49</f>
        <v>0</v>
      </c>
      <c r="BE53" s="1057">
        <f>$E$53*비용집행계획!AZ49</f>
        <v>0</v>
      </c>
      <c r="BF53" s="1057">
        <f>$E$53*비용집행계획!BA49</f>
        <v>0</v>
      </c>
      <c r="BG53" s="1057">
        <f>$E$53*비용집행계획!BB49</f>
        <v>0</v>
      </c>
      <c r="BH53" s="1057">
        <f>$E$53*비용집행계획!BC49</f>
        <v>0</v>
      </c>
      <c r="BI53" s="1057">
        <f>$E$53*비용집행계획!BD49</f>
        <v>0</v>
      </c>
      <c r="BJ53" s="1057">
        <f>$E$53*비용집행계획!BE49</f>
        <v>0</v>
      </c>
      <c r="BK53" s="1057">
        <f>$E$53*비용집행계획!BF49</f>
        <v>0</v>
      </c>
      <c r="BL53" s="1057">
        <f>$E$53*비용집행계획!BG49</f>
        <v>0</v>
      </c>
      <c r="BM53" s="1057">
        <f>$E$53*비용집행계획!BH49</f>
        <v>0</v>
      </c>
      <c r="BN53" s="1057">
        <f>$E$53*비용집행계획!BI49</f>
        <v>0</v>
      </c>
      <c r="BO53" s="1057">
        <f>$E$53*비용집행계획!BJ49</f>
        <v>0</v>
      </c>
      <c r="BP53" s="1057">
        <f>$E$53*비용집행계획!BK49</f>
        <v>0</v>
      </c>
      <c r="BQ53" s="1057">
        <f>$E$53*비용집행계획!BL49</f>
        <v>0</v>
      </c>
      <c r="BR53" s="1057">
        <f>$E$53*비용집행계획!BM49</f>
        <v>0</v>
      </c>
      <c r="BS53" s="1057">
        <f>$E$53*비용집행계획!BN49</f>
        <v>0</v>
      </c>
      <c r="BT53" s="1057">
        <f>$E$53*비용집행계획!BO49</f>
        <v>0</v>
      </c>
      <c r="BU53" s="1057">
        <f>$E$53*비용집행계획!BP49</f>
        <v>0</v>
      </c>
      <c r="BV53" s="1057">
        <f>$E$53*비용집행계획!BQ49</f>
        <v>0</v>
      </c>
      <c r="BW53" s="1057">
        <f>$E$53*비용집행계획!BR49</f>
        <v>0</v>
      </c>
      <c r="BX53" s="1057">
        <f>$E$53*비용집행계획!BS49</f>
        <v>0</v>
      </c>
      <c r="BY53" s="1074" t="str">
        <f t="shared" si="91"/>
        <v>교통영향평가</v>
      </c>
      <c r="BZ53" s="1106">
        <f t="shared" si="92"/>
        <v>0</v>
      </c>
      <c r="CA53" s="1111" t="b">
        <f t="shared" si="88"/>
        <v>1</v>
      </c>
      <c r="CB53"/>
      <c r="CC53"/>
      <c r="CD53"/>
      <c r="CE53"/>
      <c r="CF53"/>
      <c r="CG53"/>
      <c r="CH53"/>
      <c r="CI53"/>
      <c r="CJ53"/>
      <c r="CK53"/>
    </row>
    <row r="54" spans="2:89" s="1038" customFormat="1">
      <c r="B54" s="1103" t="str">
        <f>'사업수지표 '!Y38</f>
        <v>CM용역</v>
      </c>
      <c r="C54" s="1892"/>
      <c r="D54" s="1104"/>
      <c r="E54" s="1105">
        <f>'사업수지표 '!E38:E38</f>
        <v>0</v>
      </c>
      <c r="F54" s="1058" t="b">
        <f t="shared" si="87"/>
        <v>1</v>
      </c>
      <c r="G54" s="1056"/>
      <c r="H54" s="1057"/>
      <c r="I54" s="1057"/>
      <c r="J54" s="1057">
        <f>$E$54*비용집행계획!E50</f>
        <v>0</v>
      </c>
      <c r="K54" s="1057">
        <f>$E$54*비용집행계획!F50</f>
        <v>0</v>
      </c>
      <c r="L54" s="1057">
        <f>$E$54*비용집행계획!G50</f>
        <v>0</v>
      </c>
      <c r="M54" s="1057">
        <f>$E$54*비용집행계획!H50</f>
        <v>0</v>
      </c>
      <c r="N54" s="1057">
        <f>$E$54*비용집행계획!I50</f>
        <v>0</v>
      </c>
      <c r="O54" s="1057">
        <f>$E$54*비용집행계획!J50</f>
        <v>0</v>
      </c>
      <c r="P54" s="1057">
        <f>$E$54*비용집행계획!K50</f>
        <v>0</v>
      </c>
      <c r="Q54" s="1057">
        <f>$E$54*비용집행계획!L50</f>
        <v>0</v>
      </c>
      <c r="R54" s="1057">
        <f>$E$54*비용집행계획!M50</f>
        <v>0</v>
      </c>
      <c r="S54" s="1057">
        <f>$E$54*비용집행계획!N50</f>
        <v>0</v>
      </c>
      <c r="T54" s="1057">
        <f>$E$54*비용집행계획!O50</f>
        <v>0</v>
      </c>
      <c r="U54" s="1057">
        <f>$E$54*비용집행계획!P50</f>
        <v>0</v>
      </c>
      <c r="V54" s="1057">
        <f>$E$54*비용집행계획!Q50</f>
        <v>0</v>
      </c>
      <c r="W54" s="1057">
        <f>$E$54*비용집행계획!R50</f>
        <v>0</v>
      </c>
      <c r="X54" s="1057">
        <f>$E$54*비용집행계획!S50</f>
        <v>0</v>
      </c>
      <c r="Y54" s="1057">
        <f>$E$54*비용집행계획!T50</f>
        <v>0</v>
      </c>
      <c r="Z54" s="1057">
        <f>$E$54*비용집행계획!U50</f>
        <v>0</v>
      </c>
      <c r="AA54" s="1057">
        <f>$E$54*비용집행계획!V50</f>
        <v>0</v>
      </c>
      <c r="AB54" s="1057">
        <f>$E$54*비용집행계획!W50</f>
        <v>0</v>
      </c>
      <c r="AC54" s="1057">
        <f>$E$54*비용집행계획!X50</f>
        <v>0</v>
      </c>
      <c r="AD54" s="1057">
        <f>$E$54*비용집행계획!Y50</f>
        <v>0</v>
      </c>
      <c r="AE54" s="1057">
        <f>$E$54*비용집행계획!Z50</f>
        <v>0</v>
      </c>
      <c r="AF54" s="1057">
        <f>$E$54*비용집행계획!AA50</f>
        <v>0</v>
      </c>
      <c r="AG54" s="1057">
        <f>$E$54*비용집행계획!AB50</f>
        <v>0</v>
      </c>
      <c r="AH54" s="1057">
        <f>$E$54*비용집행계획!AC50</f>
        <v>0</v>
      </c>
      <c r="AI54" s="1057">
        <f>$E$54*비용집행계획!AD50</f>
        <v>0</v>
      </c>
      <c r="AJ54" s="1057">
        <f>$E$54*비용집행계획!AE50</f>
        <v>0</v>
      </c>
      <c r="AK54" s="1057">
        <f>$E$54*비용집행계획!AF50</f>
        <v>0</v>
      </c>
      <c r="AL54" s="1057">
        <f>$E$54*비용집행계획!AG50</f>
        <v>0</v>
      </c>
      <c r="AM54" s="1057">
        <f>$E$54*비용집행계획!AH50</f>
        <v>0</v>
      </c>
      <c r="AN54" s="1057">
        <f>$E$54*비용집행계획!AI50</f>
        <v>0</v>
      </c>
      <c r="AO54" s="1057">
        <f>$E$54*비용집행계획!AJ50</f>
        <v>0</v>
      </c>
      <c r="AP54" s="1057">
        <f>$E$54*비용집행계획!AK50</f>
        <v>0</v>
      </c>
      <c r="AQ54" s="1057">
        <f>$E$54*비용집행계획!AL50</f>
        <v>0</v>
      </c>
      <c r="AR54" s="1057">
        <f>$E$54*비용집행계획!AM50</f>
        <v>0</v>
      </c>
      <c r="AS54" s="1057">
        <f>$E$54*비용집행계획!AN50</f>
        <v>0</v>
      </c>
      <c r="AT54" s="1057">
        <f>$E$54*비용집행계획!AO50</f>
        <v>0</v>
      </c>
      <c r="AU54" s="1057">
        <f>$E$54*비용집행계획!AP50</f>
        <v>0</v>
      </c>
      <c r="AV54" s="1057">
        <f>$E$54*비용집행계획!AQ50</f>
        <v>0</v>
      </c>
      <c r="AW54" s="1057">
        <f>$E$54*비용집행계획!AR50</f>
        <v>0</v>
      </c>
      <c r="AX54" s="1057">
        <f>$E$54*비용집행계획!AS50</f>
        <v>0</v>
      </c>
      <c r="AY54" s="1057">
        <f>$E$54*비용집행계획!AT50</f>
        <v>0</v>
      </c>
      <c r="AZ54" s="1057">
        <f>$E$54*비용집행계획!AU50</f>
        <v>0</v>
      </c>
      <c r="BA54" s="1057">
        <f>$E$54*비용집행계획!AV50</f>
        <v>0</v>
      </c>
      <c r="BB54" s="1057">
        <f>$E$54*비용집행계획!AW50</f>
        <v>0</v>
      </c>
      <c r="BC54" s="1057">
        <f>$E$54*비용집행계획!AX50</f>
        <v>0</v>
      </c>
      <c r="BD54" s="1057">
        <f>$E$54*비용집행계획!AY50</f>
        <v>0</v>
      </c>
      <c r="BE54" s="1057">
        <f>$E$54*비용집행계획!AZ50</f>
        <v>0</v>
      </c>
      <c r="BF54" s="1057">
        <f>$E$54*비용집행계획!BA50</f>
        <v>0</v>
      </c>
      <c r="BG54" s="1057">
        <f>$E$54*비용집행계획!BB50</f>
        <v>0</v>
      </c>
      <c r="BH54" s="1057">
        <f>$E$54*비용집행계획!BC50</f>
        <v>0</v>
      </c>
      <c r="BI54" s="1057">
        <f>$E$54*비용집행계획!BD50</f>
        <v>0</v>
      </c>
      <c r="BJ54" s="1057">
        <f>$E$54*비용집행계획!BE50</f>
        <v>0</v>
      </c>
      <c r="BK54" s="1057">
        <f>$E$54*비용집행계획!BF50</f>
        <v>0</v>
      </c>
      <c r="BL54" s="1057">
        <f>$E$54*비용집행계획!BG50</f>
        <v>0</v>
      </c>
      <c r="BM54" s="1057">
        <f>$E$54*비용집행계획!BH50</f>
        <v>0</v>
      </c>
      <c r="BN54" s="1057">
        <f>$E$54*비용집행계획!BI50</f>
        <v>0</v>
      </c>
      <c r="BO54" s="1057">
        <f>$E$54*비용집행계획!BJ50</f>
        <v>0</v>
      </c>
      <c r="BP54" s="1057">
        <f>$E$54*비용집행계획!BK50</f>
        <v>0</v>
      </c>
      <c r="BQ54" s="1057">
        <f>$E$54*비용집행계획!BL50</f>
        <v>0</v>
      </c>
      <c r="BR54" s="1057">
        <f>$E$54*비용집행계획!BM50</f>
        <v>0</v>
      </c>
      <c r="BS54" s="1057">
        <f>$E$54*비용집행계획!BN50</f>
        <v>0</v>
      </c>
      <c r="BT54" s="1057">
        <f>$E$54*비용집행계획!BO50</f>
        <v>0</v>
      </c>
      <c r="BU54" s="1057">
        <f>$E$54*비용집행계획!BP50</f>
        <v>0</v>
      </c>
      <c r="BV54" s="1057">
        <f>$E$54*비용집행계획!BQ50</f>
        <v>0</v>
      </c>
      <c r="BW54" s="1057">
        <f>$E$54*비용집행계획!BR50</f>
        <v>0</v>
      </c>
      <c r="BX54" s="1057">
        <f>$E$54*비용집행계획!BS50</f>
        <v>0</v>
      </c>
      <c r="BY54" s="1074" t="str">
        <f t="shared" si="91"/>
        <v>CM용역</v>
      </c>
      <c r="BZ54" s="1106">
        <f t="shared" si="92"/>
        <v>0</v>
      </c>
      <c r="CA54" s="1111" t="b">
        <f t="shared" si="88"/>
        <v>1</v>
      </c>
      <c r="CB54"/>
      <c r="CC54"/>
      <c r="CD54"/>
      <c r="CE54"/>
      <c r="CF54"/>
      <c r="CG54"/>
      <c r="CH54"/>
      <c r="CI54"/>
      <c r="CJ54"/>
      <c r="CK54"/>
    </row>
    <row r="55" spans="2:89" s="1038" customFormat="1">
      <c r="B55" s="1103" t="str">
        <f>'사업수지표 '!Y39</f>
        <v>지질측량</v>
      </c>
      <c r="C55" s="1892"/>
      <c r="D55" s="1104"/>
      <c r="E55" s="1105">
        <f>'사업수지표 '!E39:E39</f>
        <v>30000</v>
      </c>
      <c r="F55" s="1058" t="b">
        <f t="shared" si="87"/>
        <v>1</v>
      </c>
      <c r="G55" s="1056"/>
      <c r="H55" s="1057"/>
      <c r="I55" s="1057"/>
      <c r="J55" s="1057">
        <f>$E$55*비용집행계획!E51</f>
        <v>0</v>
      </c>
      <c r="K55" s="1057">
        <f>$E$55*비용집행계획!F51</f>
        <v>6000</v>
      </c>
      <c r="L55" s="1057">
        <f>$E$55*비용집행계획!G51</f>
        <v>0</v>
      </c>
      <c r="M55" s="1057">
        <f>$E$55*비용집행계획!H51</f>
        <v>0</v>
      </c>
      <c r="N55" s="1057">
        <f>$E$55*비용집행계획!I51</f>
        <v>24000</v>
      </c>
      <c r="O55" s="1057">
        <f>$E$55*비용집행계획!J51</f>
        <v>0</v>
      </c>
      <c r="P55" s="1057">
        <f>$E$55*비용집행계획!K51</f>
        <v>0</v>
      </c>
      <c r="Q55" s="1057">
        <f>$E$55*비용집행계획!L51</f>
        <v>0</v>
      </c>
      <c r="R55" s="1057">
        <f>$E$55*비용집행계획!M51</f>
        <v>0</v>
      </c>
      <c r="S55" s="1057">
        <f>$E$55*비용집행계획!N51</f>
        <v>0</v>
      </c>
      <c r="T55" s="1057">
        <f>$E$55*비용집행계획!O51</f>
        <v>0</v>
      </c>
      <c r="U55" s="1057">
        <f>$E$55*비용집행계획!P51</f>
        <v>0</v>
      </c>
      <c r="V55" s="1057">
        <f>$E$55*비용집행계획!Q51</f>
        <v>0</v>
      </c>
      <c r="W55" s="1057">
        <f>$E$55*비용집행계획!R51</f>
        <v>0</v>
      </c>
      <c r="X55" s="1057">
        <f>$E$55*비용집행계획!S51</f>
        <v>0</v>
      </c>
      <c r="Y55" s="1057">
        <f>$E$55*비용집행계획!T51</f>
        <v>0</v>
      </c>
      <c r="Z55" s="1057">
        <f>$E$55*비용집행계획!U51</f>
        <v>0</v>
      </c>
      <c r="AA55" s="1057">
        <f>$E$55*비용집행계획!V51</f>
        <v>0</v>
      </c>
      <c r="AB55" s="1057">
        <f>$E$55*비용집행계획!W51</f>
        <v>0</v>
      </c>
      <c r="AC55" s="1057">
        <f>$E$55*비용집행계획!X51</f>
        <v>0</v>
      </c>
      <c r="AD55" s="1057">
        <f>$E$55*비용집행계획!Y51</f>
        <v>0</v>
      </c>
      <c r="AE55" s="1057">
        <f>$E$55*비용집행계획!Z51</f>
        <v>0</v>
      </c>
      <c r="AF55" s="1057">
        <f>$E$55*비용집행계획!AA51</f>
        <v>0</v>
      </c>
      <c r="AG55" s="1057">
        <f>$E$55*비용집행계획!AB51</f>
        <v>0</v>
      </c>
      <c r="AH55" s="1057">
        <f>$E$55*비용집행계획!AC51</f>
        <v>0</v>
      </c>
      <c r="AI55" s="1057">
        <f>$E$55*비용집행계획!AD51</f>
        <v>0</v>
      </c>
      <c r="AJ55" s="1057">
        <f>$E$55*비용집행계획!AE51</f>
        <v>0</v>
      </c>
      <c r="AK55" s="1057">
        <f>$E$55*비용집행계획!AF51</f>
        <v>0</v>
      </c>
      <c r="AL55" s="1057">
        <f>$E$55*비용집행계획!AG51</f>
        <v>0</v>
      </c>
      <c r="AM55" s="1057">
        <f>$E$55*비용집행계획!AH51</f>
        <v>0</v>
      </c>
      <c r="AN55" s="1057">
        <f>$E$55*비용집행계획!AI51</f>
        <v>0</v>
      </c>
      <c r="AO55" s="1057">
        <f>$E$55*비용집행계획!AJ51</f>
        <v>0</v>
      </c>
      <c r="AP55" s="1057">
        <f>$E$55*비용집행계획!AK51</f>
        <v>0</v>
      </c>
      <c r="AQ55" s="1057">
        <f>$E$55*비용집행계획!AL51</f>
        <v>0</v>
      </c>
      <c r="AR55" s="1057">
        <f>$E$55*비용집행계획!AM51</f>
        <v>0</v>
      </c>
      <c r="AS55" s="1057">
        <f>$E$55*비용집행계획!AN51</f>
        <v>0</v>
      </c>
      <c r="AT55" s="1057">
        <f>$E$55*비용집행계획!AO51</f>
        <v>0</v>
      </c>
      <c r="AU55" s="1057">
        <f>$E$55*비용집행계획!AP51</f>
        <v>0</v>
      </c>
      <c r="AV55" s="1057">
        <f>$E$55*비용집행계획!AQ51</f>
        <v>0</v>
      </c>
      <c r="AW55" s="1057">
        <f>$E$55*비용집행계획!AR51</f>
        <v>0</v>
      </c>
      <c r="AX55" s="1057">
        <f>$E$55*비용집행계획!AS51</f>
        <v>0</v>
      </c>
      <c r="AY55" s="1057">
        <f>$E$55*비용집행계획!AT51</f>
        <v>0</v>
      </c>
      <c r="AZ55" s="1057">
        <f>$E$55*비용집행계획!AU51</f>
        <v>0</v>
      </c>
      <c r="BA55" s="1057">
        <f>$E$55*비용집행계획!AV51</f>
        <v>0</v>
      </c>
      <c r="BB55" s="1057">
        <f>$E$55*비용집행계획!AW51</f>
        <v>0</v>
      </c>
      <c r="BC55" s="1057">
        <f>$E$55*비용집행계획!AX51</f>
        <v>0</v>
      </c>
      <c r="BD55" s="1057">
        <f>$E$55*비용집행계획!AY51</f>
        <v>0</v>
      </c>
      <c r="BE55" s="1057">
        <f>$E$55*비용집행계획!AZ51</f>
        <v>0</v>
      </c>
      <c r="BF55" s="1057">
        <f>$E$55*비용집행계획!BA51</f>
        <v>0</v>
      </c>
      <c r="BG55" s="1057">
        <f>$E$55*비용집행계획!BB51</f>
        <v>0</v>
      </c>
      <c r="BH55" s="1057">
        <f>$E$55*비용집행계획!BC51</f>
        <v>0</v>
      </c>
      <c r="BI55" s="1057">
        <f>$E$55*비용집행계획!BD51</f>
        <v>0</v>
      </c>
      <c r="BJ55" s="1057">
        <f>$E$55*비용집행계획!BE51</f>
        <v>0</v>
      </c>
      <c r="BK55" s="1057">
        <f>$E$55*비용집행계획!BF51</f>
        <v>0</v>
      </c>
      <c r="BL55" s="1057">
        <f>$E$55*비용집행계획!BG51</f>
        <v>0</v>
      </c>
      <c r="BM55" s="1057">
        <f>$E$55*비용집행계획!BH51</f>
        <v>0</v>
      </c>
      <c r="BN55" s="1057">
        <f>$E$55*비용집행계획!BI51</f>
        <v>0</v>
      </c>
      <c r="BO55" s="1057">
        <f>$E$55*비용집행계획!BJ51</f>
        <v>0</v>
      </c>
      <c r="BP55" s="1057">
        <f>$E$55*비용집행계획!BK51</f>
        <v>0</v>
      </c>
      <c r="BQ55" s="1057">
        <f>$E$55*비용집행계획!BL51</f>
        <v>0</v>
      </c>
      <c r="BR55" s="1057">
        <f>$E$55*비용집행계획!BM51</f>
        <v>0</v>
      </c>
      <c r="BS55" s="1057">
        <f>$E$55*비용집행계획!BN51</f>
        <v>0</v>
      </c>
      <c r="BT55" s="1057">
        <f>$E$55*비용집행계획!BO51</f>
        <v>0</v>
      </c>
      <c r="BU55" s="1057">
        <f>$E$55*비용집행계획!BP51</f>
        <v>0</v>
      </c>
      <c r="BV55" s="1057">
        <f>$E$55*비용집행계획!BQ51</f>
        <v>0</v>
      </c>
      <c r="BW55" s="1057">
        <f>$E$55*비용집행계획!BR51</f>
        <v>0</v>
      </c>
      <c r="BX55" s="1057">
        <f>$E$55*비용집행계획!BS51</f>
        <v>0</v>
      </c>
      <c r="BY55" s="1074" t="str">
        <f t="shared" si="91"/>
        <v>지질측량</v>
      </c>
      <c r="BZ55" s="1106">
        <f t="shared" si="92"/>
        <v>30000</v>
      </c>
      <c r="CA55" s="1111" t="b">
        <f t="shared" si="88"/>
        <v>1</v>
      </c>
      <c r="CB55"/>
      <c r="CC55"/>
      <c r="CD55"/>
      <c r="CE55"/>
      <c r="CF55"/>
      <c r="CG55"/>
      <c r="CH55"/>
      <c r="CI55"/>
      <c r="CJ55"/>
      <c r="CK55"/>
    </row>
    <row r="56" spans="2:89" s="1038" customFormat="1">
      <c r="B56" s="1103" t="str">
        <f>'사업수지표 '!Y40</f>
        <v>기타인허가비용</v>
      </c>
      <c r="C56" s="1892"/>
      <c r="D56" s="1104"/>
      <c r="E56" s="1105">
        <f>'사업수지표 '!E40:E40</f>
        <v>0</v>
      </c>
      <c r="F56" s="1058" t="b">
        <f t="shared" si="87"/>
        <v>1</v>
      </c>
      <c r="G56" s="1056"/>
      <c r="H56" s="1057"/>
      <c r="I56" s="1057"/>
      <c r="J56" s="1057">
        <f>$E$56*비용집행계획!E52</f>
        <v>0</v>
      </c>
      <c r="K56" s="1057">
        <f>$E$56*비용집행계획!F52</f>
        <v>0</v>
      </c>
      <c r="L56" s="1057">
        <f>$E$56*비용집행계획!G52</f>
        <v>0</v>
      </c>
      <c r="M56" s="1057">
        <f>$E$56*비용집행계획!H52</f>
        <v>0</v>
      </c>
      <c r="N56" s="1057">
        <f>$E$56*비용집행계획!I52</f>
        <v>0</v>
      </c>
      <c r="O56" s="1057">
        <f>$E$56*비용집행계획!J52</f>
        <v>0</v>
      </c>
      <c r="P56" s="1057">
        <f>$E$56*비용집행계획!K52</f>
        <v>0</v>
      </c>
      <c r="Q56" s="1057">
        <f>$E$56*비용집행계획!L52</f>
        <v>0</v>
      </c>
      <c r="R56" s="1057">
        <f>$E$56*비용집행계획!M52</f>
        <v>0</v>
      </c>
      <c r="S56" s="1057">
        <f>$E$56*비용집행계획!N52</f>
        <v>0</v>
      </c>
      <c r="T56" s="1057">
        <f>$E$56*비용집행계획!O52</f>
        <v>0</v>
      </c>
      <c r="U56" s="1057">
        <f>$E$56*비용집행계획!P52</f>
        <v>0</v>
      </c>
      <c r="V56" s="1057">
        <f>$E$56*비용집행계획!Q52</f>
        <v>0</v>
      </c>
      <c r="W56" s="1057">
        <f>$E$56*비용집행계획!R52</f>
        <v>0</v>
      </c>
      <c r="X56" s="1057">
        <f>$E$56*비용집행계획!S52</f>
        <v>0</v>
      </c>
      <c r="Y56" s="1057">
        <f>$E$56*비용집행계획!T52</f>
        <v>0</v>
      </c>
      <c r="Z56" s="1057">
        <f>$E$56*비용집행계획!U52</f>
        <v>0</v>
      </c>
      <c r="AA56" s="1057">
        <f>$E$56*비용집행계획!V52</f>
        <v>0</v>
      </c>
      <c r="AB56" s="1057">
        <f>$E$56*비용집행계획!W52</f>
        <v>0</v>
      </c>
      <c r="AC56" s="1057">
        <f>$E$56*비용집행계획!X52</f>
        <v>0</v>
      </c>
      <c r="AD56" s="1057">
        <f>$E$56*비용집행계획!Y52</f>
        <v>0</v>
      </c>
      <c r="AE56" s="1057">
        <f>$E$56*비용집행계획!Z52</f>
        <v>0</v>
      </c>
      <c r="AF56" s="1057">
        <f>$E$56*비용집행계획!AA52</f>
        <v>0</v>
      </c>
      <c r="AG56" s="1057">
        <f>$E$56*비용집행계획!AB52</f>
        <v>0</v>
      </c>
      <c r="AH56" s="1057">
        <f>$E$56*비용집행계획!AC52</f>
        <v>0</v>
      </c>
      <c r="AI56" s="1057">
        <f>$E$56*비용집행계획!AD52</f>
        <v>0</v>
      </c>
      <c r="AJ56" s="1057">
        <f>$E$56*비용집행계획!AE52</f>
        <v>0</v>
      </c>
      <c r="AK56" s="1057">
        <f>$E$56*비용집행계획!AF52</f>
        <v>0</v>
      </c>
      <c r="AL56" s="1057">
        <f>$E$56*비용집행계획!AG52</f>
        <v>0</v>
      </c>
      <c r="AM56" s="1057">
        <f>$E$56*비용집행계획!AH52</f>
        <v>0</v>
      </c>
      <c r="AN56" s="1057">
        <f>$E$56*비용집행계획!AI52</f>
        <v>0</v>
      </c>
      <c r="AO56" s="1057">
        <f>$E$56*비용집행계획!AJ52</f>
        <v>0</v>
      </c>
      <c r="AP56" s="1057">
        <f>$E$56*비용집행계획!AK52</f>
        <v>0</v>
      </c>
      <c r="AQ56" s="1057">
        <f>$E$56*비용집행계획!AL52</f>
        <v>0</v>
      </c>
      <c r="AR56" s="1057">
        <f>$E$56*비용집행계획!AM52</f>
        <v>0</v>
      </c>
      <c r="AS56" s="1057">
        <f>$E$56*비용집행계획!AN52</f>
        <v>0</v>
      </c>
      <c r="AT56" s="1057">
        <f>$E$56*비용집행계획!AO52</f>
        <v>0</v>
      </c>
      <c r="AU56" s="1057">
        <f>$E$56*비용집행계획!AP52</f>
        <v>0</v>
      </c>
      <c r="AV56" s="1057">
        <f>$E$56*비용집행계획!AQ52</f>
        <v>0</v>
      </c>
      <c r="AW56" s="1057">
        <f>$E$56*비용집행계획!AR52</f>
        <v>0</v>
      </c>
      <c r="AX56" s="1057">
        <f>$E$56*비용집행계획!AS52</f>
        <v>0</v>
      </c>
      <c r="AY56" s="1057">
        <f>$E$56*비용집행계획!AT52</f>
        <v>0</v>
      </c>
      <c r="AZ56" s="1057">
        <f>$E$56*비용집행계획!AU52</f>
        <v>0</v>
      </c>
      <c r="BA56" s="1057">
        <f>$E$56*비용집행계획!AV52</f>
        <v>0</v>
      </c>
      <c r="BB56" s="1057">
        <f>$E$56*비용집행계획!AW52</f>
        <v>0</v>
      </c>
      <c r="BC56" s="1057">
        <f>$E$56*비용집행계획!AX52</f>
        <v>0</v>
      </c>
      <c r="BD56" s="1057">
        <f>$E$56*비용집행계획!AY52</f>
        <v>0</v>
      </c>
      <c r="BE56" s="1057">
        <f>$E$56*비용집행계획!AZ52</f>
        <v>0</v>
      </c>
      <c r="BF56" s="1057">
        <f>$E$56*비용집행계획!BA52</f>
        <v>0</v>
      </c>
      <c r="BG56" s="1057">
        <f>$E$56*비용집행계획!BB52</f>
        <v>0</v>
      </c>
      <c r="BH56" s="1057">
        <f>$E$56*비용집행계획!BC52</f>
        <v>0</v>
      </c>
      <c r="BI56" s="1057">
        <f>$E$56*비용집행계획!BD52</f>
        <v>0</v>
      </c>
      <c r="BJ56" s="1057">
        <f>$E$56*비용집행계획!BE52</f>
        <v>0</v>
      </c>
      <c r="BK56" s="1057">
        <f>$E$56*비용집행계획!BF52</f>
        <v>0</v>
      </c>
      <c r="BL56" s="1057">
        <f>$E$56*비용집행계획!BG52</f>
        <v>0</v>
      </c>
      <c r="BM56" s="1057">
        <f>$E$56*비용집행계획!BH52</f>
        <v>0</v>
      </c>
      <c r="BN56" s="1057">
        <f>$E$56*비용집행계획!BI52</f>
        <v>0</v>
      </c>
      <c r="BO56" s="1057">
        <f>$E$56*비용집행계획!BJ52</f>
        <v>0</v>
      </c>
      <c r="BP56" s="1057">
        <f>$E$56*비용집행계획!BK52</f>
        <v>0</v>
      </c>
      <c r="BQ56" s="1057">
        <f>$E$56*비용집행계획!BL52</f>
        <v>0</v>
      </c>
      <c r="BR56" s="1057">
        <f>$E$56*비용집행계획!BM52</f>
        <v>0</v>
      </c>
      <c r="BS56" s="1057">
        <f>$E$56*비용집행계획!BN52</f>
        <v>0</v>
      </c>
      <c r="BT56" s="1057">
        <f>$E$56*비용집행계획!BO52</f>
        <v>0</v>
      </c>
      <c r="BU56" s="1057">
        <f>$E$56*비용집행계획!BP52</f>
        <v>0</v>
      </c>
      <c r="BV56" s="1057">
        <f>$E$56*비용집행계획!BQ52</f>
        <v>0</v>
      </c>
      <c r="BW56" s="1057">
        <f>$E$56*비용집행계획!BR52</f>
        <v>0</v>
      </c>
      <c r="BX56" s="1057">
        <f>$E$56*비용집행계획!BS52</f>
        <v>0</v>
      </c>
      <c r="BY56" s="1074" t="str">
        <f t="shared" si="91"/>
        <v>기타인허가비용</v>
      </c>
      <c r="BZ56" s="1106">
        <f t="shared" si="92"/>
        <v>0</v>
      </c>
      <c r="CA56" s="1111" t="b">
        <f t="shared" si="88"/>
        <v>1</v>
      </c>
      <c r="CB56"/>
      <c r="CC56"/>
      <c r="CD56"/>
      <c r="CE56"/>
      <c r="CF56"/>
      <c r="CG56"/>
      <c r="CH56"/>
      <c r="CI56"/>
      <c r="CJ56"/>
      <c r="CK56"/>
    </row>
    <row r="57" spans="2:89" s="1038" customFormat="1">
      <c r="B57" s="1103"/>
      <c r="C57" s="1892"/>
      <c r="D57" s="1104"/>
      <c r="E57" s="1105"/>
      <c r="F57" s="1058" t="b">
        <f t="shared" si="87"/>
        <v>1</v>
      </c>
      <c r="G57" s="1056"/>
      <c r="H57" s="1057"/>
      <c r="I57" s="1057"/>
      <c r="J57" s="1057">
        <f>$E$57*비용집행계획!E53</f>
        <v>0</v>
      </c>
      <c r="K57" s="1057">
        <f>$E$57*비용집행계획!F53</f>
        <v>0</v>
      </c>
      <c r="L57" s="1057">
        <f>$E$57*비용집행계획!G53</f>
        <v>0</v>
      </c>
      <c r="M57" s="1057">
        <f>$E$57*비용집행계획!H53</f>
        <v>0</v>
      </c>
      <c r="N57" s="1057">
        <f>$E$57*비용집행계획!I53</f>
        <v>0</v>
      </c>
      <c r="O57" s="1057">
        <f>$E$57*비용집행계획!J53</f>
        <v>0</v>
      </c>
      <c r="P57" s="1057">
        <f>$E$57*비용집행계획!K53</f>
        <v>0</v>
      </c>
      <c r="Q57" s="1057">
        <f>$E$57*비용집행계획!L53</f>
        <v>0</v>
      </c>
      <c r="R57" s="1057">
        <f>$E$57*비용집행계획!M53</f>
        <v>0</v>
      </c>
      <c r="S57" s="1057">
        <f>$E$57*비용집행계획!N53</f>
        <v>0</v>
      </c>
      <c r="T57" s="1057">
        <f>$E$57*비용집행계획!O53</f>
        <v>0</v>
      </c>
      <c r="U57" s="1057">
        <f>$E$57*비용집행계획!P53</f>
        <v>0</v>
      </c>
      <c r="V57" s="1057">
        <f>$E$57*비용집행계획!Q53</f>
        <v>0</v>
      </c>
      <c r="W57" s="1057">
        <f>$E$57*비용집행계획!R53</f>
        <v>0</v>
      </c>
      <c r="X57" s="1057">
        <f>$E$57*비용집행계획!S53</f>
        <v>0</v>
      </c>
      <c r="Y57" s="1057">
        <f>$E$57*비용집행계획!T53</f>
        <v>0</v>
      </c>
      <c r="Z57" s="1057">
        <f>$E$57*비용집행계획!U53</f>
        <v>0</v>
      </c>
      <c r="AA57" s="1057">
        <f>$E$57*비용집행계획!V53</f>
        <v>0</v>
      </c>
      <c r="AB57" s="1057">
        <f>$E$57*비용집행계획!W53</f>
        <v>0</v>
      </c>
      <c r="AC57" s="1057">
        <f>$E$57*비용집행계획!X53</f>
        <v>0</v>
      </c>
      <c r="AD57" s="1057">
        <f>$E$57*비용집행계획!Y53</f>
        <v>0</v>
      </c>
      <c r="AE57" s="1057">
        <f>$E$57*비용집행계획!Z53</f>
        <v>0</v>
      </c>
      <c r="AF57" s="1057">
        <f>$E$57*비용집행계획!AA53</f>
        <v>0</v>
      </c>
      <c r="AG57" s="1057">
        <f>$E$57*비용집행계획!AB53</f>
        <v>0</v>
      </c>
      <c r="AH57" s="1057">
        <f>$E$57*비용집행계획!AC53</f>
        <v>0</v>
      </c>
      <c r="AI57" s="1057">
        <f>$E$57*비용집행계획!AD53</f>
        <v>0</v>
      </c>
      <c r="AJ57" s="1057">
        <f>$E$57*비용집행계획!AE53</f>
        <v>0</v>
      </c>
      <c r="AK57" s="1057">
        <f>$E$57*비용집행계획!AF53</f>
        <v>0</v>
      </c>
      <c r="AL57" s="1057">
        <f>$E$57*비용집행계획!AG53</f>
        <v>0</v>
      </c>
      <c r="AM57" s="1057">
        <f>$E$57*비용집행계획!AH53</f>
        <v>0</v>
      </c>
      <c r="AN57" s="1057">
        <f>$E$57*비용집행계획!AI53</f>
        <v>0</v>
      </c>
      <c r="AO57" s="1057">
        <f>$E$57*비용집행계획!AJ53</f>
        <v>0</v>
      </c>
      <c r="AP57" s="1057">
        <f>$E$57*비용집행계획!AK53</f>
        <v>0</v>
      </c>
      <c r="AQ57" s="1057">
        <f>$E$57*비용집행계획!AL53</f>
        <v>0</v>
      </c>
      <c r="AR57" s="1057">
        <f>$E$57*비용집행계획!AM53</f>
        <v>0</v>
      </c>
      <c r="AS57" s="1057">
        <f>$E$57*비용집행계획!AN53</f>
        <v>0</v>
      </c>
      <c r="AT57" s="1057">
        <f>$E$57*비용집행계획!AO53</f>
        <v>0</v>
      </c>
      <c r="AU57" s="1057">
        <f>$E$57*비용집행계획!AP53</f>
        <v>0</v>
      </c>
      <c r="AV57" s="1057">
        <f>$E$57*비용집행계획!AQ53</f>
        <v>0</v>
      </c>
      <c r="AW57" s="1057">
        <f>$E$57*비용집행계획!AR53</f>
        <v>0</v>
      </c>
      <c r="AX57" s="1057">
        <f>$E$57*비용집행계획!AS53</f>
        <v>0</v>
      </c>
      <c r="AY57" s="1057">
        <f>$E$57*비용집행계획!AT53</f>
        <v>0</v>
      </c>
      <c r="AZ57" s="1057">
        <f>$E$57*비용집행계획!AU53</f>
        <v>0</v>
      </c>
      <c r="BA57" s="1057">
        <f>$E$57*비용집행계획!AV53</f>
        <v>0</v>
      </c>
      <c r="BB57" s="1057">
        <f>$E$57*비용집행계획!AW53</f>
        <v>0</v>
      </c>
      <c r="BC57" s="1057">
        <f>$E$57*비용집행계획!AX53</f>
        <v>0</v>
      </c>
      <c r="BD57" s="1057">
        <f>$E$57*비용집행계획!AY53</f>
        <v>0</v>
      </c>
      <c r="BE57" s="1057">
        <f>$E$57*비용집행계획!AZ53</f>
        <v>0</v>
      </c>
      <c r="BF57" s="1057">
        <f>$E$57*비용집행계획!BA53</f>
        <v>0</v>
      </c>
      <c r="BG57" s="1057">
        <f>$E$57*비용집행계획!BB53</f>
        <v>0</v>
      </c>
      <c r="BH57" s="1057">
        <f>$E$57*비용집행계획!BC53</f>
        <v>0</v>
      </c>
      <c r="BI57" s="1057">
        <f>$E$57*비용집행계획!BD53</f>
        <v>0</v>
      </c>
      <c r="BJ57" s="1057">
        <f>$E$57*비용집행계획!BE53</f>
        <v>0</v>
      </c>
      <c r="BK57" s="1057">
        <f>$E$57*비용집행계획!BF53</f>
        <v>0</v>
      </c>
      <c r="BL57" s="1057">
        <f>$E$57*비용집행계획!BG53</f>
        <v>0</v>
      </c>
      <c r="BM57" s="1057">
        <f>$E$57*비용집행계획!BH53</f>
        <v>0</v>
      </c>
      <c r="BN57" s="1057">
        <f>$E$57*비용집행계획!BI53</f>
        <v>0</v>
      </c>
      <c r="BO57" s="1057">
        <f>$E$57*비용집행계획!BJ53</f>
        <v>0</v>
      </c>
      <c r="BP57" s="1057">
        <f>$E$57*비용집행계획!BK53</f>
        <v>0</v>
      </c>
      <c r="BQ57" s="1057">
        <f>$E$57*비용집행계획!BL53</f>
        <v>0</v>
      </c>
      <c r="BR57" s="1057">
        <f>$E$57*비용집행계획!BM53</f>
        <v>0</v>
      </c>
      <c r="BS57" s="1057">
        <f>$E$57*비용집행계획!BN53</f>
        <v>0</v>
      </c>
      <c r="BT57" s="1057">
        <f>$E$57*비용집행계획!BO53</f>
        <v>0</v>
      </c>
      <c r="BU57" s="1057">
        <f>$E$57*비용집행계획!BP53</f>
        <v>0</v>
      </c>
      <c r="BV57" s="1057">
        <f>$E$57*비용집행계획!BQ53</f>
        <v>0</v>
      </c>
      <c r="BW57" s="1057">
        <f>$E$57*비용집행계획!BR53</f>
        <v>0</v>
      </c>
      <c r="BX57" s="1057">
        <f>$E$57*비용집행계획!BS53</f>
        <v>0</v>
      </c>
      <c r="BY57" s="1074"/>
      <c r="BZ57" s="1106"/>
      <c r="CA57" s="1111" t="b">
        <f t="shared" si="88"/>
        <v>1</v>
      </c>
      <c r="CB57"/>
      <c r="CC57"/>
      <c r="CD57"/>
      <c r="CE57"/>
      <c r="CF57"/>
      <c r="CG57"/>
      <c r="CH57"/>
      <c r="CI57"/>
      <c r="CJ57"/>
      <c r="CK57"/>
    </row>
    <row r="58" spans="2:89" s="1038" customFormat="1">
      <c r="B58" s="1103" t="str">
        <f>'사업수지표 '!Y42</f>
        <v>학교용지부담금</v>
      </c>
      <c r="C58" s="1892"/>
      <c r="D58" s="1104"/>
      <c r="E58" s="1105">
        <f>'사업수지표 '!E42:E42</f>
        <v>1221297.1650000003</v>
      </c>
      <c r="F58" s="1058" t="b">
        <f t="shared" si="87"/>
        <v>1</v>
      </c>
      <c r="G58" s="1056"/>
      <c r="H58" s="1057"/>
      <c r="I58" s="1057"/>
      <c r="J58" s="1057">
        <f>$E$58*비용집행계획!E55</f>
        <v>0</v>
      </c>
      <c r="K58" s="1057">
        <f>$E$58*비용집행계획!F55</f>
        <v>0</v>
      </c>
      <c r="L58" s="1057">
        <f>$E$58*비용집행계획!G55</f>
        <v>0</v>
      </c>
      <c r="M58" s="1057">
        <f>$E$58*비용집행계획!H55</f>
        <v>0</v>
      </c>
      <c r="N58" s="1057">
        <f>$E$58*비용집행계획!I55</f>
        <v>244259.43300000008</v>
      </c>
      <c r="O58" s="1057">
        <f>$E$58*비용집행계획!J55</f>
        <v>183194.57475000003</v>
      </c>
      <c r="P58" s="1057">
        <f>$E$58*비용집행계획!K55</f>
        <v>146555.65980000002</v>
      </c>
      <c r="Q58" s="1057">
        <f>$E$58*비용집행계획!L55</f>
        <v>122129.71650000004</v>
      </c>
      <c r="R58" s="1057">
        <f>$E$58*비용집행계획!M55</f>
        <v>97703.773200000025</v>
      </c>
      <c r="S58" s="1057">
        <f>$E$58*비용집행계획!N55</f>
        <v>85490.801550000033</v>
      </c>
      <c r="T58" s="1057">
        <f>$E$58*비용집행계획!O55</f>
        <v>73277.829900000012</v>
      </c>
      <c r="U58" s="1057">
        <f>$E$58*비용집행계획!P55</f>
        <v>61064.858250000019</v>
      </c>
      <c r="V58" s="1057">
        <f>$E$58*비용집행계획!Q55</f>
        <v>61064.858250000019</v>
      </c>
      <c r="W58" s="1057">
        <f>$E$58*비용집행계획!R55</f>
        <v>48851.886600000013</v>
      </c>
      <c r="X58" s="1057">
        <f>$E$58*비용집행계획!S55</f>
        <v>48851.886600000013</v>
      </c>
      <c r="Y58" s="1057">
        <f>$E$58*비용집행계획!T55</f>
        <v>48851.886600000013</v>
      </c>
      <c r="Z58" s="1057">
        <f>$E$58*비용집행계획!U55</f>
        <v>0</v>
      </c>
      <c r="AA58" s="1057">
        <f>$E$58*비용집행계획!V55</f>
        <v>0</v>
      </c>
      <c r="AB58" s="1057">
        <f>$E$58*비용집행계획!W55</f>
        <v>0</v>
      </c>
      <c r="AC58" s="1057">
        <f>$E$58*비용집행계획!X55</f>
        <v>0</v>
      </c>
      <c r="AD58" s="1057">
        <f>$E$58*비용집행계획!Y55</f>
        <v>0</v>
      </c>
      <c r="AE58" s="1057">
        <f>$E$58*비용집행계획!Z55</f>
        <v>0</v>
      </c>
      <c r="AF58" s="1057">
        <f>$E$58*비용집행계획!AA55</f>
        <v>0</v>
      </c>
      <c r="AG58" s="1057">
        <f>$E$58*비용집행계획!AB55</f>
        <v>0</v>
      </c>
      <c r="AH58" s="1057">
        <f>$E$58*비용집행계획!AC55</f>
        <v>0</v>
      </c>
      <c r="AI58" s="1057">
        <f>$E$58*비용집행계획!AD55</f>
        <v>0</v>
      </c>
      <c r="AJ58" s="1057">
        <f>$E$58*비용집행계획!AE55</f>
        <v>0</v>
      </c>
      <c r="AK58" s="1057">
        <f>$E$58*비용집행계획!AF55</f>
        <v>0</v>
      </c>
      <c r="AL58" s="1057">
        <f>$E$58*비용집행계획!AG55</f>
        <v>0</v>
      </c>
      <c r="AM58" s="1057">
        <f>$E$58*비용집행계획!AH55</f>
        <v>0</v>
      </c>
      <c r="AN58" s="1057">
        <f>$E$58*비용집행계획!AI55</f>
        <v>0</v>
      </c>
      <c r="AO58" s="1057">
        <f>$E$58*비용집행계획!AJ55</f>
        <v>0</v>
      </c>
      <c r="AP58" s="1057">
        <f>$E$58*비용집행계획!AK55</f>
        <v>0</v>
      </c>
      <c r="AQ58" s="1057">
        <f>$E$58*비용집행계획!AL55</f>
        <v>0</v>
      </c>
      <c r="AR58" s="1057">
        <f>$E$58*비용집행계획!AM55</f>
        <v>0</v>
      </c>
      <c r="AS58" s="1057">
        <f>$E$58*비용집행계획!AN55</f>
        <v>0</v>
      </c>
      <c r="AT58" s="1057">
        <f>$E$58*비용집행계획!AO55</f>
        <v>0</v>
      </c>
      <c r="AU58" s="1057">
        <f>$E$58*비용집행계획!AP55</f>
        <v>0</v>
      </c>
      <c r="AV58" s="1057">
        <f>$E$58*비용집행계획!AQ55</f>
        <v>0</v>
      </c>
      <c r="AW58" s="1057">
        <f>$E$58*비용집행계획!AR55</f>
        <v>0</v>
      </c>
      <c r="AX58" s="1057">
        <f>$E$58*비용집행계획!AS55</f>
        <v>0</v>
      </c>
      <c r="AY58" s="1057">
        <f>$E$58*비용집행계획!AT55</f>
        <v>0</v>
      </c>
      <c r="AZ58" s="1057">
        <f>$E$58*비용집행계획!AU55</f>
        <v>0</v>
      </c>
      <c r="BA58" s="1057">
        <f>$E$58*비용집행계획!AV55</f>
        <v>0</v>
      </c>
      <c r="BB58" s="1057">
        <f>$E$58*비용집행계획!AW55</f>
        <v>0</v>
      </c>
      <c r="BC58" s="1057">
        <f>$E$58*비용집행계획!AX55</f>
        <v>0</v>
      </c>
      <c r="BD58" s="1057">
        <f>$E$58*비용집행계획!AY55</f>
        <v>0</v>
      </c>
      <c r="BE58" s="1057">
        <f>$E$58*비용집행계획!AZ55</f>
        <v>0</v>
      </c>
      <c r="BF58" s="1057">
        <f>$E$58*비용집행계획!BA55</f>
        <v>0</v>
      </c>
      <c r="BG58" s="1057">
        <f>$E$58*비용집행계획!BB55</f>
        <v>0</v>
      </c>
      <c r="BH58" s="1057">
        <f>$E$58*비용집행계획!BC55</f>
        <v>0</v>
      </c>
      <c r="BI58" s="1057">
        <f>$E$58*비용집행계획!BD55</f>
        <v>0</v>
      </c>
      <c r="BJ58" s="1057">
        <f>$E$58*비용집행계획!BE55</f>
        <v>0</v>
      </c>
      <c r="BK58" s="1057">
        <f>$E$58*비용집행계획!BF55</f>
        <v>0</v>
      </c>
      <c r="BL58" s="1057">
        <f>$E$58*비용집행계획!BG55</f>
        <v>0</v>
      </c>
      <c r="BM58" s="1057">
        <f>$E$58*비용집행계획!BH55</f>
        <v>0</v>
      </c>
      <c r="BN58" s="1057">
        <f>$E$58*비용집행계획!BI55</f>
        <v>0</v>
      </c>
      <c r="BO58" s="1057">
        <f>$E$58*비용집행계획!BJ55</f>
        <v>0</v>
      </c>
      <c r="BP58" s="1057">
        <f>$E$58*비용집행계획!BK55</f>
        <v>0</v>
      </c>
      <c r="BQ58" s="1057">
        <f>$E$58*비용집행계획!BL55</f>
        <v>0</v>
      </c>
      <c r="BR58" s="1057">
        <f>$E$58*비용집행계획!BM55</f>
        <v>0</v>
      </c>
      <c r="BS58" s="1057">
        <f>$E$58*비용집행계획!BN55</f>
        <v>0</v>
      </c>
      <c r="BT58" s="1057">
        <f>$E$58*비용집행계획!BO55</f>
        <v>0</v>
      </c>
      <c r="BU58" s="1057">
        <f>$E$58*비용집행계획!BP55</f>
        <v>0</v>
      </c>
      <c r="BV58" s="1057">
        <f>$E$58*비용집행계획!BQ55</f>
        <v>0</v>
      </c>
      <c r="BW58" s="1057">
        <f>$E$58*비용집행계획!BR55</f>
        <v>0</v>
      </c>
      <c r="BX58" s="1057">
        <f>$E$58*비용집행계획!BS55</f>
        <v>0</v>
      </c>
      <c r="BY58" s="1074" t="str">
        <f t="shared" ref="BY58:BY67" si="93">B58</f>
        <v>학교용지부담금</v>
      </c>
      <c r="BZ58" s="1106">
        <f t="shared" ref="BZ58:BZ67" si="94">SUM(G58:BX58)</f>
        <v>1221297.1650000007</v>
      </c>
      <c r="CA58" s="1111" t="b">
        <f t="shared" si="88"/>
        <v>1</v>
      </c>
      <c r="CB58"/>
      <c r="CC58"/>
      <c r="CD58"/>
      <c r="CE58"/>
      <c r="CF58"/>
      <c r="CG58"/>
      <c r="CH58"/>
      <c r="CI58"/>
      <c r="CJ58"/>
      <c r="CK58"/>
    </row>
    <row r="59" spans="2:89" s="1038" customFormat="1">
      <c r="B59" s="1103" t="str">
        <f>'사업수지표 '!Y43</f>
        <v>농지보전부담금</v>
      </c>
      <c r="C59" s="1892"/>
      <c r="D59" s="1104"/>
      <c r="E59" s="1105">
        <f>'사업수지표 '!E43:E43</f>
        <v>0</v>
      </c>
      <c r="F59" s="1058" t="b">
        <f t="shared" si="87"/>
        <v>1</v>
      </c>
      <c r="G59" s="1056"/>
      <c r="H59" s="1057"/>
      <c r="I59" s="1057"/>
      <c r="J59" s="1057">
        <f>$E$59*비용집행계획!E56</f>
        <v>0</v>
      </c>
      <c r="K59" s="1057">
        <f>$E$59*비용집행계획!F56</f>
        <v>0</v>
      </c>
      <c r="L59" s="1057">
        <f>$E$59*비용집행계획!G56</f>
        <v>0</v>
      </c>
      <c r="M59" s="1057">
        <f>$E$59*비용집행계획!H56</f>
        <v>0</v>
      </c>
      <c r="N59" s="1057">
        <f>$E$59*비용집행계획!I56</f>
        <v>0</v>
      </c>
      <c r="O59" s="1057">
        <f>$E$59*비용집행계획!J56</f>
        <v>0</v>
      </c>
      <c r="P59" s="1057">
        <f>$E$59*비용집행계획!K56</f>
        <v>0</v>
      </c>
      <c r="Q59" s="1057">
        <f>$E$59*비용집행계획!L56</f>
        <v>0</v>
      </c>
      <c r="R59" s="1057">
        <f>$E$59*비용집행계획!M56</f>
        <v>0</v>
      </c>
      <c r="S59" s="1057">
        <f>$E$59*비용집행계획!N56</f>
        <v>0</v>
      </c>
      <c r="T59" s="1057">
        <f>$E$59*비용집행계획!O56</f>
        <v>0</v>
      </c>
      <c r="U59" s="1057">
        <f>$E$59*비용집행계획!P56</f>
        <v>0</v>
      </c>
      <c r="V59" s="1057">
        <f>$E$59*비용집행계획!Q56</f>
        <v>0</v>
      </c>
      <c r="W59" s="1057">
        <f>$E$59*비용집행계획!R56</f>
        <v>0</v>
      </c>
      <c r="X59" s="1057">
        <f>$E$59*비용집행계획!S56</f>
        <v>0</v>
      </c>
      <c r="Y59" s="1057">
        <f>$E$59*비용집행계획!T56</f>
        <v>0</v>
      </c>
      <c r="Z59" s="1057">
        <f>$E$59*비용집행계획!U56</f>
        <v>0</v>
      </c>
      <c r="AA59" s="1057">
        <f>$E$59*비용집행계획!V56</f>
        <v>0</v>
      </c>
      <c r="AB59" s="1057">
        <f>$E$59*비용집행계획!W56</f>
        <v>0</v>
      </c>
      <c r="AC59" s="1057">
        <f>$E$59*비용집행계획!X56</f>
        <v>0</v>
      </c>
      <c r="AD59" s="1057">
        <f>$E$59*비용집행계획!Y56</f>
        <v>0</v>
      </c>
      <c r="AE59" s="1057">
        <f>$E$59*비용집행계획!Z56</f>
        <v>0</v>
      </c>
      <c r="AF59" s="1057">
        <f>$E$59*비용집행계획!AA56</f>
        <v>0</v>
      </c>
      <c r="AG59" s="1057">
        <f>$E$59*비용집행계획!AB56</f>
        <v>0</v>
      </c>
      <c r="AH59" s="1057">
        <f>$E$59*비용집행계획!AC56</f>
        <v>0</v>
      </c>
      <c r="AI59" s="1057">
        <f>$E$59*비용집행계획!AD56</f>
        <v>0</v>
      </c>
      <c r="AJ59" s="1057">
        <f>$E$59*비용집행계획!AE56</f>
        <v>0</v>
      </c>
      <c r="AK59" s="1057">
        <f>$E$59*비용집행계획!AF56</f>
        <v>0</v>
      </c>
      <c r="AL59" s="1057">
        <f>$E$59*비용집행계획!AG56</f>
        <v>0</v>
      </c>
      <c r="AM59" s="1057">
        <f>$E$59*비용집행계획!AH56</f>
        <v>0</v>
      </c>
      <c r="AN59" s="1057">
        <f>$E$59*비용집행계획!AI56</f>
        <v>0</v>
      </c>
      <c r="AO59" s="1057">
        <f>$E$59*비용집행계획!AJ56</f>
        <v>0</v>
      </c>
      <c r="AP59" s="1057">
        <f>$E$59*비용집행계획!AK56</f>
        <v>0</v>
      </c>
      <c r="AQ59" s="1057">
        <f>$E$59*비용집행계획!AL56</f>
        <v>0</v>
      </c>
      <c r="AR59" s="1057">
        <f>$E$59*비용집행계획!AM56</f>
        <v>0</v>
      </c>
      <c r="AS59" s="1057">
        <f>$E$59*비용집행계획!AN56</f>
        <v>0</v>
      </c>
      <c r="AT59" s="1057">
        <f>$E$59*비용집행계획!AO56</f>
        <v>0</v>
      </c>
      <c r="AU59" s="1057">
        <f>$E$59*비용집행계획!AP56</f>
        <v>0</v>
      </c>
      <c r="AV59" s="1057">
        <f>$E$59*비용집행계획!AQ56</f>
        <v>0</v>
      </c>
      <c r="AW59" s="1057">
        <f>$E$59*비용집행계획!AR56</f>
        <v>0</v>
      </c>
      <c r="AX59" s="1057">
        <f>$E$59*비용집행계획!AS56</f>
        <v>0</v>
      </c>
      <c r="AY59" s="1057">
        <f>$E$59*비용집행계획!AT56</f>
        <v>0</v>
      </c>
      <c r="AZ59" s="1057">
        <f>$E$59*비용집행계획!AU56</f>
        <v>0</v>
      </c>
      <c r="BA59" s="1057">
        <f>$E$59*비용집행계획!AV56</f>
        <v>0</v>
      </c>
      <c r="BB59" s="1057">
        <f>$E$59*비용집행계획!AW56</f>
        <v>0</v>
      </c>
      <c r="BC59" s="1057">
        <f>$E$59*비용집행계획!AX56</f>
        <v>0</v>
      </c>
      <c r="BD59" s="1057">
        <f>$E$59*비용집행계획!AY56</f>
        <v>0</v>
      </c>
      <c r="BE59" s="1057">
        <f>$E$59*비용집행계획!AZ56</f>
        <v>0</v>
      </c>
      <c r="BF59" s="1057">
        <f>$E$59*비용집행계획!BA56</f>
        <v>0</v>
      </c>
      <c r="BG59" s="1057">
        <f>$E$59*비용집행계획!BB56</f>
        <v>0</v>
      </c>
      <c r="BH59" s="1057">
        <f>$E$59*비용집행계획!BC56</f>
        <v>0</v>
      </c>
      <c r="BI59" s="1057">
        <f>$E$59*비용집행계획!BD56</f>
        <v>0</v>
      </c>
      <c r="BJ59" s="1057">
        <f>$E$59*비용집행계획!BE56</f>
        <v>0</v>
      </c>
      <c r="BK59" s="1057">
        <f>$E$59*비용집행계획!BF56</f>
        <v>0</v>
      </c>
      <c r="BL59" s="1057">
        <f>$E$59*비용집행계획!BG56</f>
        <v>0</v>
      </c>
      <c r="BM59" s="1057">
        <f>$E$59*비용집행계획!BH56</f>
        <v>0</v>
      </c>
      <c r="BN59" s="1057">
        <f>$E$59*비용집행계획!BI56</f>
        <v>0</v>
      </c>
      <c r="BO59" s="1057">
        <f>$E$59*비용집행계획!BJ56</f>
        <v>0</v>
      </c>
      <c r="BP59" s="1057">
        <f>$E$59*비용집행계획!BK56</f>
        <v>0</v>
      </c>
      <c r="BQ59" s="1057">
        <f>$E$59*비용집행계획!BL56</f>
        <v>0</v>
      </c>
      <c r="BR59" s="1057">
        <f>$E$59*비용집행계획!BM56</f>
        <v>0</v>
      </c>
      <c r="BS59" s="1057">
        <f>$E$59*비용집행계획!BN56</f>
        <v>0</v>
      </c>
      <c r="BT59" s="1057">
        <f>$E$59*비용집행계획!BO56</f>
        <v>0</v>
      </c>
      <c r="BU59" s="1057">
        <f>$E$59*비용집행계획!BP56</f>
        <v>0</v>
      </c>
      <c r="BV59" s="1057">
        <f>$E$59*비용집행계획!BQ56</f>
        <v>0</v>
      </c>
      <c r="BW59" s="1057">
        <f>$E$59*비용집행계획!BR56</f>
        <v>0</v>
      </c>
      <c r="BX59" s="1057">
        <f>$E$59*비용집행계획!BS56</f>
        <v>0</v>
      </c>
      <c r="BY59" s="1074" t="str">
        <f t="shared" si="93"/>
        <v>농지보전부담금</v>
      </c>
      <c r="BZ59" s="1106">
        <f t="shared" si="94"/>
        <v>0</v>
      </c>
      <c r="CA59" s="1111" t="b">
        <f t="shared" si="88"/>
        <v>1</v>
      </c>
      <c r="CB59"/>
      <c r="CC59"/>
      <c r="CD59"/>
      <c r="CE59"/>
      <c r="CF59"/>
      <c r="CG59"/>
      <c r="CH59"/>
      <c r="CI59"/>
      <c r="CJ59"/>
      <c r="CK59"/>
    </row>
    <row r="60" spans="2:89" s="1038" customFormat="1" ht="15.75" customHeight="1">
      <c r="B60" s="1103" t="str">
        <f>'사업수지표 '!Y44</f>
        <v>상하수도분담금</v>
      </c>
      <c r="C60" s="1892"/>
      <c r="D60" s="1104"/>
      <c r="E60" s="1105">
        <f>'사업수지표 '!E44:E44</f>
        <v>366000</v>
      </c>
      <c r="F60" s="1058" t="b">
        <f t="shared" si="87"/>
        <v>1</v>
      </c>
      <c r="G60" s="1056"/>
      <c r="H60" s="1057"/>
      <c r="I60" s="1057"/>
      <c r="J60" s="1057">
        <f>$E$60*비용집행계획!E57</f>
        <v>0</v>
      </c>
      <c r="K60" s="1057">
        <f>$E$60*비용집행계획!F57</f>
        <v>0</v>
      </c>
      <c r="L60" s="1057">
        <f>$E$60*비용집행계획!G57</f>
        <v>0</v>
      </c>
      <c r="M60" s="1057">
        <f>$E$60*비용집행계획!H57</f>
        <v>0</v>
      </c>
      <c r="N60" s="1057">
        <f>$E$60*비용집행계획!I57</f>
        <v>0</v>
      </c>
      <c r="O60" s="1057">
        <f>$E$60*비용집행계획!J57</f>
        <v>0</v>
      </c>
      <c r="P60" s="1057">
        <f>$E$60*비용집행계획!K57</f>
        <v>0</v>
      </c>
      <c r="Q60" s="1057">
        <f>$E$60*비용집행계획!L57</f>
        <v>0</v>
      </c>
      <c r="R60" s="1057">
        <f>$E$60*비용집행계획!M57</f>
        <v>0</v>
      </c>
      <c r="S60" s="1057">
        <f>$E$60*비용집행계획!N57</f>
        <v>0</v>
      </c>
      <c r="T60" s="1057">
        <f>$E$60*비용집행계획!O57</f>
        <v>0</v>
      </c>
      <c r="U60" s="1057">
        <f>$E$60*비용집행계획!P57</f>
        <v>0</v>
      </c>
      <c r="V60" s="1057">
        <f>$E$60*비용집행계획!Q57</f>
        <v>0</v>
      </c>
      <c r="W60" s="1057">
        <f>$E$60*비용집행계획!R57</f>
        <v>0</v>
      </c>
      <c r="X60" s="1057">
        <f>$E$60*비용집행계획!S57</f>
        <v>0</v>
      </c>
      <c r="Y60" s="1057">
        <f>$E$60*비용집행계획!T57</f>
        <v>0</v>
      </c>
      <c r="Z60" s="1057">
        <f>$E$60*비용집행계획!U57</f>
        <v>0</v>
      </c>
      <c r="AA60" s="1057">
        <f>$E$60*비용집행계획!V57</f>
        <v>0</v>
      </c>
      <c r="AB60" s="1057">
        <f>$E$60*비용집행계획!W57</f>
        <v>0</v>
      </c>
      <c r="AC60" s="1057">
        <f>$E$60*비용집행계획!X57</f>
        <v>0</v>
      </c>
      <c r="AD60" s="1057">
        <f>$E$60*비용집행계획!Y57</f>
        <v>0</v>
      </c>
      <c r="AE60" s="1057">
        <f>$E$60*비용집행계획!Z57</f>
        <v>0</v>
      </c>
      <c r="AF60" s="1057">
        <f>$E$60*비용집행계획!AA57</f>
        <v>0</v>
      </c>
      <c r="AG60" s="1057">
        <f>$E$60*비용집행계획!AB57</f>
        <v>0</v>
      </c>
      <c r="AH60" s="1057">
        <f>$E$60*비용집행계획!AC57</f>
        <v>0</v>
      </c>
      <c r="AI60" s="1057">
        <f>$E$60*비용집행계획!AD57</f>
        <v>0</v>
      </c>
      <c r="AJ60" s="1057">
        <f>$E$60*비용집행계획!AE57</f>
        <v>0</v>
      </c>
      <c r="AK60" s="1057">
        <f>$E$60*비용집행계획!AF57</f>
        <v>183000</v>
      </c>
      <c r="AL60" s="1057">
        <f>$E$60*비용집행계획!AG57</f>
        <v>0</v>
      </c>
      <c r="AM60" s="1057">
        <f>$E$60*비용집행계획!AH57</f>
        <v>0</v>
      </c>
      <c r="AN60" s="1057">
        <f>$E$60*비용집행계획!AI57</f>
        <v>0</v>
      </c>
      <c r="AO60" s="1057">
        <f>$E$60*비용집행계획!AJ57</f>
        <v>0</v>
      </c>
      <c r="AP60" s="1057">
        <f>$E$60*비용집행계획!AK57</f>
        <v>0</v>
      </c>
      <c r="AQ60" s="1057">
        <f>$E$60*비용집행계획!AL57</f>
        <v>0</v>
      </c>
      <c r="AR60" s="1057">
        <f>$E$60*비용집행계획!AM57</f>
        <v>0</v>
      </c>
      <c r="AS60" s="1057">
        <f>$E$60*비용집행계획!AN57</f>
        <v>0</v>
      </c>
      <c r="AT60" s="1057">
        <f>$E$60*비용집행계획!AO57</f>
        <v>0</v>
      </c>
      <c r="AU60" s="1057">
        <f>$E$60*비용집행계획!AP57</f>
        <v>0</v>
      </c>
      <c r="AV60" s="1057">
        <f>$E$60*비용집행계획!AQ57</f>
        <v>0</v>
      </c>
      <c r="AW60" s="1057">
        <f>$E$60*비용집행계획!AR57</f>
        <v>0</v>
      </c>
      <c r="AX60" s="1057">
        <f>$E$60*비용집행계획!AS57</f>
        <v>0</v>
      </c>
      <c r="AY60" s="1057">
        <f>$E$60*비용집행계획!AT57</f>
        <v>0</v>
      </c>
      <c r="AZ60" s="1057">
        <f>$E$60*비용집행계획!AU57</f>
        <v>0</v>
      </c>
      <c r="BA60" s="1057">
        <f>$E$60*비용집행계획!AV57</f>
        <v>0</v>
      </c>
      <c r="BB60" s="1057">
        <f>$E$60*비용집행계획!AW57</f>
        <v>0</v>
      </c>
      <c r="BC60" s="1057">
        <f>$E$60*비용집행계획!AX57</f>
        <v>0</v>
      </c>
      <c r="BD60" s="1057">
        <f>$E$60*비용집행계획!AY57</f>
        <v>0</v>
      </c>
      <c r="BE60" s="1057">
        <f>$E$60*비용집행계획!AZ57</f>
        <v>0</v>
      </c>
      <c r="BF60" s="1057">
        <f>$E$60*비용집행계획!BA57</f>
        <v>0</v>
      </c>
      <c r="BG60" s="1057">
        <f>$E$60*비용집행계획!BB57</f>
        <v>0</v>
      </c>
      <c r="BH60" s="1057">
        <f>$E$60*비용집행계획!BC57</f>
        <v>0</v>
      </c>
      <c r="BI60" s="1057">
        <f>$E$60*비용집행계획!BD57</f>
        <v>0</v>
      </c>
      <c r="BJ60" s="1057">
        <f>$E$60*비용집행계획!BE57</f>
        <v>0</v>
      </c>
      <c r="BK60" s="1057">
        <f>$E$60*비용집행계획!BF57</f>
        <v>0</v>
      </c>
      <c r="BL60" s="1057">
        <f>$E$60*비용집행계획!BG57</f>
        <v>0</v>
      </c>
      <c r="BM60" s="1057">
        <f>$E$60*비용집행계획!BH57</f>
        <v>0</v>
      </c>
      <c r="BN60" s="1057">
        <f>$E$60*비용집행계획!BI57</f>
        <v>0</v>
      </c>
      <c r="BO60" s="1057">
        <f>$E$60*비용집행계획!BJ57</f>
        <v>0</v>
      </c>
      <c r="BP60" s="1057">
        <f>$E$60*비용집행계획!BK57</f>
        <v>0</v>
      </c>
      <c r="BQ60" s="1057">
        <f>$E$60*비용집행계획!BL57</f>
        <v>0</v>
      </c>
      <c r="BR60" s="1057">
        <f>$E$60*비용집행계획!BM57</f>
        <v>0</v>
      </c>
      <c r="BS60" s="1057">
        <f>$E$60*비용집행계획!BN57</f>
        <v>0</v>
      </c>
      <c r="BT60" s="1057">
        <f>$E$60*비용집행계획!BO57</f>
        <v>0</v>
      </c>
      <c r="BU60" s="1057">
        <f>$E$60*비용집행계획!BP57</f>
        <v>0</v>
      </c>
      <c r="BV60" s="1057">
        <f>$E$60*비용집행계획!BQ57</f>
        <v>183000</v>
      </c>
      <c r="BW60" s="1057">
        <f>$E$60*비용집행계획!BR57</f>
        <v>0</v>
      </c>
      <c r="BX60" s="1057">
        <f>$E$60*비용집행계획!BS57</f>
        <v>0</v>
      </c>
      <c r="BY60" s="1074" t="str">
        <f t="shared" si="93"/>
        <v>상하수도분담금</v>
      </c>
      <c r="BZ60" s="1106">
        <f t="shared" si="94"/>
        <v>366000</v>
      </c>
      <c r="CA60" s="1111" t="b">
        <f t="shared" si="88"/>
        <v>1</v>
      </c>
      <c r="CB60"/>
      <c r="CC60"/>
      <c r="CD60"/>
      <c r="CE60"/>
      <c r="CF60"/>
      <c r="CG60"/>
      <c r="CH60"/>
      <c r="CI60"/>
      <c r="CJ60"/>
      <c r="CK60"/>
    </row>
    <row r="61" spans="2:89" s="1038" customFormat="1" ht="15.75" customHeight="1">
      <c r="B61" s="1103" t="str">
        <f>'사업수지표 '!Y45</f>
        <v>과밀부담금</v>
      </c>
      <c r="C61" s="1892"/>
      <c r="D61" s="1104"/>
      <c r="E61" s="1105">
        <f>'사업수지표 '!E45:E45</f>
        <v>0</v>
      </c>
      <c r="F61" s="1058" t="b">
        <f t="shared" si="87"/>
        <v>1</v>
      </c>
      <c r="G61" s="1056"/>
      <c r="H61" s="1057"/>
      <c r="I61" s="1057"/>
      <c r="J61" s="1057">
        <f>$E$61*비용집행계획!E58</f>
        <v>0</v>
      </c>
      <c r="K61" s="1057">
        <f>$E$61*비용집행계획!F58</f>
        <v>0</v>
      </c>
      <c r="L61" s="1057">
        <f>$E$61*비용집행계획!G58</f>
        <v>0</v>
      </c>
      <c r="M61" s="1057">
        <f>$E$61*비용집행계획!H58</f>
        <v>0</v>
      </c>
      <c r="N61" s="1057">
        <f>$E$61*비용집행계획!I58</f>
        <v>0</v>
      </c>
      <c r="O61" s="1057">
        <f>$E$61*비용집행계획!J58</f>
        <v>0</v>
      </c>
      <c r="P61" s="1057">
        <f>$E$61*비용집행계획!K58</f>
        <v>0</v>
      </c>
      <c r="Q61" s="1057">
        <f>$E$61*비용집행계획!L58</f>
        <v>0</v>
      </c>
      <c r="R61" s="1057">
        <f>$E$61*비용집행계획!M58</f>
        <v>0</v>
      </c>
      <c r="S61" s="1057">
        <f>$E$61*비용집행계획!N58</f>
        <v>0</v>
      </c>
      <c r="T61" s="1057">
        <f>$E$61*비용집행계획!O58</f>
        <v>0</v>
      </c>
      <c r="U61" s="1057">
        <f>$E$61*비용집행계획!P58</f>
        <v>0</v>
      </c>
      <c r="V61" s="1057">
        <f>$E$61*비용집행계획!Q58</f>
        <v>0</v>
      </c>
      <c r="W61" s="1057">
        <f>$E$61*비용집행계획!R58</f>
        <v>0</v>
      </c>
      <c r="X61" s="1057">
        <f>$E$61*비용집행계획!S58</f>
        <v>0</v>
      </c>
      <c r="Y61" s="1057">
        <f>$E$61*비용집행계획!T58</f>
        <v>0</v>
      </c>
      <c r="Z61" s="1057">
        <f>$E$61*비용집행계획!U58</f>
        <v>0</v>
      </c>
      <c r="AA61" s="1057">
        <f>$E$61*비용집행계획!V58</f>
        <v>0</v>
      </c>
      <c r="AB61" s="1057">
        <f>$E$61*비용집행계획!W58</f>
        <v>0</v>
      </c>
      <c r="AC61" s="1057">
        <f>$E$61*비용집행계획!X58</f>
        <v>0</v>
      </c>
      <c r="AD61" s="1057">
        <f>$E$61*비용집행계획!Y58</f>
        <v>0</v>
      </c>
      <c r="AE61" s="1057">
        <f>$E$61*비용집행계획!Z58</f>
        <v>0</v>
      </c>
      <c r="AF61" s="1057">
        <f>$E$61*비용집행계획!AA58</f>
        <v>0</v>
      </c>
      <c r="AG61" s="1057">
        <f>$E$61*비용집행계획!AB58</f>
        <v>0</v>
      </c>
      <c r="AH61" s="1057">
        <f>$E$61*비용집행계획!AC58</f>
        <v>0</v>
      </c>
      <c r="AI61" s="1057">
        <f>$E$61*비용집행계획!AD58</f>
        <v>0</v>
      </c>
      <c r="AJ61" s="1057">
        <f>$E$61*비용집행계획!AE58</f>
        <v>0</v>
      </c>
      <c r="AK61" s="1057">
        <f>$E$61*비용집행계획!AF58</f>
        <v>0</v>
      </c>
      <c r="AL61" s="1057">
        <f>$E$61*비용집행계획!AG58</f>
        <v>0</v>
      </c>
      <c r="AM61" s="1057">
        <f>$E$61*비용집행계획!AH58</f>
        <v>0</v>
      </c>
      <c r="AN61" s="1057">
        <f>$E$61*비용집행계획!AI58</f>
        <v>0</v>
      </c>
      <c r="AO61" s="1057">
        <f>$E$61*비용집행계획!AJ58</f>
        <v>0</v>
      </c>
      <c r="AP61" s="1057">
        <f>$E$61*비용집행계획!AK58</f>
        <v>0</v>
      </c>
      <c r="AQ61" s="1057">
        <f>$E$61*비용집행계획!AL58</f>
        <v>0</v>
      </c>
      <c r="AR61" s="1057">
        <f>$E$61*비용집행계획!AM58</f>
        <v>0</v>
      </c>
      <c r="AS61" s="1057">
        <f>$E$61*비용집행계획!AN58</f>
        <v>0</v>
      </c>
      <c r="AT61" s="1057">
        <f>$E$61*비용집행계획!AO58</f>
        <v>0</v>
      </c>
      <c r="AU61" s="1057">
        <f>$E$61*비용집행계획!AP58</f>
        <v>0</v>
      </c>
      <c r="AV61" s="1057">
        <f>$E$61*비용집행계획!AQ58</f>
        <v>0</v>
      </c>
      <c r="AW61" s="1057">
        <f>$E$61*비용집행계획!AR58</f>
        <v>0</v>
      </c>
      <c r="AX61" s="1057">
        <f>$E$61*비용집행계획!AS58</f>
        <v>0</v>
      </c>
      <c r="AY61" s="1057">
        <f>$E$61*비용집행계획!AT58</f>
        <v>0</v>
      </c>
      <c r="AZ61" s="1057">
        <f>$E$61*비용집행계획!AU58</f>
        <v>0</v>
      </c>
      <c r="BA61" s="1057">
        <f>$E$61*비용집행계획!AV58</f>
        <v>0</v>
      </c>
      <c r="BB61" s="1057">
        <f>$E$61*비용집행계획!AW58</f>
        <v>0</v>
      </c>
      <c r="BC61" s="1057">
        <f>$E$61*비용집행계획!AX58</f>
        <v>0</v>
      </c>
      <c r="BD61" s="1057">
        <f>$E$61*비용집행계획!AY58</f>
        <v>0</v>
      </c>
      <c r="BE61" s="1057">
        <f>$E$61*비용집행계획!AZ58</f>
        <v>0</v>
      </c>
      <c r="BF61" s="1057">
        <f>$E$61*비용집행계획!BA58</f>
        <v>0</v>
      </c>
      <c r="BG61" s="1057">
        <f>$E$61*비용집행계획!BB58</f>
        <v>0</v>
      </c>
      <c r="BH61" s="1057">
        <f>$E$61*비용집행계획!BC58</f>
        <v>0</v>
      </c>
      <c r="BI61" s="1057">
        <f>$E$61*비용집행계획!BD58</f>
        <v>0</v>
      </c>
      <c r="BJ61" s="1057">
        <f>$E$61*비용집행계획!BE58</f>
        <v>0</v>
      </c>
      <c r="BK61" s="1057">
        <f>$E$61*비용집행계획!BF58</f>
        <v>0</v>
      </c>
      <c r="BL61" s="1057">
        <f>$E$61*비용집행계획!BG58</f>
        <v>0</v>
      </c>
      <c r="BM61" s="1057">
        <f>$E$61*비용집행계획!BH58</f>
        <v>0</v>
      </c>
      <c r="BN61" s="1057">
        <f>$E$61*비용집행계획!BI58</f>
        <v>0</v>
      </c>
      <c r="BO61" s="1057">
        <f>$E$61*비용집행계획!BJ58</f>
        <v>0</v>
      </c>
      <c r="BP61" s="1057">
        <f>$E$61*비용집행계획!BK58</f>
        <v>0</v>
      </c>
      <c r="BQ61" s="1057">
        <f>$E$61*비용집행계획!BL58</f>
        <v>0</v>
      </c>
      <c r="BR61" s="1057">
        <f>$E$61*비용집행계획!BM58</f>
        <v>0</v>
      </c>
      <c r="BS61" s="1057">
        <f>$E$61*비용집행계획!BN58</f>
        <v>0</v>
      </c>
      <c r="BT61" s="1057">
        <f>$E$61*비용집행계획!BO58</f>
        <v>0</v>
      </c>
      <c r="BU61" s="1057">
        <f>$E$61*비용집행계획!BP58</f>
        <v>0</v>
      </c>
      <c r="BV61" s="1057">
        <f>$E$61*비용집행계획!BQ58</f>
        <v>0</v>
      </c>
      <c r="BW61" s="1057">
        <f>$E$61*비용집행계획!BR58</f>
        <v>0</v>
      </c>
      <c r="BX61" s="1057">
        <f>$E$61*비용집행계획!BS58</f>
        <v>0</v>
      </c>
      <c r="BY61" s="1074" t="str">
        <f t="shared" si="93"/>
        <v>과밀부담금</v>
      </c>
      <c r="BZ61" s="1106">
        <f t="shared" si="94"/>
        <v>0</v>
      </c>
      <c r="CA61" s="1111" t="b">
        <f t="shared" si="88"/>
        <v>1</v>
      </c>
      <c r="CB61"/>
      <c r="CC61"/>
      <c r="CD61"/>
      <c r="CE61"/>
      <c r="CF61"/>
      <c r="CG61"/>
      <c r="CH61"/>
      <c r="CI61"/>
      <c r="CJ61"/>
      <c r="CK61"/>
    </row>
    <row r="62" spans="2:89" s="1038" customFormat="1">
      <c r="B62" s="1103" t="str">
        <f>'사업수지표 '!Y46</f>
        <v>광역교통시설부담금</v>
      </c>
      <c r="C62" s="1892"/>
      <c r="D62" s="1104"/>
      <c r="E62" s="1105">
        <f>'사업수지표 '!E46:E46</f>
        <v>0</v>
      </c>
      <c r="F62" s="1058" t="b">
        <f t="shared" si="87"/>
        <v>1</v>
      </c>
      <c r="G62" s="1056"/>
      <c r="H62" s="1057"/>
      <c r="I62" s="1057"/>
      <c r="J62" s="1057">
        <f>$E$62*비용집행계획!E59</f>
        <v>0</v>
      </c>
      <c r="K62" s="1057">
        <f>$E$62*비용집행계획!F59</f>
        <v>0</v>
      </c>
      <c r="L62" s="1057">
        <f>$E$62*비용집행계획!G59</f>
        <v>0</v>
      </c>
      <c r="M62" s="1057">
        <f>$E$62*비용집행계획!H59</f>
        <v>0</v>
      </c>
      <c r="N62" s="1057">
        <f>$E$62*비용집행계획!I59</f>
        <v>0</v>
      </c>
      <c r="O62" s="1057">
        <f>$E$62*비용집행계획!J59</f>
        <v>0</v>
      </c>
      <c r="P62" s="1057">
        <f>$E$62*비용집행계획!K59</f>
        <v>0</v>
      </c>
      <c r="Q62" s="1057">
        <f>$E$62*비용집행계획!L59</f>
        <v>0</v>
      </c>
      <c r="R62" s="1057">
        <f>$E$62*비용집행계획!M59</f>
        <v>0</v>
      </c>
      <c r="S62" s="1057">
        <f>$E$62*비용집행계획!N59</f>
        <v>0</v>
      </c>
      <c r="T62" s="1057">
        <f>$E$62*비용집행계획!O59</f>
        <v>0</v>
      </c>
      <c r="U62" s="1057">
        <f>$E$62*비용집행계획!P59</f>
        <v>0</v>
      </c>
      <c r="V62" s="1057">
        <f>$E$62*비용집행계획!Q59</f>
        <v>0</v>
      </c>
      <c r="W62" s="1057">
        <f>$E$62*비용집행계획!R59</f>
        <v>0</v>
      </c>
      <c r="X62" s="1057">
        <f>$E$62*비용집행계획!S59</f>
        <v>0</v>
      </c>
      <c r="Y62" s="1057">
        <f>$E$62*비용집행계획!T59</f>
        <v>0</v>
      </c>
      <c r="Z62" s="1057">
        <f>$E$62*비용집행계획!U59</f>
        <v>0</v>
      </c>
      <c r="AA62" s="1057">
        <f>$E$62*비용집행계획!V59</f>
        <v>0</v>
      </c>
      <c r="AB62" s="1057">
        <f>$E$62*비용집행계획!W59</f>
        <v>0</v>
      </c>
      <c r="AC62" s="1057">
        <f>$E$62*비용집행계획!X59</f>
        <v>0</v>
      </c>
      <c r="AD62" s="1057">
        <f>$E$62*비용집행계획!Y59</f>
        <v>0</v>
      </c>
      <c r="AE62" s="1057">
        <f>$E$62*비용집행계획!Z59</f>
        <v>0</v>
      </c>
      <c r="AF62" s="1057">
        <f>$E$62*비용집행계획!AA59</f>
        <v>0</v>
      </c>
      <c r="AG62" s="1057">
        <f>$E$62*비용집행계획!AB59</f>
        <v>0</v>
      </c>
      <c r="AH62" s="1057">
        <f>$E$62*비용집행계획!AC59</f>
        <v>0</v>
      </c>
      <c r="AI62" s="1057">
        <f>$E$62*비용집행계획!AD59</f>
        <v>0</v>
      </c>
      <c r="AJ62" s="1057">
        <f>$E$62*비용집행계획!AE59</f>
        <v>0</v>
      </c>
      <c r="AK62" s="1057">
        <f>$E$62*비용집행계획!AF59</f>
        <v>0</v>
      </c>
      <c r="AL62" s="1057">
        <f>$E$62*비용집행계획!AG59</f>
        <v>0</v>
      </c>
      <c r="AM62" s="1057">
        <f>$E$62*비용집행계획!AH59</f>
        <v>0</v>
      </c>
      <c r="AN62" s="1057">
        <f>$E$62*비용집행계획!AI59</f>
        <v>0</v>
      </c>
      <c r="AO62" s="1057">
        <f>$E$62*비용집행계획!AJ59</f>
        <v>0</v>
      </c>
      <c r="AP62" s="1057">
        <f>$E$62*비용집행계획!AK59</f>
        <v>0</v>
      </c>
      <c r="AQ62" s="1057">
        <f>$E$62*비용집행계획!AL59</f>
        <v>0</v>
      </c>
      <c r="AR62" s="1057">
        <f>$E$62*비용집행계획!AM59</f>
        <v>0</v>
      </c>
      <c r="AS62" s="1057">
        <f>$E$62*비용집행계획!AN59</f>
        <v>0</v>
      </c>
      <c r="AT62" s="1057">
        <f>$E$62*비용집행계획!AO59</f>
        <v>0</v>
      </c>
      <c r="AU62" s="1057">
        <f>$E$62*비용집행계획!AP59</f>
        <v>0</v>
      </c>
      <c r="AV62" s="1057">
        <f>$E$62*비용집행계획!AQ59</f>
        <v>0</v>
      </c>
      <c r="AW62" s="1057">
        <f>$E$62*비용집행계획!AR59</f>
        <v>0</v>
      </c>
      <c r="AX62" s="1057">
        <f>$E$62*비용집행계획!AS59</f>
        <v>0</v>
      </c>
      <c r="AY62" s="1057">
        <f>$E$62*비용집행계획!AT59</f>
        <v>0</v>
      </c>
      <c r="AZ62" s="1057">
        <f>$E$62*비용집행계획!AU59</f>
        <v>0</v>
      </c>
      <c r="BA62" s="1057">
        <f>$E$62*비용집행계획!AV59</f>
        <v>0</v>
      </c>
      <c r="BB62" s="1057">
        <f>$E$62*비용집행계획!AW59</f>
        <v>0</v>
      </c>
      <c r="BC62" s="1057">
        <f>$E$62*비용집행계획!AX59</f>
        <v>0</v>
      </c>
      <c r="BD62" s="1057">
        <f>$E$62*비용집행계획!AY59</f>
        <v>0</v>
      </c>
      <c r="BE62" s="1057">
        <f>$E$62*비용집행계획!AZ59</f>
        <v>0</v>
      </c>
      <c r="BF62" s="1057">
        <f>$E$62*비용집행계획!BA59</f>
        <v>0</v>
      </c>
      <c r="BG62" s="1057">
        <f>$E$62*비용집행계획!BB59</f>
        <v>0</v>
      </c>
      <c r="BH62" s="1057">
        <f>$E$62*비용집행계획!BC59</f>
        <v>0</v>
      </c>
      <c r="BI62" s="1057">
        <f>$E$62*비용집행계획!BD59</f>
        <v>0</v>
      </c>
      <c r="BJ62" s="1057">
        <f>$E$62*비용집행계획!BE59</f>
        <v>0</v>
      </c>
      <c r="BK62" s="1057">
        <f>$E$62*비용집행계획!BF59</f>
        <v>0</v>
      </c>
      <c r="BL62" s="1057">
        <f>$E$62*비용집행계획!BG59</f>
        <v>0</v>
      </c>
      <c r="BM62" s="1057">
        <f>$E$62*비용집행계획!BH59</f>
        <v>0</v>
      </c>
      <c r="BN62" s="1057">
        <f>$E$62*비용집행계획!BI59</f>
        <v>0</v>
      </c>
      <c r="BO62" s="1057">
        <f>$E$62*비용집행계획!BJ59</f>
        <v>0</v>
      </c>
      <c r="BP62" s="1057">
        <f>$E$62*비용집행계획!BK59</f>
        <v>0</v>
      </c>
      <c r="BQ62" s="1057">
        <f>$E$62*비용집행계획!BL59</f>
        <v>0</v>
      </c>
      <c r="BR62" s="1057">
        <f>$E$62*비용집행계획!BM59</f>
        <v>0</v>
      </c>
      <c r="BS62" s="1057">
        <f>$E$62*비용집행계획!BN59</f>
        <v>0</v>
      </c>
      <c r="BT62" s="1057">
        <f>$E$62*비용집행계획!BO59</f>
        <v>0</v>
      </c>
      <c r="BU62" s="1057">
        <f>$E$62*비용집행계획!BP59</f>
        <v>0</v>
      </c>
      <c r="BV62" s="1057">
        <f>$E$62*비용집행계획!BQ59</f>
        <v>0</v>
      </c>
      <c r="BW62" s="1057">
        <f>$E$62*비용집행계획!BR59</f>
        <v>0</v>
      </c>
      <c r="BX62" s="1057">
        <f>$E$62*비용집행계획!BS59</f>
        <v>0</v>
      </c>
      <c r="BY62" s="1074" t="str">
        <f t="shared" si="93"/>
        <v>광역교통시설부담금</v>
      </c>
      <c r="BZ62" s="1106">
        <f t="shared" si="94"/>
        <v>0</v>
      </c>
      <c r="CA62" s="1111" t="b">
        <f t="shared" si="88"/>
        <v>1</v>
      </c>
      <c r="CB62"/>
      <c r="CC62"/>
      <c r="CD62"/>
      <c r="CE62"/>
      <c r="CF62"/>
      <c r="CG62"/>
      <c r="CH62"/>
      <c r="CI62"/>
      <c r="CJ62"/>
      <c r="CK62"/>
    </row>
    <row r="63" spans="2:89" s="1038" customFormat="1">
      <c r="B63" s="1103" t="str">
        <f>'사업수지표 '!Y47</f>
        <v>교통유발부담금</v>
      </c>
      <c r="C63" s="1892"/>
      <c r="D63" s="1104"/>
      <c r="E63" s="1105">
        <f>'사업수지표 '!E47:E47</f>
        <v>0</v>
      </c>
      <c r="F63" s="1058" t="b">
        <f t="shared" si="87"/>
        <v>1</v>
      </c>
      <c r="G63" s="1056"/>
      <c r="H63" s="1057"/>
      <c r="I63" s="1057"/>
      <c r="J63" s="1057">
        <f>$E$63*비용집행계획!E60</f>
        <v>0</v>
      </c>
      <c r="K63" s="1057">
        <f>$E$63*비용집행계획!F60</f>
        <v>0</v>
      </c>
      <c r="L63" s="1057">
        <f>$E$63*비용집행계획!G60</f>
        <v>0</v>
      </c>
      <c r="M63" s="1057">
        <f>$E$63*비용집행계획!H60</f>
        <v>0</v>
      </c>
      <c r="N63" s="1057">
        <f>$E$63*비용집행계획!I60</f>
        <v>0</v>
      </c>
      <c r="O63" s="1057">
        <f>$E$63*비용집행계획!J60</f>
        <v>0</v>
      </c>
      <c r="P63" s="1057">
        <f>$E$63*비용집행계획!K60</f>
        <v>0</v>
      </c>
      <c r="Q63" s="1057">
        <f>$E$63*비용집행계획!L60</f>
        <v>0</v>
      </c>
      <c r="R63" s="1057">
        <f>$E$63*비용집행계획!M60</f>
        <v>0</v>
      </c>
      <c r="S63" s="1057">
        <f>$E$63*비용집행계획!N60</f>
        <v>0</v>
      </c>
      <c r="T63" s="1057">
        <f>$E$63*비용집행계획!O60</f>
        <v>0</v>
      </c>
      <c r="U63" s="1057">
        <f>$E$63*비용집행계획!P60</f>
        <v>0</v>
      </c>
      <c r="V63" s="1057">
        <f>$E$63*비용집행계획!Q60</f>
        <v>0</v>
      </c>
      <c r="W63" s="1057">
        <f>$E$63*비용집행계획!R60</f>
        <v>0</v>
      </c>
      <c r="X63" s="1057">
        <f>$E$63*비용집행계획!S60</f>
        <v>0</v>
      </c>
      <c r="Y63" s="1057">
        <f>$E$63*비용집행계획!T60</f>
        <v>0</v>
      </c>
      <c r="Z63" s="1057">
        <f>$E$63*비용집행계획!U60</f>
        <v>0</v>
      </c>
      <c r="AA63" s="1057">
        <f>$E$63*비용집행계획!V60</f>
        <v>0</v>
      </c>
      <c r="AB63" s="1057">
        <f>$E$63*비용집행계획!W60</f>
        <v>0</v>
      </c>
      <c r="AC63" s="1057">
        <f>$E$63*비용집행계획!X60</f>
        <v>0</v>
      </c>
      <c r="AD63" s="1057">
        <f>$E$63*비용집행계획!Y60</f>
        <v>0</v>
      </c>
      <c r="AE63" s="1057">
        <f>$E$63*비용집행계획!Z60</f>
        <v>0</v>
      </c>
      <c r="AF63" s="1057">
        <f>$E$63*비용집행계획!AA60</f>
        <v>0</v>
      </c>
      <c r="AG63" s="1057">
        <f>$E$63*비용집행계획!AB60</f>
        <v>0</v>
      </c>
      <c r="AH63" s="1057">
        <f>$E$63*비용집행계획!AC60</f>
        <v>0</v>
      </c>
      <c r="AI63" s="1057">
        <f>$E$63*비용집행계획!AD60</f>
        <v>0</v>
      </c>
      <c r="AJ63" s="1057">
        <f>$E$63*비용집행계획!AE60</f>
        <v>0</v>
      </c>
      <c r="AK63" s="1057">
        <f>$E$63*비용집행계획!AF60</f>
        <v>0</v>
      </c>
      <c r="AL63" s="1057">
        <f>$E$63*비용집행계획!AG60</f>
        <v>0</v>
      </c>
      <c r="AM63" s="1057">
        <f>$E$63*비용집행계획!AH60</f>
        <v>0</v>
      </c>
      <c r="AN63" s="1057">
        <f>$E$63*비용집행계획!AI60</f>
        <v>0</v>
      </c>
      <c r="AO63" s="1057">
        <f>$E$63*비용집행계획!AJ60</f>
        <v>0</v>
      </c>
      <c r="AP63" s="1057">
        <f>$E$63*비용집행계획!AK60</f>
        <v>0</v>
      </c>
      <c r="AQ63" s="1057">
        <f>$E$63*비용집행계획!AL60</f>
        <v>0</v>
      </c>
      <c r="AR63" s="1057">
        <f>$E$63*비용집행계획!AM60</f>
        <v>0</v>
      </c>
      <c r="AS63" s="1057">
        <f>$E$63*비용집행계획!AN60</f>
        <v>0</v>
      </c>
      <c r="AT63" s="1057">
        <f>$E$63*비용집행계획!AO60</f>
        <v>0</v>
      </c>
      <c r="AU63" s="1057">
        <f>$E$63*비용집행계획!AP60</f>
        <v>0</v>
      </c>
      <c r="AV63" s="1057">
        <f>$E$63*비용집행계획!AQ60</f>
        <v>0</v>
      </c>
      <c r="AW63" s="1057">
        <f>$E$63*비용집행계획!AR60</f>
        <v>0</v>
      </c>
      <c r="AX63" s="1057">
        <f>$E$63*비용집행계획!AS60</f>
        <v>0</v>
      </c>
      <c r="AY63" s="1057">
        <f>$E$63*비용집행계획!AT60</f>
        <v>0</v>
      </c>
      <c r="AZ63" s="1057">
        <f>$E$63*비용집행계획!AU60</f>
        <v>0</v>
      </c>
      <c r="BA63" s="1057">
        <f>$E$63*비용집행계획!AV60</f>
        <v>0</v>
      </c>
      <c r="BB63" s="1057">
        <f>$E$63*비용집행계획!AW60</f>
        <v>0</v>
      </c>
      <c r="BC63" s="1057">
        <f>$E$63*비용집행계획!AX60</f>
        <v>0</v>
      </c>
      <c r="BD63" s="1057">
        <f>$E$63*비용집행계획!AY60</f>
        <v>0</v>
      </c>
      <c r="BE63" s="1057">
        <f>$E$63*비용집행계획!AZ60</f>
        <v>0</v>
      </c>
      <c r="BF63" s="1057">
        <f>$E$63*비용집행계획!BA60</f>
        <v>0</v>
      </c>
      <c r="BG63" s="1057">
        <f>$E$63*비용집행계획!BB60</f>
        <v>0</v>
      </c>
      <c r="BH63" s="1057">
        <f>$E$63*비용집행계획!BC60</f>
        <v>0</v>
      </c>
      <c r="BI63" s="1057">
        <f>$E$63*비용집행계획!BD60</f>
        <v>0</v>
      </c>
      <c r="BJ63" s="1057">
        <f>$E$63*비용집행계획!BE60</f>
        <v>0</v>
      </c>
      <c r="BK63" s="1057">
        <f>$E$63*비용집행계획!BF60</f>
        <v>0</v>
      </c>
      <c r="BL63" s="1057">
        <f>$E$63*비용집행계획!BG60</f>
        <v>0</v>
      </c>
      <c r="BM63" s="1057">
        <f>$E$63*비용집행계획!BH60</f>
        <v>0</v>
      </c>
      <c r="BN63" s="1057">
        <f>$E$63*비용집행계획!BI60</f>
        <v>0</v>
      </c>
      <c r="BO63" s="1057">
        <f>$E$63*비용집행계획!BJ60</f>
        <v>0</v>
      </c>
      <c r="BP63" s="1057">
        <f>$E$63*비용집행계획!BK60</f>
        <v>0</v>
      </c>
      <c r="BQ63" s="1057">
        <f>$E$63*비용집행계획!BL60</f>
        <v>0</v>
      </c>
      <c r="BR63" s="1057">
        <f>$E$63*비용집행계획!BM60</f>
        <v>0</v>
      </c>
      <c r="BS63" s="1057">
        <f>$E$63*비용집행계획!BN60</f>
        <v>0</v>
      </c>
      <c r="BT63" s="1057">
        <f>$E$63*비용집행계획!BO60</f>
        <v>0</v>
      </c>
      <c r="BU63" s="1057">
        <f>$E$63*비용집행계획!BP60</f>
        <v>0</v>
      </c>
      <c r="BV63" s="1057">
        <f>$E$63*비용집행계획!BQ60</f>
        <v>0</v>
      </c>
      <c r="BW63" s="1057">
        <f>$E$63*비용집행계획!BR60</f>
        <v>0</v>
      </c>
      <c r="BX63" s="1057">
        <f>$E$63*비용집행계획!BS60</f>
        <v>0</v>
      </c>
      <c r="BY63" s="1074" t="str">
        <f t="shared" si="93"/>
        <v>교통유발부담금</v>
      </c>
      <c r="BZ63" s="1106">
        <f t="shared" si="94"/>
        <v>0</v>
      </c>
      <c r="CA63" s="1111" t="b">
        <f t="shared" si="88"/>
        <v>1</v>
      </c>
      <c r="CB63"/>
      <c r="CC63"/>
      <c r="CD63"/>
      <c r="CE63"/>
      <c r="CF63"/>
      <c r="CG63"/>
      <c r="CH63"/>
      <c r="CI63"/>
      <c r="CJ63"/>
      <c r="CK63"/>
    </row>
    <row r="64" spans="2:89" s="1038" customFormat="1">
      <c r="B64" s="1103" t="str">
        <f>'사업수지표 '!Y48</f>
        <v>대체산림조원조성비</v>
      </c>
      <c r="C64" s="1892"/>
      <c r="D64" s="1104"/>
      <c r="E64" s="1105">
        <f>'사업수지표 '!E48:E48</f>
        <v>0</v>
      </c>
      <c r="F64" s="1058" t="b">
        <f t="shared" si="87"/>
        <v>1</v>
      </c>
      <c r="G64" s="1056"/>
      <c r="H64" s="1057"/>
      <c r="I64" s="1057"/>
      <c r="J64" s="1057">
        <f>$E$64*비용집행계획!E61</f>
        <v>0</v>
      </c>
      <c r="K64" s="1057">
        <f>$E$64*비용집행계획!F61</f>
        <v>0</v>
      </c>
      <c r="L64" s="1057">
        <f>$E$64*비용집행계획!G61</f>
        <v>0</v>
      </c>
      <c r="M64" s="1057">
        <f>$E$64*비용집행계획!H61</f>
        <v>0</v>
      </c>
      <c r="N64" s="1057">
        <f>$E$64*비용집행계획!I61</f>
        <v>0</v>
      </c>
      <c r="O64" s="1057">
        <f>$E$64*비용집행계획!J61</f>
        <v>0</v>
      </c>
      <c r="P64" s="1057">
        <f>$E$64*비용집행계획!K61</f>
        <v>0</v>
      </c>
      <c r="Q64" s="1057">
        <f>$E$64*비용집행계획!L61</f>
        <v>0</v>
      </c>
      <c r="R64" s="1057">
        <f>$E$64*비용집행계획!M61</f>
        <v>0</v>
      </c>
      <c r="S64" s="1057">
        <f>$E$64*비용집행계획!N61</f>
        <v>0</v>
      </c>
      <c r="T64" s="1057">
        <f>$E$64*비용집행계획!O61</f>
        <v>0</v>
      </c>
      <c r="U64" s="1057">
        <f>$E$64*비용집행계획!P61</f>
        <v>0</v>
      </c>
      <c r="V64" s="1057">
        <f>$E$64*비용집행계획!Q61</f>
        <v>0</v>
      </c>
      <c r="W64" s="1057">
        <f>$E$64*비용집행계획!R61</f>
        <v>0</v>
      </c>
      <c r="X64" s="1057">
        <f>$E$64*비용집행계획!S61</f>
        <v>0</v>
      </c>
      <c r="Y64" s="1057">
        <f>$E$64*비용집행계획!T61</f>
        <v>0</v>
      </c>
      <c r="Z64" s="1057">
        <f>$E$64*비용집행계획!U61</f>
        <v>0</v>
      </c>
      <c r="AA64" s="1057">
        <f>$E$64*비용집행계획!V61</f>
        <v>0</v>
      </c>
      <c r="AB64" s="1057">
        <f>$E$64*비용집행계획!W61</f>
        <v>0</v>
      </c>
      <c r="AC64" s="1057">
        <f>$E$64*비용집행계획!X61</f>
        <v>0</v>
      </c>
      <c r="AD64" s="1057">
        <f>$E$64*비용집행계획!Y61</f>
        <v>0</v>
      </c>
      <c r="AE64" s="1057">
        <f>$E$64*비용집행계획!Z61</f>
        <v>0</v>
      </c>
      <c r="AF64" s="1057">
        <f>$E$64*비용집행계획!AA61</f>
        <v>0</v>
      </c>
      <c r="AG64" s="1057">
        <f>$E$64*비용집행계획!AB61</f>
        <v>0</v>
      </c>
      <c r="AH64" s="1057">
        <f>$E$64*비용집행계획!AC61</f>
        <v>0</v>
      </c>
      <c r="AI64" s="1057">
        <f>$E$64*비용집행계획!AD61</f>
        <v>0</v>
      </c>
      <c r="AJ64" s="1057">
        <f>$E$64*비용집행계획!AE61</f>
        <v>0</v>
      </c>
      <c r="AK64" s="1057">
        <f>$E$64*비용집행계획!AF61</f>
        <v>0</v>
      </c>
      <c r="AL64" s="1057">
        <f>$E$64*비용집행계획!AG61</f>
        <v>0</v>
      </c>
      <c r="AM64" s="1057">
        <f>$E$64*비용집행계획!AH61</f>
        <v>0</v>
      </c>
      <c r="AN64" s="1057">
        <f>$E$64*비용집행계획!AI61</f>
        <v>0</v>
      </c>
      <c r="AO64" s="1057">
        <f>$E$64*비용집행계획!AJ61</f>
        <v>0</v>
      </c>
      <c r="AP64" s="1057">
        <f>$E$64*비용집행계획!AK61</f>
        <v>0</v>
      </c>
      <c r="AQ64" s="1057">
        <f>$E$64*비용집행계획!AL61</f>
        <v>0</v>
      </c>
      <c r="AR64" s="1057">
        <f>$E$64*비용집행계획!AM61</f>
        <v>0</v>
      </c>
      <c r="AS64" s="1057">
        <f>$E$64*비용집행계획!AN61</f>
        <v>0</v>
      </c>
      <c r="AT64" s="1057">
        <f>$E$64*비용집행계획!AO61</f>
        <v>0</v>
      </c>
      <c r="AU64" s="1057">
        <f>$E$64*비용집행계획!AP61</f>
        <v>0</v>
      </c>
      <c r="AV64" s="1057">
        <f>$E$64*비용집행계획!AQ61</f>
        <v>0</v>
      </c>
      <c r="AW64" s="1057">
        <f>$E$64*비용집행계획!AR61</f>
        <v>0</v>
      </c>
      <c r="AX64" s="1057">
        <f>$E$64*비용집행계획!AS61</f>
        <v>0</v>
      </c>
      <c r="AY64" s="1057">
        <f>$E$64*비용집행계획!AT61</f>
        <v>0</v>
      </c>
      <c r="AZ64" s="1057">
        <f>$E$64*비용집행계획!AU61</f>
        <v>0</v>
      </c>
      <c r="BA64" s="1057">
        <f>$E$64*비용집행계획!AV61</f>
        <v>0</v>
      </c>
      <c r="BB64" s="1057">
        <f>$E$64*비용집행계획!AW61</f>
        <v>0</v>
      </c>
      <c r="BC64" s="1057">
        <f>$E$64*비용집행계획!AX61</f>
        <v>0</v>
      </c>
      <c r="BD64" s="1057">
        <f>$E$64*비용집행계획!AY61</f>
        <v>0</v>
      </c>
      <c r="BE64" s="1057">
        <f>$E$64*비용집행계획!AZ61</f>
        <v>0</v>
      </c>
      <c r="BF64" s="1057">
        <f>$E$64*비용집행계획!BA61</f>
        <v>0</v>
      </c>
      <c r="BG64" s="1057">
        <f>$E$64*비용집행계획!BB61</f>
        <v>0</v>
      </c>
      <c r="BH64" s="1057">
        <f>$E$64*비용집행계획!BC61</f>
        <v>0</v>
      </c>
      <c r="BI64" s="1057">
        <f>$E$64*비용집행계획!BD61</f>
        <v>0</v>
      </c>
      <c r="BJ64" s="1057">
        <f>$E$64*비용집행계획!BE61</f>
        <v>0</v>
      </c>
      <c r="BK64" s="1057">
        <f>$E$64*비용집행계획!BF61</f>
        <v>0</v>
      </c>
      <c r="BL64" s="1057">
        <f>$E$64*비용집행계획!BG61</f>
        <v>0</v>
      </c>
      <c r="BM64" s="1057">
        <f>$E$64*비용집행계획!BH61</f>
        <v>0</v>
      </c>
      <c r="BN64" s="1057">
        <f>$E$64*비용집행계획!BI61</f>
        <v>0</v>
      </c>
      <c r="BO64" s="1057">
        <f>$E$64*비용집행계획!BJ61</f>
        <v>0</v>
      </c>
      <c r="BP64" s="1057">
        <f>$E$64*비용집행계획!BK61</f>
        <v>0</v>
      </c>
      <c r="BQ64" s="1057">
        <f>$E$64*비용집행계획!BL61</f>
        <v>0</v>
      </c>
      <c r="BR64" s="1057">
        <f>$E$64*비용집행계획!BM61</f>
        <v>0</v>
      </c>
      <c r="BS64" s="1057">
        <f>$E$64*비용집행계획!BN61</f>
        <v>0</v>
      </c>
      <c r="BT64" s="1057">
        <f>$E$64*비용집행계획!BO61</f>
        <v>0</v>
      </c>
      <c r="BU64" s="1057">
        <f>$E$64*비용집행계획!BP61</f>
        <v>0</v>
      </c>
      <c r="BV64" s="1057">
        <f>$E$64*비용집행계획!BQ61</f>
        <v>0</v>
      </c>
      <c r="BW64" s="1057">
        <f>$E$64*비용집행계획!BR61</f>
        <v>0</v>
      </c>
      <c r="BX64" s="1057">
        <f>$E$64*비용집행계획!BS61</f>
        <v>0</v>
      </c>
      <c r="BY64" s="1074" t="str">
        <f t="shared" si="93"/>
        <v>대체산림조원조성비</v>
      </c>
      <c r="BZ64" s="1106">
        <f t="shared" si="94"/>
        <v>0</v>
      </c>
      <c r="CA64" s="1111" t="b">
        <f t="shared" si="88"/>
        <v>1</v>
      </c>
      <c r="CB64"/>
      <c r="CC64"/>
      <c r="CD64"/>
      <c r="CE64"/>
      <c r="CF64"/>
      <c r="CG64"/>
      <c r="CH64"/>
      <c r="CI64"/>
      <c r="CJ64"/>
      <c r="CK64"/>
    </row>
    <row r="65" spans="2:89" s="1038" customFormat="1">
      <c r="B65" s="1103" t="str">
        <f>'사업수지표 '!Y49</f>
        <v>개발부담금</v>
      </c>
      <c r="C65" s="1892"/>
      <c r="D65" s="1104"/>
      <c r="E65" s="1105">
        <f>'사업수지표 '!E49:E49</f>
        <v>0</v>
      </c>
      <c r="F65" s="1058" t="b">
        <f t="shared" si="87"/>
        <v>1</v>
      </c>
      <c r="G65" s="1056">
        <v>0</v>
      </c>
      <c r="H65" s="1057"/>
      <c r="I65" s="1057"/>
      <c r="J65" s="1057">
        <f>$E$65*비용집행계획!E62</f>
        <v>0</v>
      </c>
      <c r="K65" s="1057">
        <f>$E$65*비용집행계획!F62</f>
        <v>0</v>
      </c>
      <c r="L65" s="1057">
        <f>$E$65*비용집행계획!G62</f>
        <v>0</v>
      </c>
      <c r="M65" s="1057">
        <f>$E$65*비용집행계획!H62</f>
        <v>0</v>
      </c>
      <c r="N65" s="1057">
        <f>$E$65*비용집행계획!I62</f>
        <v>0</v>
      </c>
      <c r="O65" s="1057">
        <f>$E$65*비용집행계획!J62</f>
        <v>0</v>
      </c>
      <c r="P65" s="1057">
        <f>$E$65*비용집행계획!K62</f>
        <v>0</v>
      </c>
      <c r="Q65" s="1057">
        <f>$E$65*비용집행계획!L62</f>
        <v>0</v>
      </c>
      <c r="R65" s="1057">
        <f>$E$65*비용집행계획!M62</f>
        <v>0</v>
      </c>
      <c r="S65" s="1057">
        <f>$E$65*비용집행계획!N62</f>
        <v>0</v>
      </c>
      <c r="T65" s="1057">
        <f>$E$65*비용집행계획!O62</f>
        <v>0</v>
      </c>
      <c r="U65" s="1057">
        <f>$E$65*비용집행계획!P62</f>
        <v>0</v>
      </c>
      <c r="V65" s="1057">
        <f>$E$65*비용집행계획!Q62</f>
        <v>0</v>
      </c>
      <c r="W65" s="1057">
        <f>$E$65*비용집행계획!R62</f>
        <v>0</v>
      </c>
      <c r="X65" s="1057">
        <f>$E$65*비용집행계획!S62</f>
        <v>0</v>
      </c>
      <c r="Y65" s="1057">
        <f>$E$65*비용집행계획!T62</f>
        <v>0</v>
      </c>
      <c r="Z65" s="1057">
        <f>$E$65*비용집행계획!U62</f>
        <v>0</v>
      </c>
      <c r="AA65" s="1057">
        <f>$E$65*비용집행계획!V62</f>
        <v>0</v>
      </c>
      <c r="AB65" s="1057">
        <f>$E$65*비용집행계획!W62</f>
        <v>0</v>
      </c>
      <c r="AC65" s="1057">
        <f>$E$65*비용집행계획!X62</f>
        <v>0</v>
      </c>
      <c r="AD65" s="1057">
        <f>$E$65*비용집행계획!Y62</f>
        <v>0</v>
      </c>
      <c r="AE65" s="1057">
        <f>$E$65*비용집행계획!Z62</f>
        <v>0</v>
      </c>
      <c r="AF65" s="1057">
        <f>$E$65*비용집행계획!AA62</f>
        <v>0</v>
      </c>
      <c r="AG65" s="1057">
        <f>$E$65*비용집행계획!AB62</f>
        <v>0</v>
      </c>
      <c r="AH65" s="1057">
        <f>$E$65*비용집행계획!AC62</f>
        <v>0</v>
      </c>
      <c r="AI65" s="1057">
        <f>$E$65*비용집행계획!AD62</f>
        <v>0</v>
      </c>
      <c r="AJ65" s="1057">
        <f>$E$65*비용집행계획!AE62</f>
        <v>0</v>
      </c>
      <c r="AK65" s="1057">
        <f>$E$65*비용집행계획!AF62</f>
        <v>0</v>
      </c>
      <c r="AL65" s="1057">
        <f>$E$65*비용집행계획!AG62</f>
        <v>0</v>
      </c>
      <c r="AM65" s="1057">
        <f>$E$65*비용집행계획!AH62</f>
        <v>0</v>
      </c>
      <c r="AN65" s="1057">
        <f>$E$65*비용집행계획!AI62</f>
        <v>0</v>
      </c>
      <c r="AO65" s="1057">
        <f>$E$65*비용집행계획!AJ62</f>
        <v>0</v>
      </c>
      <c r="AP65" s="1057">
        <f>$E$65*비용집행계획!AK62</f>
        <v>0</v>
      </c>
      <c r="AQ65" s="1057">
        <f>$E$65*비용집행계획!AL62</f>
        <v>0</v>
      </c>
      <c r="AR65" s="1057">
        <f>$E$65*비용집행계획!AM62</f>
        <v>0</v>
      </c>
      <c r="AS65" s="1057">
        <f>$E$65*비용집행계획!AN62</f>
        <v>0</v>
      </c>
      <c r="AT65" s="1057">
        <f>$E$65*비용집행계획!AO62</f>
        <v>0</v>
      </c>
      <c r="AU65" s="1057">
        <f>$E$65*비용집행계획!AP62</f>
        <v>0</v>
      </c>
      <c r="AV65" s="1057">
        <f>$E$65*비용집행계획!AQ62</f>
        <v>0</v>
      </c>
      <c r="AW65" s="1057">
        <f>$E$65*비용집행계획!AR62</f>
        <v>0</v>
      </c>
      <c r="AX65" s="1057">
        <f>$E$65*비용집행계획!AS62</f>
        <v>0</v>
      </c>
      <c r="AY65" s="1057">
        <f>$E$65*비용집행계획!AT62</f>
        <v>0</v>
      </c>
      <c r="AZ65" s="1057">
        <f>$E$65*비용집행계획!AU62</f>
        <v>0</v>
      </c>
      <c r="BA65" s="1057">
        <f>$E$65*비용집행계획!AV62</f>
        <v>0</v>
      </c>
      <c r="BB65" s="1057">
        <f>$E$65*비용집행계획!AW62</f>
        <v>0</v>
      </c>
      <c r="BC65" s="1057">
        <f>$E$65*비용집행계획!AX62</f>
        <v>0</v>
      </c>
      <c r="BD65" s="1057">
        <f>$E$65*비용집행계획!AY62</f>
        <v>0</v>
      </c>
      <c r="BE65" s="1057">
        <f>$E$65*비용집행계획!AZ62</f>
        <v>0</v>
      </c>
      <c r="BF65" s="1057">
        <f>$E$65*비용집행계획!BA62</f>
        <v>0</v>
      </c>
      <c r="BG65" s="1057">
        <f>$E$65*비용집행계획!BB62</f>
        <v>0</v>
      </c>
      <c r="BH65" s="1057">
        <f>$E$65*비용집행계획!BC62</f>
        <v>0</v>
      </c>
      <c r="BI65" s="1057">
        <f>$E$65*비용집행계획!BD62</f>
        <v>0</v>
      </c>
      <c r="BJ65" s="1057">
        <f>$E$65*비용집행계획!BE62</f>
        <v>0</v>
      </c>
      <c r="BK65" s="1057">
        <f>$E$65*비용집행계획!BF62</f>
        <v>0</v>
      </c>
      <c r="BL65" s="1057">
        <f>$E$65*비용집행계획!BG62</f>
        <v>0</v>
      </c>
      <c r="BM65" s="1057">
        <f>$E$65*비용집행계획!BH62</f>
        <v>0</v>
      </c>
      <c r="BN65" s="1057">
        <f>$E$65*비용집행계획!BI62</f>
        <v>0</v>
      </c>
      <c r="BO65" s="1057">
        <f>$E$65*비용집행계획!BJ62</f>
        <v>0</v>
      </c>
      <c r="BP65" s="1057">
        <f>$E$65*비용집행계획!BK62</f>
        <v>0</v>
      </c>
      <c r="BQ65" s="1057">
        <f>$E$65*비용집행계획!BL62</f>
        <v>0</v>
      </c>
      <c r="BR65" s="1057">
        <f>$E$65*비용집행계획!BM62</f>
        <v>0</v>
      </c>
      <c r="BS65" s="1057">
        <f>$E$65*비용집행계획!BN62</f>
        <v>0</v>
      </c>
      <c r="BT65" s="1057">
        <f>$E$65*비용집행계획!BO62</f>
        <v>0</v>
      </c>
      <c r="BU65" s="1057">
        <f>$E$65*비용집행계획!BP62</f>
        <v>0</v>
      </c>
      <c r="BV65" s="1057">
        <f>$E$65*비용집행계획!BQ62</f>
        <v>0</v>
      </c>
      <c r="BW65" s="1057">
        <f>$E$65*비용집행계획!BR62</f>
        <v>0</v>
      </c>
      <c r="BX65" s="1057">
        <f>$E$65*비용집행계획!BS62</f>
        <v>0</v>
      </c>
      <c r="BY65" s="1074" t="str">
        <f t="shared" si="93"/>
        <v>개발부담금</v>
      </c>
      <c r="BZ65" s="1106">
        <f t="shared" si="94"/>
        <v>0</v>
      </c>
      <c r="CA65" s="1111" t="b">
        <f t="shared" si="88"/>
        <v>1</v>
      </c>
      <c r="CB65"/>
      <c r="CC65"/>
      <c r="CD65"/>
      <c r="CE65"/>
      <c r="CF65"/>
      <c r="CG65"/>
      <c r="CH65"/>
      <c r="CI65"/>
      <c r="CJ65"/>
      <c r="CK65"/>
    </row>
    <row r="66" spans="2:89" s="1038" customFormat="1">
      <c r="B66" s="1103" t="str">
        <f>'사업수지표 '!Y50</f>
        <v xml:space="preserve">통학차량제공 </v>
      </c>
      <c r="C66" s="1892"/>
      <c r="D66" s="1104"/>
      <c r="E66" s="1105">
        <f>'사업수지표 '!E50:E50</f>
        <v>0</v>
      </c>
      <c r="F66" s="1058" t="b">
        <f t="shared" si="87"/>
        <v>1</v>
      </c>
      <c r="G66" s="1056"/>
      <c r="H66" s="1057"/>
      <c r="I66" s="1057"/>
      <c r="J66" s="1057">
        <f>$E$66*비용집행계획!E63</f>
        <v>0</v>
      </c>
      <c r="K66" s="1057">
        <f>$E$66*비용집행계획!F63</f>
        <v>0</v>
      </c>
      <c r="L66" s="1057">
        <f>$E$66*비용집행계획!G63</f>
        <v>0</v>
      </c>
      <c r="M66" s="1057">
        <f>$E$66*비용집행계획!H63</f>
        <v>0</v>
      </c>
      <c r="N66" s="1057">
        <f>$E$66*비용집행계획!I63</f>
        <v>0</v>
      </c>
      <c r="O66" s="1057">
        <f>$E$66*비용집행계획!J63</f>
        <v>0</v>
      </c>
      <c r="P66" s="1057">
        <f>$E$66*비용집행계획!K63</f>
        <v>0</v>
      </c>
      <c r="Q66" s="1057">
        <f>$E$66*비용집행계획!L63</f>
        <v>0</v>
      </c>
      <c r="R66" s="1057">
        <f>$E$66*비용집행계획!M63</f>
        <v>0</v>
      </c>
      <c r="S66" s="1057">
        <f>$E$66*비용집행계획!N63</f>
        <v>0</v>
      </c>
      <c r="T66" s="1057">
        <f>$E$66*비용집행계획!O63</f>
        <v>0</v>
      </c>
      <c r="U66" s="1057">
        <f>$E$66*비용집행계획!P63</f>
        <v>0</v>
      </c>
      <c r="V66" s="1057">
        <f>$E$66*비용집행계획!Q63</f>
        <v>0</v>
      </c>
      <c r="W66" s="1057">
        <f>$E$66*비용집행계획!R63</f>
        <v>0</v>
      </c>
      <c r="X66" s="1057">
        <f>$E$66*비용집행계획!S63</f>
        <v>0</v>
      </c>
      <c r="Y66" s="1057">
        <f>$E$66*비용집행계획!T63</f>
        <v>0</v>
      </c>
      <c r="Z66" s="1057">
        <f>$E$66*비용집행계획!U63</f>
        <v>0</v>
      </c>
      <c r="AA66" s="1057">
        <f>$E$66*비용집행계획!V63</f>
        <v>0</v>
      </c>
      <c r="AB66" s="1057">
        <f>$E$66*비용집행계획!W63</f>
        <v>0</v>
      </c>
      <c r="AC66" s="1057">
        <f>$E$66*비용집행계획!X63</f>
        <v>0</v>
      </c>
      <c r="AD66" s="1057">
        <f>$E$66*비용집행계획!Y63</f>
        <v>0</v>
      </c>
      <c r="AE66" s="1057">
        <f>$E$66*비용집행계획!Z63</f>
        <v>0</v>
      </c>
      <c r="AF66" s="1057">
        <f>$E$66*비용집행계획!AA63</f>
        <v>0</v>
      </c>
      <c r="AG66" s="1057">
        <f>$E$66*비용집행계획!AB63</f>
        <v>0</v>
      </c>
      <c r="AH66" s="1057">
        <f>$E$66*비용집행계획!AC63</f>
        <v>0</v>
      </c>
      <c r="AI66" s="1057">
        <f>$E$66*비용집행계획!AD63</f>
        <v>0</v>
      </c>
      <c r="AJ66" s="1057">
        <f>$E$66*비용집행계획!AE63</f>
        <v>0</v>
      </c>
      <c r="AK66" s="1057">
        <f>$E$66*비용집행계획!AF63</f>
        <v>0</v>
      </c>
      <c r="AL66" s="1057">
        <f>$E$66*비용집행계획!AG63</f>
        <v>0</v>
      </c>
      <c r="AM66" s="1057">
        <f>$E$66*비용집행계획!AH63</f>
        <v>0</v>
      </c>
      <c r="AN66" s="1057">
        <f>$E$66*비용집행계획!AI63</f>
        <v>0</v>
      </c>
      <c r="AO66" s="1057">
        <f>$E$66*비용집행계획!AJ63</f>
        <v>0</v>
      </c>
      <c r="AP66" s="1057">
        <f>$E$66*비용집행계획!AK63</f>
        <v>0</v>
      </c>
      <c r="AQ66" s="1057">
        <f>$E$66*비용집행계획!AL63</f>
        <v>0</v>
      </c>
      <c r="AR66" s="1057">
        <f>$E$66*비용집행계획!AM63</f>
        <v>0</v>
      </c>
      <c r="AS66" s="1057">
        <f>$E$66*비용집행계획!AN63</f>
        <v>0</v>
      </c>
      <c r="AT66" s="1057">
        <f>$E$66*비용집행계획!AO63</f>
        <v>0</v>
      </c>
      <c r="AU66" s="1057">
        <f>$E$66*비용집행계획!AP63</f>
        <v>0</v>
      </c>
      <c r="AV66" s="1057">
        <f>$E$66*비용집행계획!AQ63</f>
        <v>0</v>
      </c>
      <c r="AW66" s="1057">
        <f>$E$66*비용집행계획!AR63</f>
        <v>0</v>
      </c>
      <c r="AX66" s="1057">
        <f>$E$66*비용집행계획!AS63</f>
        <v>0</v>
      </c>
      <c r="AY66" s="1057">
        <f>$E$66*비용집행계획!AT63</f>
        <v>0</v>
      </c>
      <c r="AZ66" s="1057">
        <f>$E$66*비용집행계획!AU63</f>
        <v>0</v>
      </c>
      <c r="BA66" s="1057">
        <f>$E$66*비용집행계획!AV63</f>
        <v>0</v>
      </c>
      <c r="BB66" s="1057">
        <f>$E$66*비용집행계획!AW63</f>
        <v>0</v>
      </c>
      <c r="BC66" s="1057">
        <f>$E$66*비용집행계획!AX63</f>
        <v>0</v>
      </c>
      <c r="BD66" s="1057">
        <f>$E$66*비용집행계획!AY63</f>
        <v>0</v>
      </c>
      <c r="BE66" s="1057">
        <f>$E$66*비용집행계획!AZ63</f>
        <v>0</v>
      </c>
      <c r="BF66" s="1057">
        <f>$E$66*비용집행계획!BA63</f>
        <v>0</v>
      </c>
      <c r="BG66" s="1057">
        <f>$E$66*비용집행계획!BB63</f>
        <v>0</v>
      </c>
      <c r="BH66" s="1057">
        <f>$E$66*비용집행계획!BC63</f>
        <v>0</v>
      </c>
      <c r="BI66" s="1057">
        <f>$E$66*비용집행계획!BD63</f>
        <v>0</v>
      </c>
      <c r="BJ66" s="1057">
        <f>$E$66*비용집행계획!BE63</f>
        <v>0</v>
      </c>
      <c r="BK66" s="1057">
        <f>$E$66*비용집행계획!BF63</f>
        <v>0</v>
      </c>
      <c r="BL66" s="1057">
        <f>$E$66*비용집행계획!BG63</f>
        <v>0</v>
      </c>
      <c r="BM66" s="1057">
        <f>$E$66*비용집행계획!BH63</f>
        <v>0</v>
      </c>
      <c r="BN66" s="1057">
        <f>$E$66*비용집행계획!BI63</f>
        <v>0</v>
      </c>
      <c r="BO66" s="1057">
        <f>$E$66*비용집행계획!BJ63</f>
        <v>0</v>
      </c>
      <c r="BP66" s="1057">
        <f>$E$66*비용집행계획!BK63</f>
        <v>0</v>
      </c>
      <c r="BQ66" s="1057">
        <f>$E$66*비용집행계획!BL63</f>
        <v>0</v>
      </c>
      <c r="BR66" s="1057">
        <f>$E$66*비용집행계획!BM63</f>
        <v>0</v>
      </c>
      <c r="BS66" s="1057">
        <f>$E$66*비용집행계획!BN63</f>
        <v>0</v>
      </c>
      <c r="BT66" s="1057">
        <f>$E$66*비용집행계획!BO63</f>
        <v>0</v>
      </c>
      <c r="BU66" s="1057">
        <f>$E$66*비용집행계획!BP63</f>
        <v>0</v>
      </c>
      <c r="BV66" s="1057">
        <f>$E$66*비용집행계획!BQ63</f>
        <v>0</v>
      </c>
      <c r="BW66" s="1057">
        <f>$E$66*비용집행계획!BR63</f>
        <v>0</v>
      </c>
      <c r="BX66" s="1057">
        <f>$E$66*비용집행계획!BS63</f>
        <v>0</v>
      </c>
      <c r="BY66" s="1074" t="str">
        <f t="shared" si="93"/>
        <v xml:space="preserve">통학차량제공 </v>
      </c>
      <c r="BZ66" s="1106">
        <f t="shared" si="94"/>
        <v>0</v>
      </c>
      <c r="CA66" s="1111" t="b">
        <f t="shared" si="88"/>
        <v>1</v>
      </c>
      <c r="CB66"/>
      <c r="CC66"/>
      <c r="CD66"/>
      <c r="CE66"/>
      <c r="CF66"/>
      <c r="CG66"/>
      <c r="CH66"/>
      <c r="CI66"/>
      <c r="CJ66"/>
      <c r="CK66"/>
    </row>
    <row r="67" spans="2:89" s="1038" customFormat="1" ht="15.6">
      <c r="B67" s="1103" t="str">
        <f>'사업수지표 '!Y51</f>
        <v>기타부담금</v>
      </c>
      <c r="C67" s="1892"/>
      <c r="D67" s="1104"/>
      <c r="E67" s="1105">
        <f>'사업수지표 '!E51:E51</f>
        <v>0</v>
      </c>
      <c r="F67" s="1058" t="b">
        <f t="shared" si="87"/>
        <v>1</v>
      </c>
      <c r="G67" s="1056"/>
      <c r="H67" s="1057"/>
      <c r="I67" s="1057"/>
      <c r="J67" s="1057">
        <f>$E$67*비용집행계획!E64</f>
        <v>0</v>
      </c>
      <c r="K67" s="1057">
        <f>$E$67*비용집행계획!F64</f>
        <v>0</v>
      </c>
      <c r="L67" s="1057">
        <f>$E$67*비용집행계획!G64</f>
        <v>0</v>
      </c>
      <c r="M67" s="1057">
        <f>$E$67*비용집행계획!H64</f>
        <v>0</v>
      </c>
      <c r="N67" s="1057">
        <f>$E$67*비용집행계획!I64</f>
        <v>0</v>
      </c>
      <c r="O67" s="1057">
        <f>$E$67*비용집행계획!J64</f>
        <v>0</v>
      </c>
      <c r="P67" s="1057">
        <f>$E$67*비용집행계획!K64</f>
        <v>0</v>
      </c>
      <c r="Q67" s="1057">
        <f>$E$67*비용집행계획!L64</f>
        <v>0</v>
      </c>
      <c r="R67" s="1057">
        <f>$E$67*비용집행계획!M64</f>
        <v>0</v>
      </c>
      <c r="S67" s="1057">
        <f>$E$67*비용집행계획!N64</f>
        <v>0</v>
      </c>
      <c r="T67" s="1057">
        <f>$E$67*비용집행계획!O64</f>
        <v>0</v>
      </c>
      <c r="U67" s="1057">
        <f>$E$67*비용집행계획!P64</f>
        <v>0</v>
      </c>
      <c r="V67" s="1057">
        <f>$E$67*비용집행계획!Q64</f>
        <v>0</v>
      </c>
      <c r="W67" s="1057">
        <f>$E$67*비용집행계획!R64</f>
        <v>0</v>
      </c>
      <c r="X67" s="1057">
        <f>$E$67*비용집행계획!S64</f>
        <v>0</v>
      </c>
      <c r="Y67" s="1057">
        <f>$E$67*비용집행계획!T64</f>
        <v>0</v>
      </c>
      <c r="Z67" s="1057">
        <f>$E$67*비용집행계획!U64</f>
        <v>0</v>
      </c>
      <c r="AA67" s="1057">
        <f>$E$67*비용집행계획!V64</f>
        <v>0</v>
      </c>
      <c r="AB67" s="1057">
        <f>$E$67*비용집행계획!W64</f>
        <v>0</v>
      </c>
      <c r="AC67" s="1057">
        <f>$E$67*비용집행계획!X64</f>
        <v>0</v>
      </c>
      <c r="AD67" s="1057">
        <f>$E$67*비용집행계획!Y64</f>
        <v>0</v>
      </c>
      <c r="AE67" s="1057">
        <f>$E$67*비용집행계획!Z64</f>
        <v>0</v>
      </c>
      <c r="AF67" s="1057">
        <f>$E$67*비용집행계획!AA64</f>
        <v>0</v>
      </c>
      <c r="AG67" s="1057">
        <f>$E$67*비용집행계획!AB64</f>
        <v>0</v>
      </c>
      <c r="AH67" s="1057">
        <f>$E$67*비용집행계획!AC64</f>
        <v>0</v>
      </c>
      <c r="AI67" s="1057">
        <f>$E$67*비용집행계획!AD64</f>
        <v>0</v>
      </c>
      <c r="AJ67" s="1057">
        <f>$E$67*비용집행계획!AE64</f>
        <v>0</v>
      </c>
      <c r="AK67" s="1057">
        <f>$E$67*비용집행계획!AF64</f>
        <v>0</v>
      </c>
      <c r="AL67" s="1057">
        <f>$E$67*비용집행계획!AG64</f>
        <v>0</v>
      </c>
      <c r="AM67" s="1057">
        <f>$E$67*비용집행계획!AH64</f>
        <v>0</v>
      </c>
      <c r="AN67" s="1057">
        <f>$E$67*비용집행계획!AI64</f>
        <v>0</v>
      </c>
      <c r="AO67" s="1057">
        <f>$E$67*비용집행계획!AJ64</f>
        <v>0</v>
      </c>
      <c r="AP67" s="1057">
        <f>$E$67*비용집행계획!AK64</f>
        <v>0</v>
      </c>
      <c r="AQ67" s="1057">
        <f>$E$67*비용집행계획!AL64</f>
        <v>0</v>
      </c>
      <c r="AR67" s="1057">
        <f>$E$67*비용집행계획!AM64</f>
        <v>0</v>
      </c>
      <c r="AS67" s="1057">
        <f>$E$67*비용집행계획!AN64</f>
        <v>0</v>
      </c>
      <c r="AT67" s="1057">
        <f>$E$67*비용집행계획!AO64</f>
        <v>0</v>
      </c>
      <c r="AU67" s="1057">
        <f>$E$67*비용집행계획!AP64</f>
        <v>0</v>
      </c>
      <c r="AV67" s="1057">
        <f>$E$67*비용집행계획!AQ64</f>
        <v>0</v>
      </c>
      <c r="AW67" s="1057">
        <f>$E$67*비용집행계획!AR64</f>
        <v>0</v>
      </c>
      <c r="AX67" s="1057">
        <f>$E$67*비용집행계획!AS64</f>
        <v>0</v>
      </c>
      <c r="AY67" s="1057">
        <f>$E$67*비용집행계획!AT64</f>
        <v>0</v>
      </c>
      <c r="AZ67" s="1057">
        <f>$E$67*비용집행계획!AU64</f>
        <v>0</v>
      </c>
      <c r="BA67" s="1057">
        <f>$E$67*비용집행계획!AV64</f>
        <v>0</v>
      </c>
      <c r="BB67" s="1057">
        <f>$E$67*비용집행계획!AW64</f>
        <v>0</v>
      </c>
      <c r="BC67" s="1057">
        <f>$E$67*비용집행계획!AX64</f>
        <v>0</v>
      </c>
      <c r="BD67" s="1057">
        <f>$E$67*비용집행계획!AY64</f>
        <v>0</v>
      </c>
      <c r="BE67" s="1057">
        <f>$E$67*비용집행계획!AZ64</f>
        <v>0</v>
      </c>
      <c r="BF67" s="1057">
        <f>$E$67*비용집행계획!BA64</f>
        <v>0</v>
      </c>
      <c r="BG67" s="1057">
        <f>$E$67*비용집행계획!BB64</f>
        <v>0</v>
      </c>
      <c r="BH67" s="1057">
        <f>$E$67*비용집행계획!BC64</f>
        <v>0</v>
      </c>
      <c r="BI67" s="1057">
        <f>$E$67*비용집행계획!BD64</f>
        <v>0</v>
      </c>
      <c r="BJ67" s="1057">
        <f>$E$67*비용집행계획!BE64</f>
        <v>0</v>
      </c>
      <c r="BK67" s="1057">
        <f>$E$67*비용집행계획!BF64</f>
        <v>0</v>
      </c>
      <c r="BL67" s="1057">
        <f>$E$67*비용집행계획!BG64</f>
        <v>0</v>
      </c>
      <c r="BM67" s="1057">
        <f>$E$67*비용집행계획!BH64</f>
        <v>0</v>
      </c>
      <c r="BN67" s="1057">
        <f>$E$67*비용집행계획!BI64</f>
        <v>0</v>
      </c>
      <c r="BO67" s="1057">
        <f>$E$67*비용집행계획!BJ64</f>
        <v>0</v>
      </c>
      <c r="BP67" s="1057">
        <f>$E$67*비용집행계획!BK64</f>
        <v>0</v>
      </c>
      <c r="BQ67" s="1057">
        <f>$E$67*비용집행계획!BL64</f>
        <v>0</v>
      </c>
      <c r="BR67" s="1057">
        <f>$E$67*비용집행계획!BM64</f>
        <v>0</v>
      </c>
      <c r="BS67" s="1057">
        <f>$E$67*비용집행계획!BN64</f>
        <v>0</v>
      </c>
      <c r="BT67" s="1057">
        <f>$E$67*비용집행계획!BO64</f>
        <v>0</v>
      </c>
      <c r="BU67" s="1057">
        <f>$E$67*비용집행계획!BP64</f>
        <v>0</v>
      </c>
      <c r="BV67" s="1057">
        <f>$E$67*비용집행계획!BQ64</f>
        <v>0</v>
      </c>
      <c r="BW67" s="1057">
        <f>$E$67*비용집행계획!BR64</f>
        <v>0</v>
      </c>
      <c r="BX67" s="1057">
        <f>$E$67*비용집행계획!BS64</f>
        <v>0</v>
      </c>
      <c r="BY67" s="1074" t="str">
        <f t="shared" si="93"/>
        <v>기타부담금</v>
      </c>
      <c r="BZ67" s="1106">
        <f t="shared" si="94"/>
        <v>0</v>
      </c>
      <c r="CA67" s="1111" t="b">
        <f t="shared" si="88"/>
        <v>1</v>
      </c>
    </row>
    <row r="68" spans="2:89" s="1038" customFormat="1" ht="15.6">
      <c r="B68" s="1103"/>
      <c r="C68" s="1892"/>
      <c r="D68" s="1104"/>
      <c r="E68" s="1105"/>
      <c r="F68" s="1058" t="b">
        <f t="shared" si="87"/>
        <v>1</v>
      </c>
      <c r="G68" s="1056"/>
      <c r="H68" s="1057"/>
      <c r="I68" s="1057"/>
      <c r="J68" s="1057">
        <f>$E$68*비용집행계획!E65</f>
        <v>0</v>
      </c>
      <c r="K68" s="1057">
        <f>$E$68*비용집행계획!F65</f>
        <v>0</v>
      </c>
      <c r="L68" s="1057">
        <f>$E$68*비용집행계획!G65</f>
        <v>0</v>
      </c>
      <c r="M68" s="1057">
        <f>$E$68*비용집행계획!H65</f>
        <v>0</v>
      </c>
      <c r="N68" s="1057">
        <f>$E$68*비용집행계획!I65</f>
        <v>0</v>
      </c>
      <c r="O68" s="1057">
        <f>$E$68*비용집행계획!J65</f>
        <v>0</v>
      </c>
      <c r="P68" s="1057">
        <f>$E$68*비용집행계획!K65</f>
        <v>0</v>
      </c>
      <c r="Q68" s="1057">
        <f>$E$68*비용집행계획!L65</f>
        <v>0</v>
      </c>
      <c r="R68" s="1057">
        <f>$E$68*비용집행계획!M65</f>
        <v>0</v>
      </c>
      <c r="S68" s="1057">
        <f>$E$68*비용집행계획!N65</f>
        <v>0</v>
      </c>
      <c r="T68" s="1057">
        <f>$E$68*비용집행계획!O65</f>
        <v>0</v>
      </c>
      <c r="U68" s="1057">
        <f>$E$68*비용집행계획!P65</f>
        <v>0</v>
      </c>
      <c r="V68" s="1057">
        <f>$E$68*비용집행계획!Q65</f>
        <v>0</v>
      </c>
      <c r="W68" s="1057">
        <f>$E$68*비용집행계획!R65</f>
        <v>0</v>
      </c>
      <c r="X68" s="1057">
        <f>$E$68*비용집행계획!S65</f>
        <v>0</v>
      </c>
      <c r="Y68" s="1057">
        <f>$E$68*비용집행계획!T65</f>
        <v>0</v>
      </c>
      <c r="Z68" s="1057">
        <f>$E$68*비용집행계획!U65</f>
        <v>0</v>
      </c>
      <c r="AA68" s="1057">
        <f>$E$68*비용집행계획!V65</f>
        <v>0</v>
      </c>
      <c r="AB68" s="1057">
        <f>$E$68*비용집행계획!W65</f>
        <v>0</v>
      </c>
      <c r="AC68" s="1057">
        <f>$E$68*비용집행계획!X65</f>
        <v>0</v>
      </c>
      <c r="AD68" s="1057">
        <f>$E$68*비용집행계획!Y65</f>
        <v>0</v>
      </c>
      <c r="AE68" s="1057">
        <f>$E$68*비용집행계획!Z65</f>
        <v>0</v>
      </c>
      <c r="AF68" s="1057">
        <f>$E$68*비용집행계획!AA65</f>
        <v>0</v>
      </c>
      <c r="AG68" s="1057">
        <f>$E$68*비용집행계획!AB65</f>
        <v>0</v>
      </c>
      <c r="AH68" s="1057">
        <f>$E$68*비용집행계획!AC65</f>
        <v>0</v>
      </c>
      <c r="AI68" s="1057">
        <f>$E$68*비용집행계획!AD65</f>
        <v>0</v>
      </c>
      <c r="AJ68" s="1057">
        <f>$E$68*비용집행계획!AE65</f>
        <v>0</v>
      </c>
      <c r="AK68" s="1057">
        <f>$E$68*비용집행계획!AF65</f>
        <v>0</v>
      </c>
      <c r="AL68" s="1057">
        <f>$E$68*비용집행계획!AG65</f>
        <v>0</v>
      </c>
      <c r="AM68" s="1057">
        <f>$E$68*비용집행계획!AH65</f>
        <v>0</v>
      </c>
      <c r="AN68" s="1057">
        <f>$E$68*비용집행계획!AI65</f>
        <v>0</v>
      </c>
      <c r="AO68" s="1057">
        <f>$E$68*비용집행계획!AJ65</f>
        <v>0</v>
      </c>
      <c r="AP68" s="1057">
        <f>$E$68*비용집행계획!AK65</f>
        <v>0</v>
      </c>
      <c r="AQ68" s="1057">
        <f>$E$68*비용집행계획!AL65</f>
        <v>0</v>
      </c>
      <c r="AR68" s="1057">
        <f>$E$68*비용집행계획!AM65</f>
        <v>0</v>
      </c>
      <c r="AS68" s="1057">
        <f>$E$68*비용집행계획!AN65</f>
        <v>0</v>
      </c>
      <c r="AT68" s="1057">
        <f>$E$68*비용집행계획!AO65</f>
        <v>0</v>
      </c>
      <c r="AU68" s="1057">
        <f>$E$68*비용집행계획!AP65</f>
        <v>0</v>
      </c>
      <c r="AV68" s="1057">
        <f>$E$68*비용집행계획!AQ65</f>
        <v>0</v>
      </c>
      <c r="AW68" s="1057">
        <f>$E$68*비용집행계획!AR65</f>
        <v>0</v>
      </c>
      <c r="AX68" s="1057">
        <f>$E$68*비용집행계획!AS65</f>
        <v>0</v>
      </c>
      <c r="AY68" s="1057">
        <f>$E$68*비용집행계획!AT65</f>
        <v>0</v>
      </c>
      <c r="AZ68" s="1057">
        <f>$E$68*비용집행계획!AU65</f>
        <v>0</v>
      </c>
      <c r="BA68" s="1057">
        <f>$E$68*비용집행계획!AV65</f>
        <v>0</v>
      </c>
      <c r="BB68" s="1057">
        <f>$E$68*비용집행계획!AW65</f>
        <v>0</v>
      </c>
      <c r="BC68" s="1057">
        <f>$E$68*비용집행계획!AX65</f>
        <v>0</v>
      </c>
      <c r="BD68" s="1057">
        <f>$E$68*비용집행계획!AY65</f>
        <v>0</v>
      </c>
      <c r="BE68" s="1057">
        <f>$E$68*비용집행계획!AZ65</f>
        <v>0</v>
      </c>
      <c r="BF68" s="1057">
        <f>$E$68*비용집행계획!BA65</f>
        <v>0</v>
      </c>
      <c r="BG68" s="1057">
        <f>$E$68*비용집행계획!BB65</f>
        <v>0</v>
      </c>
      <c r="BH68" s="1057">
        <f>$E$68*비용집행계획!BC65</f>
        <v>0</v>
      </c>
      <c r="BI68" s="1057">
        <f>$E$68*비용집행계획!BD65</f>
        <v>0</v>
      </c>
      <c r="BJ68" s="1057">
        <f>$E$68*비용집행계획!BE65</f>
        <v>0</v>
      </c>
      <c r="BK68" s="1057">
        <f>$E$68*비용집행계획!BF65</f>
        <v>0</v>
      </c>
      <c r="BL68" s="1057">
        <f>$E$68*비용집행계획!BG65</f>
        <v>0</v>
      </c>
      <c r="BM68" s="1057">
        <f>$E$68*비용집행계획!BH65</f>
        <v>0</v>
      </c>
      <c r="BN68" s="1057">
        <f>$E$68*비용집행계획!BI65</f>
        <v>0</v>
      </c>
      <c r="BO68" s="1057">
        <f>$E$68*비용집행계획!BJ65</f>
        <v>0</v>
      </c>
      <c r="BP68" s="1057">
        <f>$E$68*비용집행계획!BK65</f>
        <v>0</v>
      </c>
      <c r="BQ68" s="1057">
        <f>$E$68*비용집행계획!BL65</f>
        <v>0</v>
      </c>
      <c r="BR68" s="1057">
        <f>$E$68*비용집행계획!BM65</f>
        <v>0</v>
      </c>
      <c r="BS68" s="1057">
        <f>$E$68*비용집행계획!BN65</f>
        <v>0</v>
      </c>
      <c r="BT68" s="1057">
        <f>$E$68*비용집행계획!BO65</f>
        <v>0</v>
      </c>
      <c r="BU68" s="1057">
        <f>$E$68*비용집행계획!BP65</f>
        <v>0</v>
      </c>
      <c r="BV68" s="1057">
        <f>$E$68*비용집행계획!BQ65</f>
        <v>0</v>
      </c>
      <c r="BW68" s="1057">
        <f>$E$68*비용집행계획!BR65</f>
        <v>0</v>
      </c>
      <c r="BX68" s="1057">
        <f>$E$68*비용집행계획!BS65</f>
        <v>0</v>
      </c>
      <c r="BY68" s="1074"/>
      <c r="BZ68" s="1106"/>
      <c r="CA68" s="1111" t="b">
        <f t="shared" si="88"/>
        <v>1</v>
      </c>
    </row>
    <row r="69" spans="2:89" s="1038" customFormat="1" ht="15.6">
      <c r="B69" s="1103" t="str">
        <f>'사업수지표 '!Y53</f>
        <v>보존등기비</v>
      </c>
      <c r="C69" s="1892"/>
      <c r="D69" s="1104"/>
      <c r="E69" s="1105">
        <f>'사업수지표 '!E53:E53</f>
        <v>3038767.2717643613</v>
      </c>
      <c r="F69" s="1058" t="b">
        <f t="shared" si="87"/>
        <v>1</v>
      </c>
      <c r="G69" s="1056"/>
      <c r="H69" s="1057"/>
      <c r="I69" s="1057"/>
      <c r="J69" s="1057">
        <f>$E$69*비용집행계획!E66</f>
        <v>0</v>
      </c>
      <c r="K69" s="1057">
        <f>$E$69*비용집행계획!F66</f>
        <v>0</v>
      </c>
      <c r="L69" s="1057">
        <f>$E$69*비용집행계획!G66</f>
        <v>0</v>
      </c>
      <c r="M69" s="1057">
        <f>$E$69*비용집행계획!H66</f>
        <v>0</v>
      </c>
      <c r="N69" s="1057">
        <f>$E$69*비용집행계획!I66</f>
        <v>0</v>
      </c>
      <c r="O69" s="1057">
        <f>$E$69*비용집행계획!J66</f>
        <v>0</v>
      </c>
      <c r="P69" s="1057">
        <f>$E$69*비용집행계획!K66</f>
        <v>0</v>
      </c>
      <c r="Q69" s="1057">
        <f>$E$69*비용집행계획!L66</f>
        <v>0</v>
      </c>
      <c r="R69" s="1057">
        <f>$E$69*비용집행계획!M66</f>
        <v>0</v>
      </c>
      <c r="S69" s="1057">
        <f>$E$69*비용집행계획!N66</f>
        <v>0</v>
      </c>
      <c r="T69" s="1057">
        <f>$E$69*비용집행계획!O66</f>
        <v>0</v>
      </c>
      <c r="U69" s="1057">
        <f>$E$69*비용집행계획!P66</f>
        <v>0</v>
      </c>
      <c r="V69" s="1057">
        <f>$E$69*비용집행계획!Q66</f>
        <v>0</v>
      </c>
      <c r="W69" s="1057">
        <f>$E$69*비용집행계획!R66</f>
        <v>0</v>
      </c>
      <c r="X69" s="1057">
        <f>$E$69*비용집행계획!S66</f>
        <v>0</v>
      </c>
      <c r="Y69" s="1057">
        <f>$E$69*비용집행계획!T66</f>
        <v>0</v>
      </c>
      <c r="Z69" s="1057">
        <f>$E$69*비용집행계획!U66</f>
        <v>0</v>
      </c>
      <c r="AA69" s="1057">
        <f>$E$69*비용집행계획!V66</f>
        <v>0</v>
      </c>
      <c r="AB69" s="1057">
        <f>$E$69*비용집행계획!W66</f>
        <v>0</v>
      </c>
      <c r="AC69" s="1057">
        <f>$E$69*비용집행계획!X66</f>
        <v>0</v>
      </c>
      <c r="AD69" s="1057">
        <f>$E$69*비용집행계획!Y66</f>
        <v>0</v>
      </c>
      <c r="AE69" s="1057">
        <f>$E$69*비용집행계획!Z66</f>
        <v>0</v>
      </c>
      <c r="AF69" s="1057">
        <f>$E$69*비용집행계획!AA66</f>
        <v>0</v>
      </c>
      <c r="AG69" s="1057">
        <f>$E$69*비용집행계획!AB66</f>
        <v>0</v>
      </c>
      <c r="AH69" s="1057">
        <f>$E$69*비용집행계획!AC66</f>
        <v>0</v>
      </c>
      <c r="AI69" s="1057">
        <f>$E$69*비용집행계획!AD66</f>
        <v>0</v>
      </c>
      <c r="AJ69" s="1057">
        <f>$E$69*비용집행계획!AE66</f>
        <v>0</v>
      </c>
      <c r="AK69" s="1057">
        <f>$E$69*비용집행계획!AF66</f>
        <v>0</v>
      </c>
      <c r="AL69" s="1057">
        <f>$E$69*비용집행계획!AG66</f>
        <v>0</v>
      </c>
      <c r="AM69" s="1057">
        <f>$E$69*비용집행계획!AH66</f>
        <v>0</v>
      </c>
      <c r="AN69" s="1057">
        <f>$E$69*비용집행계획!AI66</f>
        <v>0</v>
      </c>
      <c r="AO69" s="1057">
        <f>$E$69*비용집행계획!AJ66</f>
        <v>0</v>
      </c>
      <c r="AP69" s="1057">
        <f>$E$69*비용집행계획!AK66</f>
        <v>0</v>
      </c>
      <c r="AQ69" s="1057">
        <f>$E$69*비용집행계획!AL66</f>
        <v>0</v>
      </c>
      <c r="AR69" s="1057">
        <f>$E$69*비용집행계획!AM66</f>
        <v>0</v>
      </c>
      <c r="AS69" s="1057">
        <f>$E$69*비용집행계획!AN66</f>
        <v>0</v>
      </c>
      <c r="AT69" s="1057">
        <f>$E$69*비용집행계획!AO66</f>
        <v>0</v>
      </c>
      <c r="AU69" s="1057">
        <f>$E$69*비용집행계획!AP66</f>
        <v>0</v>
      </c>
      <c r="AV69" s="1057">
        <f>$E$69*비용집행계획!AQ66</f>
        <v>0</v>
      </c>
      <c r="AW69" s="1057">
        <f>$E$69*비용집행계획!AR66</f>
        <v>0</v>
      </c>
      <c r="AX69" s="1057">
        <f>$E$69*비용집행계획!AS66</f>
        <v>0</v>
      </c>
      <c r="AY69" s="1057">
        <f>$E$69*비용집행계획!AT66</f>
        <v>0</v>
      </c>
      <c r="AZ69" s="1057">
        <f>$E$69*비용집행계획!AU66</f>
        <v>0</v>
      </c>
      <c r="BA69" s="1057">
        <f>$E$69*비용집행계획!AV66</f>
        <v>0</v>
      </c>
      <c r="BB69" s="1057">
        <f>$E$69*비용집행계획!AW66</f>
        <v>0</v>
      </c>
      <c r="BC69" s="1057">
        <f>$E$69*비용집행계획!AX66</f>
        <v>0</v>
      </c>
      <c r="BD69" s="1057">
        <f>$E$69*비용집행계획!AY66</f>
        <v>0</v>
      </c>
      <c r="BE69" s="1057">
        <f>$E$69*비용집행계획!AZ66</f>
        <v>0</v>
      </c>
      <c r="BF69" s="1057">
        <f>$E$69*비용집행계획!BA66</f>
        <v>0</v>
      </c>
      <c r="BG69" s="1057">
        <f>$E$69*비용집행계획!BB66</f>
        <v>0</v>
      </c>
      <c r="BH69" s="1057">
        <f>$E$69*비용집행계획!BC66</f>
        <v>0</v>
      </c>
      <c r="BI69" s="1057">
        <f>$E$69*비용집행계획!BD66</f>
        <v>0</v>
      </c>
      <c r="BJ69" s="1057">
        <f>$E$69*비용집행계획!BE66</f>
        <v>0</v>
      </c>
      <c r="BK69" s="1057">
        <f>$E$69*비용집행계획!BF66</f>
        <v>0</v>
      </c>
      <c r="BL69" s="1057">
        <f>$E$69*비용집행계획!BG66</f>
        <v>0</v>
      </c>
      <c r="BM69" s="1057">
        <f>$E$69*비용집행계획!BH66</f>
        <v>0</v>
      </c>
      <c r="BN69" s="1057">
        <f>$E$69*비용집행계획!BI66</f>
        <v>0</v>
      </c>
      <c r="BO69" s="1057">
        <f>$E$69*비용집행계획!BJ66</f>
        <v>0</v>
      </c>
      <c r="BP69" s="1057">
        <f>$E$69*비용집행계획!BK66</f>
        <v>0</v>
      </c>
      <c r="BQ69" s="1057">
        <f>$E$69*비용집행계획!BL66</f>
        <v>0</v>
      </c>
      <c r="BR69" s="1057">
        <f>$E$69*비용집행계획!BM66</f>
        <v>0</v>
      </c>
      <c r="BS69" s="1057">
        <f>$E$69*비용집행계획!BN66</f>
        <v>0</v>
      </c>
      <c r="BT69" s="1057">
        <f>$E$69*비용집행계획!BO66</f>
        <v>0</v>
      </c>
      <c r="BU69" s="1057">
        <f>$E$69*비용집행계획!BP66</f>
        <v>0</v>
      </c>
      <c r="BV69" s="1057">
        <f>$E$69*비용집행계획!BQ66</f>
        <v>3038767.2717643613</v>
      </c>
      <c r="BW69" s="1057">
        <f>$E$69*비용집행계획!BR66</f>
        <v>0</v>
      </c>
      <c r="BX69" s="1057">
        <f>$E$69*비용집행계획!BS66</f>
        <v>0</v>
      </c>
      <c r="BY69" s="1074" t="str">
        <f t="shared" ref="BY69:BY74" si="95">B69</f>
        <v>보존등기비</v>
      </c>
      <c r="BZ69" s="1106">
        <f t="shared" ref="BZ69:BZ74" si="96">SUM(G69:BX69)</f>
        <v>3038767.2717643613</v>
      </c>
      <c r="CA69" s="1111" t="b">
        <f t="shared" si="88"/>
        <v>1</v>
      </c>
    </row>
    <row r="70" spans="2:89" s="1038" customFormat="1" ht="15.6">
      <c r="B70" s="1103" t="str">
        <f>'사업수지표 '!Y55</f>
        <v>부가세납부</v>
      </c>
      <c r="C70" s="1892"/>
      <c r="D70" s="1125"/>
      <c r="E70" s="1105">
        <f>'사업수지표 '!E55:E55</f>
        <v>0</v>
      </c>
      <c r="F70" s="1058" t="b">
        <f t="shared" si="87"/>
        <v>1</v>
      </c>
      <c r="G70" s="1056"/>
      <c r="H70" s="1057"/>
      <c r="I70" s="1057"/>
      <c r="J70" s="1057">
        <f>$E$70*비용집행계획!E68</f>
        <v>0</v>
      </c>
      <c r="K70" s="1057">
        <f>$E$70*비용집행계획!F68</f>
        <v>0</v>
      </c>
      <c r="L70" s="1057">
        <f>$E$70*비용집행계획!G68</f>
        <v>0</v>
      </c>
      <c r="M70" s="1057">
        <f>$E$70*비용집행계획!H68</f>
        <v>0</v>
      </c>
      <c r="N70" s="1057">
        <f>$E$70*비용집행계획!I68</f>
        <v>0</v>
      </c>
      <c r="O70" s="1057">
        <f>$E$70*비용집행계획!J68</f>
        <v>0</v>
      </c>
      <c r="P70" s="1057">
        <f>$E$70*비용집행계획!K68</f>
        <v>0</v>
      </c>
      <c r="Q70" s="1057">
        <f>$E$70*비용집행계획!L68</f>
        <v>0</v>
      </c>
      <c r="R70" s="1057">
        <f>$E$70*비용집행계획!M68</f>
        <v>0</v>
      </c>
      <c r="S70" s="1057">
        <f>$E$70*비용집행계획!N68</f>
        <v>0</v>
      </c>
      <c r="T70" s="1057">
        <f>$E$70*비용집행계획!O68</f>
        <v>0</v>
      </c>
      <c r="U70" s="1057">
        <f>$E$70*비용집행계획!P68</f>
        <v>0</v>
      </c>
      <c r="V70" s="1057">
        <f>$E$70*비용집행계획!Q68</f>
        <v>0</v>
      </c>
      <c r="W70" s="1057">
        <f>$E$70*비용집행계획!R68</f>
        <v>0</v>
      </c>
      <c r="X70" s="1057">
        <f>$E$70*비용집행계획!S68</f>
        <v>0</v>
      </c>
      <c r="Y70" s="1057">
        <f>$E$70*비용집행계획!T68</f>
        <v>0</v>
      </c>
      <c r="Z70" s="1057">
        <f>$E$70*비용집행계획!U68</f>
        <v>0</v>
      </c>
      <c r="AA70" s="1057">
        <f>$E$70*비용집행계획!V68</f>
        <v>0</v>
      </c>
      <c r="AB70" s="1057">
        <f>$E$70*비용집행계획!W68</f>
        <v>0</v>
      </c>
      <c r="AC70" s="1057">
        <f>$E$70*비용집행계획!X68</f>
        <v>0</v>
      </c>
      <c r="AD70" s="1057">
        <f>$E$70*비용집행계획!Y68</f>
        <v>0</v>
      </c>
      <c r="AE70" s="1057">
        <f>$E$70*비용집행계획!Z68</f>
        <v>0</v>
      </c>
      <c r="AF70" s="1057">
        <f>$E$70*비용집행계획!AA68</f>
        <v>0</v>
      </c>
      <c r="AG70" s="1057">
        <f>$E$70*비용집행계획!AB68</f>
        <v>0</v>
      </c>
      <c r="AH70" s="1057">
        <f>$E$70*비용집행계획!AC68</f>
        <v>0</v>
      </c>
      <c r="AI70" s="1057">
        <f>$E$70*비용집행계획!AD68</f>
        <v>0</v>
      </c>
      <c r="AJ70" s="1057">
        <f>$E$70*비용집행계획!AE68</f>
        <v>0</v>
      </c>
      <c r="AK70" s="1057">
        <f>$E$70*비용집행계획!AF68</f>
        <v>0</v>
      </c>
      <c r="AL70" s="1057">
        <f>$E$70*비용집행계획!AG68</f>
        <v>0</v>
      </c>
      <c r="AM70" s="1057">
        <f>$E$70*비용집행계획!AH68</f>
        <v>0</v>
      </c>
      <c r="AN70" s="1057">
        <f>$E$70*비용집행계획!AI68</f>
        <v>0</v>
      </c>
      <c r="AO70" s="1057">
        <f>$E$70*비용집행계획!AJ68</f>
        <v>0</v>
      </c>
      <c r="AP70" s="1057">
        <f>$E$70*비용집행계획!AK68</f>
        <v>0</v>
      </c>
      <c r="AQ70" s="1057">
        <f>$E$70*비용집행계획!AL68</f>
        <v>0</v>
      </c>
      <c r="AR70" s="1057">
        <f>$E$70*비용집행계획!AM68</f>
        <v>0</v>
      </c>
      <c r="AS70" s="1057">
        <f>$E$70*비용집행계획!AN68</f>
        <v>0</v>
      </c>
      <c r="AT70" s="1057">
        <f>$E$70*비용집행계획!AO68</f>
        <v>0</v>
      </c>
      <c r="AU70" s="1057">
        <f>$E$70*비용집행계획!AP68</f>
        <v>0</v>
      </c>
      <c r="AV70" s="1057">
        <f>$E$70*비용집행계획!AQ68</f>
        <v>0</v>
      </c>
      <c r="AW70" s="1057">
        <f>$E$70*비용집행계획!AR68</f>
        <v>0</v>
      </c>
      <c r="AX70" s="1057">
        <f>$E$70*비용집행계획!AS68</f>
        <v>0</v>
      </c>
      <c r="AY70" s="1057">
        <f>$E$70*비용집행계획!AT68</f>
        <v>0</v>
      </c>
      <c r="AZ70" s="1057">
        <f>$E$70*비용집행계획!AU68</f>
        <v>0</v>
      </c>
      <c r="BA70" s="1057">
        <f>$E$70*비용집행계획!AV68</f>
        <v>0</v>
      </c>
      <c r="BB70" s="1057">
        <f>$E$70*비용집행계획!AW68</f>
        <v>0</v>
      </c>
      <c r="BC70" s="1057">
        <f>$E$70*비용집행계획!AX68</f>
        <v>0</v>
      </c>
      <c r="BD70" s="1057">
        <f>$E$70*비용집행계획!AY68</f>
        <v>0</v>
      </c>
      <c r="BE70" s="1057">
        <f>$E$70*비용집행계획!AZ68</f>
        <v>0</v>
      </c>
      <c r="BF70" s="1057">
        <f>$E$70*비용집행계획!BA68</f>
        <v>0</v>
      </c>
      <c r="BG70" s="1057">
        <f>$E$70*비용집행계획!BB68</f>
        <v>0</v>
      </c>
      <c r="BH70" s="1057">
        <f>$E$70*비용집행계획!BC68</f>
        <v>0</v>
      </c>
      <c r="BI70" s="1057">
        <f>$E$70*비용집행계획!BD68</f>
        <v>0</v>
      </c>
      <c r="BJ70" s="1057">
        <f>$E$70*비용집행계획!BE68</f>
        <v>0</v>
      </c>
      <c r="BK70" s="1057">
        <f>$E$70*비용집행계획!BF68</f>
        <v>0</v>
      </c>
      <c r="BL70" s="1057">
        <f>$E$70*비용집행계획!BG68</f>
        <v>0</v>
      </c>
      <c r="BM70" s="1057">
        <f>$E$70*비용집행계획!BH68</f>
        <v>0</v>
      </c>
      <c r="BN70" s="1057">
        <f>$E$70*비용집행계획!BI68</f>
        <v>0</v>
      </c>
      <c r="BO70" s="1057">
        <f>$E$70*비용집행계획!BJ68</f>
        <v>0</v>
      </c>
      <c r="BP70" s="1057">
        <f>$E$70*비용집행계획!BK68</f>
        <v>0</v>
      </c>
      <c r="BQ70" s="1057">
        <f>$E$70*비용집행계획!BL68</f>
        <v>0</v>
      </c>
      <c r="BR70" s="1057">
        <f>$E$70*비용집행계획!BM68</f>
        <v>0</v>
      </c>
      <c r="BS70" s="1057">
        <f>$E$70*비용집행계획!BN68</f>
        <v>0</v>
      </c>
      <c r="BT70" s="1057">
        <f>$E$70*비용집행계획!BO68</f>
        <v>0</v>
      </c>
      <c r="BU70" s="1057">
        <f>$E$70*비용집행계획!BP68</f>
        <v>0</v>
      </c>
      <c r="BV70" s="1057">
        <f>$E$70*비용집행계획!BQ68</f>
        <v>0</v>
      </c>
      <c r="BW70" s="1057">
        <f>$E$70*비용집행계획!BR68</f>
        <v>0</v>
      </c>
      <c r="BX70" s="1057">
        <f>$E$70*비용집행계획!BS68</f>
        <v>0</v>
      </c>
      <c r="BY70" s="1074" t="str">
        <f t="shared" si="95"/>
        <v>부가세납부</v>
      </c>
      <c r="BZ70" s="1106">
        <f t="shared" si="96"/>
        <v>0</v>
      </c>
      <c r="CA70" s="1111" t="b">
        <f t="shared" si="88"/>
        <v>1</v>
      </c>
      <c r="CK70" s="1124"/>
    </row>
    <row r="71" spans="2:89" s="1038" customFormat="1" ht="15.6">
      <c r="B71" s="1103" t="str">
        <f>'사업수지표 '!Y56</f>
        <v>재산세</v>
      </c>
      <c r="C71" s="1892"/>
      <c r="D71" s="1125"/>
      <c r="E71" s="1105">
        <f>'사업수지표 '!E56:E56</f>
        <v>71213.568928150868</v>
      </c>
      <c r="F71" s="1058" t="b">
        <f t="shared" si="87"/>
        <v>1</v>
      </c>
      <c r="G71" s="1056"/>
      <c r="H71" s="1057"/>
      <c r="I71" s="1057"/>
      <c r="J71" s="1057">
        <f>$E$71*비용집행계획!E69</f>
        <v>0</v>
      </c>
      <c r="K71" s="1057">
        <f>$E$71*비용집행계획!F69</f>
        <v>0</v>
      </c>
      <c r="L71" s="1057">
        <f>$E$71*비용집행계획!G69</f>
        <v>0</v>
      </c>
      <c r="M71" s="1057">
        <f>$E$71*비용집행계획!H69</f>
        <v>0</v>
      </c>
      <c r="N71" s="1057">
        <f>$E$71*비용집행계획!I69</f>
        <v>0</v>
      </c>
      <c r="O71" s="1057">
        <f>$E$71*비용집행계획!J69</f>
        <v>0</v>
      </c>
      <c r="P71" s="1057">
        <f>$E$71*비용집행계획!K69</f>
        <v>0</v>
      </c>
      <c r="Q71" s="1057">
        <f>$E$71*비용집행계획!L69</f>
        <v>0</v>
      </c>
      <c r="R71" s="1057">
        <f>$E$71*비용집행계획!M69</f>
        <v>0</v>
      </c>
      <c r="S71" s="1057">
        <f>$E$71*비용집행계획!N69</f>
        <v>0</v>
      </c>
      <c r="T71" s="1057">
        <f>$E$71*비용집행계획!O69</f>
        <v>0</v>
      </c>
      <c r="U71" s="1057">
        <f>$E$71*비용집행계획!P69</f>
        <v>0</v>
      </c>
      <c r="V71" s="1057">
        <f>$E$71*비용집행계획!Q69</f>
        <v>35606.784464075434</v>
      </c>
      <c r="W71" s="1057">
        <f>$E$71*비용집행계획!R69</f>
        <v>0</v>
      </c>
      <c r="X71" s="1057">
        <f>$E$71*비용집행계획!S69</f>
        <v>0</v>
      </c>
      <c r="Y71" s="1057">
        <f>$E$71*비용집행계획!T69</f>
        <v>0</v>
      </c>
      <c r="Z71" s="1057">
        <f>$E$71*비용집행계획!U69</f>
        <v>0</v>
      </c>
      <c r="AA71" s="1057">
        <f>$E$71*비용집행계획!V69</f>
        <v>0</v>
      </c>
      <c r="AB71" s="1057">
        <f>$E$71*비용집행계획!W69</f>
        <v>0</v>
      </c>
      <c r="AC71" s="1057">
        <f>$E$71*비용집행계획!X69</f>
        <v>0</v>
      </c>
      <c r="AD71" s="1057">
        <f>$E$71*비용집행계획!Y69</f>
        <v>0</v>
      </c>
      <c r="AE71" s="1057">
        <f>$E$71*비용집행계획!Z69</f>
        <v>0</v>
      </c>
      <c r="AF71" s="1057">
        <f>$E$71*비용집행계획!AA69</f>
        <v>0</v>
      </c>
      <c r="AG71" s="1057">
        <f>$E$71*비용집행계획!AB69</f>
        <v>0</v>
      </c>
      <c r="AH71" s="1057">
        <f>$E$71*비용집행계획!AC69</f>
        <v>35606.784464075434</v>
      </c>
      <c r="AI71" s="1057">
        <f>$E$71*비용집행계획!AD69</f>
        <v>0</v>
      </c>
      <c r="AJ71" s="1057">
        <f>$E$71*비용집행계획!AE69</f>
        <v>0</v>
      </c>
      <c r="AK71" s="1057">
        <f>$E$71*비용집행계획!AF69</f>
        <v>0</v>
      </c>
      <c r="AL71" s="1057">
        <f>$E$71*비용집행계획!AG69</f>
        <v>0</v>
      </c>
      <c r="AM71" s="1057">
        <f>$E$71*비용집행계획!AH69</f>
        <v>0</v>
      </c>
      <c r="AN71" s="1057">
        <f>$E$71*비용집행계획!AI69</f>
        <v>0</v>
      </c>
      <c r="AO71" s="1057">
        <f>$E$71*비용집행계획!AJ69</f>
        <v>0</v>
      </c>
      <c r="AP71" s="1057">
        <f>$E$71*비용집행계획!AK69</f>
        <v>0</v>
      </c>
      <c r="AQ71" s="1057">
        <f>$E$71*비용집행계획!AL69</f>
        <v>0</v>
      </c>
      <c r="AR71" s="1057">
        <f>$E$71*비용집행계획!AM69</f>
        <v>0</v>
      </c>
      <c r="AS71" s="1057">
        <f>$E$71*비용집행계획!AN69</f>
        <v>0</v>
      </c>
      <c r="AT71" s="1057">
        <f>$E$71*비용집행계획!AO69</f>
        <v>0</v>
      </c>
      <c r="AU71" s="1057">
        <f>$E$71*비용집행계획!AP69</f>
        <v>0</v>
      </c>
      <c r="AV71" s="1057">
        <f>$E$71*비용집행계획!AQ69</f>
        <v>0</v>
      </c>
      <c r="AW71" s="1057">
        <f>$E$71*비용집행계획!AR69</f>
        <v>0</v>
      </c>
      <c r="AX71" s="1057">
        <f>$E$71*비용집행계획!AS69</f>
        <v>0</v>
      </c>
      <c r="AY71" s="1057">
        <f>$E$71*비용집행계획!AT69</f>
        <v>0</v>
      </c>
      <c r="AZ71" s="1057">
        <f>$E$71*비용집행계획!AU69</f>
        <v>0</v>
      </c>
      <c r="BA71" s="1057">
        <f>$E$71*비용집행계획!AV69</f>
        <v>0</v>
      </c>
      <c r="BB71" s="1057">
        <f>$E$71*비용집행계획!AW69</f>
        <v>0</v>
      </c>
      <c r="BC71" s="1057">
        <f>$E$71*비용집행계획!AX69</f>
        <v>0</v>
      </c>
      <c r="BD71" s="1057">
        <f>$E$71*비용집행계획!AY69</f>
        <v>0</v>
      </c>
      <c r="BE71" s="1057">
        <f>$E$71*비용집행계획!AZ69</f>
        <v>0</v>
      </c>
      <c r="BF71" s="1057">
        <f>$E$71*비용집행계획!BA69</f>
        <v>0</v>
      </c>
      <c r="BG71" s="1057">
        <f>$E$71*비용집행계획!BB69</f>
        <v>0</v>
      </c>
      <c r="BH71" s="1057">
        <f>$E$71*비용집행계획!BC69</f>
        <v>0</v>
      </c>
      <c r="BI71" s="1057">
        <f>$E$71*비용집행계획!BD69</f>
        <v>0</v>
      </c>
      <c r="BJ71" s="1057">
        <f>$E$71*비용집행계획!BE69</f>
        <v>0</v>
      </c>
      <c r="BK71" s="1057">
        <f>$E$71*비용집행계획!BF69</f>
        <v>0</v>
      </c>
      <c r="BL71" s="1057">
        <f>$E$71*비용집행계획!BG69</f>
        <v>0</v>
      </c>
      <c r="BM71" s="1057">
        <f>$E$71*비용집행계획!BH69</f>
        <v>0</v>
      </c>
      <c r="BN71" s="1057">
        <f>$E$71*비용집행계획!BI69</f>
        <v>0</v>
      </c>
      <c r="BO71" s="1057">
        <f>$E$71*비용집행계획!BJ69</f>
        <v>0</v>
      </c>
      <c r="BP71" s="1057">
        <f>$E$71*비용집행계획!BK69</f>
        <v>0</v>
      </c>
      <c r="BQ71" s="1057">
        <f>$E$71*비용집행계획!BL69</f>
        <v>0</v>
      </c>
      <c r="BR71" s="1057">
        <f>$E$71*비용집행계획!BM69</f>
        <v>0</v>
      </c>
      <c r="BS71" s="1057">
        <f>$E$71*비용집행계획!BN69</f>
        <v>0</v>
      </c>
      <c r="BT71" s="1057">
        <f>$E$71*비용집행계획!BO69</f>
        <v>0</v>
      </c>
      <c r="BU71" s="1057">
        <f>$E$71*비용집행계획!BP69</f>
        <v>0</v>
      </c>
      <c r="BV71" s="1057">
        <f>$E$71*비용집행계획!BQ69</f>
        <v>0</v>
      </c>
      <c r="BW71" s="1057">
        <f>$E$71*비용집행계획!BR69</f>
        <v>0</v>
      </c>
      <c r="BX71" s="1057">
        <f>$E$71*비용집행계획!BS69</f>
        <v>0</v>
      </c>
      <c r="BY71" s="1074" t="str">
        <f t="shared" si="95"/>
        <v>재산세</v>
      </c>
      <c r="BZ71" s="1106">
        <f t="shared" si="96"/>
        <v>71213.568928150868</v>
      </c>
      <c r="CA71" s="1111" t="b">
        <f t="shared" ref="CA71:CA102" si="97">ROUND(BZ71,0)=ROUND(E71,0)</f>
        <v>1</v>
      </c>
      <c r="CK71" s="1124">
        <f>Q195*(CJ43+CJ39)*0.8+Q195*CJ40</f>
        <v>0</v>
      </c>
    </row>
    <row r="72" spans="2:89" s="1038" customFormat="1" ht="15.6">
      <c r="B72" s="1103" t="str">
        <f>'사업수지표 '!Y57</f>
        <v>종부세</v>
      </c>
      <c r="C72" s="1892"/>
      <c r="D72" s="1125"/>
      <c r="E72" s="1105">
        <f>'사업수지표 '!E57:E57</f>
        <v>0</v>
      </c>
      <c r="F72" s="1058" t="b">
        <f t="shared" si="87"/>
        <v>1</v>
      </c>
      <c r="G72" s="1056"/>
      <c r="H72" s="1057"/>
      <c r="I72" s="1057"/>
      <c r="J72" s="1057">
        <f>$E$72*비용집행계획!E70</f>
        <v>0</v>
      </c>
      <c r="K72" s="1057">
        <f>$E$72*비용집행계획!F70</f>
        <v>0</v>
      </c>
      <c r="L72" s="1057">
        <f>$E$72*비용집행계획!G70</f>
        <v>0</v>
      </c>
      <c r="M72" s="1057">
        <f>$E$72*비용집행계획!H70</f>
        <v>0</v>
      </c>
      <c r="N72" s="1057">
        <f>$E$72*비용집행계획!I70</f>
        <v>0</v>
      </c>
      <c r="O72" s="1057">
        <f>$E$72*비용집행계획!J70</f>
        <v>0</v>
      </c>
      <c r="P72" s="1057">
        <f>$E$72*비용집행계획!K70</f>
        <v>0</v>
      </c>
      <c r="Q72" s="1057">
        <f>$E$72*비용집행계획!L70</f>
        <v>0</v>
      </c>
      <c r="R72" s="1057">
        <f>$E$72*비용집행계획!M70</f>
        <v>0</v>
      </c>
      <c r="S72" s="1057">
        <f>$E$72*비용집행계획!N70</f>
        <v>0</v>
      </c>
      <c r="T72" s="1057">
        <f>$E$72*비용집행계획!O70</f>
        <v>0</v>
      </c>
      <c r="U72" s="1057">
        <f>$E$72*비용집행계획!P70</f>
        <v>0</v>
      </c>
      <c r="V72" s="1057">
        <f>$E$72*비용집행계획!Q70</f>
        <v>0</v>
      </c>
      <c r="W72" s="1057">
        <f>$E$72*비용집행계획!R70</f>
        <v>0</v>
      </c>
      <c r="X72" s="1057">
        <f>$E$72*비용집행계획!S70</f>
        <v>0</v>
      </c>
      <c r="Y72" s="1057">
        <f>$E$72*비용집행계획!T70</f>
        <v>0</v>
      </c>
      <c r="Z72" s="1057">
        <f>$E$72*비용집행계획!U70</f>
        <v>0</v>
      </c>
      <c r="AA72" s="1057">
        <f>$E$72*비용집행계획!V70</f>
        <v>0</v>
      </c>
      <c r="AB72" s="1057">
        <f>$E$72*비용집행계획!W70</f>
        <v>0</v>
      </c>
      <c r="AC72" s="1057">
        <f>$E$72*비용집행계획!X70</f>
        <v>0</v>
      </c>
      <c r="AD72" s="1057">
        <f>$E$72*비용집행계획!Y70</f>
        <v>0</v>
      </c>
      <c r="AE72" s="1057">
        <f>$E$72*비용집행계획!Z70</f>
        <v>0</v>
      </c>
      <c r="AF72" s="1057">
        <f>$E$72*비용집행계획!AA70</f>
        <v>0</v>
      </c>
      <c r="AG72" s="1057">
        <f>$E$72*비용집행계획!AB70</f>
        <v>0</v>
      </c>
      <c r="AH72" s="1057">
        <f>$E$72*비용집행계획!AC70</f>
        <v>0</v>
      </c>
      <c r="AI72" s="1057">
        <f>$E$72*비용집행계획!AD70</f>
        <v>0</v>
      </c>
      <c r="AJ72" s="1057">
        <f>$E$72*비용집행계획!AE70</f>
        <v>0</v>
      </c>
      <c r="AK72" s="1057">
        <f>$E$72*비용집행계획!AF70</f>
        <v>0</v>
      </c>
      <c r="AL72" s="1057">
        <f>$E$72*비용집행계획!AG70</f>
        <v>0</v>
      </c>
      <c r="AM72" s="1057">
        <f>$E$72*비용집행계획!AH70</f>
        <v>0</v>
      </c>
      <c r="AN72" s="1057">
        <f>$E$72*비용집행계획!AI70</f>
        <v>0</v>
      </c>
      <c r="AO72" s="1057">
        <f>$E$72*비용집행계획!AJ70</f>
        <v>0</v>
      </c>
      <c r="AP72" s="1057">
        <f>$E$72*비용집행계획!AK70</f>
        <v>0</v>
      </c>
      <c r="AQ72" s="1057">
        <f>$E$72*비용집행계획!AL70</f>
        <v>0</v>
      </c>
      <c r="AR72" s="1057">
        <f>$E$72*비용집행계획!AM70</f>
        <v>0</v>
      </c>
      <c r="AS72" s="1057">
        <f>$E$72*비용집행계획!AN70</f>
        <v>0</v>
      </c>
      <c r="AT72" s="1057">
        <f>$E$72*비용집행계획!AO70</f>
        <v>0</v>
      </c>
      <c r="AU72" s="1057">
        <f>$E$72*비용집행계획!AP70</f>
        <v>0</v>
      </c>
      <c r="AV72" s="1057">
        <f>$E$72*비용집행계획!AQ70</f>
        <v>0</v>
      </c>
      <c r="AW72" s="1057">
        <f>$E$72*비용집행계획!AR70</f>
        <v>0</v>
      </c>
      <c r="AX72" s="1057">
        <f>$E$72*비용집행계획!AS70</f>
        <v>0</v>
      </c>
      <c r="AY72" s="1057">
        <f>$E$72*비용집행계획!AT70</f>
        <v>0</v>
      </c>
      <c r="AZ72" s="1057">
        <f>$E$72*비용집행계획!AU70</f>
        <v>0</v>
      </c>
      <c r="BA72" s="1057">
        <f>$E$72*비용집행계획!AV70</f>
        <v>0</v>
      </c>
      <c r="BB72" s="1057">
        <f>$E$72*비용집행계획!AW70</f>
        <v>0</v>
      </c>
      <c r="BC72" s="1057">
        <f>$E$72*비용집행계획!AX70</f>
        <v>0</v>
      </c>
      <c r="BD72" s="1057">
        <f>$E$72*비용집행계획!AY70</f>
        <v>0</v>
      </c>
      <c r="BE72" s="1057">
        <f>$E$72*비용집행계획!AZ70</f>
        <v>0</v>
      </c>
      <c r="BF72" s="1057">
        <f>$E$72*비용집행계획!BA70</f>
        <v>0</v>
      </c>
      <c r="BG72" s="1057">
        <f>$E$72*비용집행계획!BB70</f>
        <v>0</v>
      </c>
      <c r="BH72" s="1057">
        <f>$E$72*비용집행계획!BC70</f>
        <v>0</v>
      </c>
      <c r="BI72" s="1057">
        <f>$E$72*비용집행계획!BD70</f>
        <v>0</v>
      </c>
      <c r="BJ72" s="1057">
        <f>$E$72*비용집행계획!BE70</f>
        <v>0</v>
      </c>
      <c r="BK72" s="1057">
        <f>$E$72*비용집행계획!BF70</f>
        <v>0</v>
      </c>
      <c r="BL72" s="1057">
        <f>$E$72*비용집행계획!BG70</f>
        <v>0</v>
      </c>
      <c r="BM72" s="1057">
        <f>$E$72*비용집행계획!BH70</f>
        <v>0</v>
      </c>
      <c r="BN72" s="1057">
        <f>$E$72*비용집행계획!BI70</f>
        <v>0</v>
      </c>
      <c r="BO72" s="1057">
        <f>$E$72*비용집행계획!BJ70</f>
        <v>0</v>
      </c>
      <c r="BP72" s="1057">
        <f>$E$72*비용집행계획!BK70</f>
        <v>0</v>
      </c>
      <c r="BQ72" s="1057">
        <f>$E$72*비용집행계획!BL70</f>
        <v>0</v>
      </c>
      <c r="BR72" s="1057">
        <f>$E$72*비용집행계획!BM70</f>
        <v>0</v>
      </c>
      <c r="BS72" s="1057">
        <f>$E$72*비용집행계획!BN70</f>
        <v>0</v>
      </c>
      <c r="BT72" s="1057">
        <f>$E$72*비용집행계획!BO70</f>
        <v>0</v>
      </c>
      <c r="BU72" s="1057">
        <f>$E$72*비용집행계획!BP70</f>
        <v>0</v>
      </c>
      <c r="BV72" s="1057">
        <f>$E$72*비용집행계획!BQ70</f>
        <v>0</v>
      </c>
      <c r="BW72" s="1057">
        <f>$E$72*비용집행계획!BR70</f>
        <v>0</v>
      </c>
      <c r="BX72" s="1057">
        <f>$E$72*비용집행계획!BS70</f>
        <v>0</v>
      </c>
      <c r="BY72" s="1074" t="str">
        <f t="shared" si="95"/>
        <v>종부세</v>
      </c>
      <c r="BZ72" s="1106">
        <f t="shared" si="96"/>
        <v>0</v>
      </c>
      <c r="CA72" s="1111" t="b">
        <f t="shared" si="97"/>
        <v>1</v>
      </c>
    </row>
    <row r="73" spans="2:89" s="1038" customFormat="1" ht="12.75" customHeight="1">
      <c r="B73" s="1103" t="str">
        <f>'사업수지표 '!Y58</f>
        <v>기타비용</v>
      </c>
      <c r="C73" s="1892"/>
      <c r="D73" s="1125"/>
      <c r="E73" s="1105">
        <f>'사업수지표 '!E58:E58</f>
        <v>0</v>
      </c>
      <c r="F73" s="1058" t="b">
        <f t="shared" si="87"/>
        <v>1</v>
      </c>
      <c r="G73" s="1056"/>
      <c r="H73" s="1057"/>
      <c r="I73" s="1057"/>
      <c r="J73" s="1057">
        <f>$E$73*비용집행계획!E71</f>
        <v>0</v>
      </c>
      <c r="K73" s="1057">
        <f>$E$73*비용집행계획!F71</f>
        <v>0</v>
      </c>
      <c r="L73" s="1057">
        <f>$E$73*비용집행계획!G71</f>
        <v>0</v>
      </c>
      <c r="M73" s="1057">
        <f>$E$73*비용집행계획!H71</f>
        <v>0</v>
      </c>
      <c r="N73" s="1057">
        <f>$E$73*비용집행계획!I71</f>
        <v>0</v>
      </c>
      <c r="O73" s="1057">
        <f>$E$73*비용집행계획!J71</f>
        <v>0</v>
      </c>
      <c r="P73" s="1057">
        <f>$E$73*비용집행계획!K71</f>
        <v>0</v>
      </c>
      <c r="Q73" s="1057">
        <f>$E$73*비용집행계획!L71</f>
        <v>0</v>
      </c>
      <c r="R73" s="1057">
        <f>$E$73*비용집행계획!M71</f>
        <v>0</v>
      </c>
      <c r="S73" s="1057">
        <f>$E$73*비용집행계획!N71</f>
        <v>0</v>
      </c>
      <c r="T73" s="1057">
        <f>$E$73*비용집행계획!O71</f>
        <v>0</v>
      </c>
      <c r="U73" s="1057">
        <f>$E$73*비용집행계획!P71</f>
        <v>0</v>
      </c>
      <c r="V73" s="1057">
        <f>$E$73*비용집행계획!Q71</f>
        <v>0</v>
      </c>
      <c r="W73" s="1057">
        <f>$E$73*비용집행계획!R71</f>
        <v>0</v>
      </c>
      <c r="X73" s="1057">
        <f>$E$73*비용집행계획!S71</f>
        <v>0</v>
      </c>
      <c r="Y73" s="1057">
        <f>$E$73*비용집행계획!T71</f>
        <v>0</v>
      </c>
      <c r="Z73" s="1057">
        <f>$E$73*비용집행계획!U71</f>
        <v>0</v>
      </c>
      <c r="AA73" s="1057">
        <f>$E$73*비용집행계획!V71</f>
        <v>0</v>
      </c>
      <c r="AB73" s="1057">
        <f>$E$73*비용집행계획!W71</f>
        <v>0</v>
      </c>
      <c r="AC73" s="1057">
        <f>$E$73*비용집행계획!X71</f>
        <v>0</v>
      </c>
      <c r="AD73" s="1057">
        <f>$E$73*비용집행계획!Y71</f>
        <v>0</v>
      </c>
      <c r="AE73" s="1057">
        <f>$E$73*비용집행계획!Z71</f>
        <v>0</v>
      </c>
      <c r="AF73" s="1057">
        <f>$E$73*비용집행계획!AA71</f>
        <v>0</v>
      </c>
      <c r="AG73" s="1057">
        <f>$E$73*비용집행계획!AB71</f>
        <v>0</v>
      </c>
      <c r="AH73" s="1057">
        <f>$E$73*비용집행계획!AC71</f>
        <v>0</v>
      </c>
      <c r="AI73" s="1057">
        <f>$E$73*비용집행계획!AD71</f>
        <v>0</v>
      </c>
      <c r="AJ73" s="1057">
        <f>$E$73*비용집행계획!AE71</f>
        <v>0</v>
      </c>
      <c r="AK73" s="1057">
        <f>$E$73*비용집행계획!AF71</f>
        <v>0</v>
      </c>
      <c r="AL73" s="1057">
        <f>$E$73*비용집행계획!AG71</f>
        <v>0</v>
      </c>
      <c r="AM73" s="1057">
        <f>$E$73*비용집행계획!AH71</f>
        <v>0</v>
      </c>
      <c r="AN73" s="1057">
        <f>$E$73*비용집행계획!AI71</f>
        <v>0</v>
      </c>
      <c r="AO73" s="1057">
        <f>$E$73*비용집행계획!AJ71</f>
        <v>0</v>
      </c>
      <c r="AP73" s="1057">
        <f>$E$73*비용집행계획!AK71</f>
        <v>0</v>
      </c>
      <c r="AQ73" s="1057">
        <f>$E$73*비용집행계획!AL71</f>
        <v>0</v>
      </c>
      <c r="AR73" s="1057">
        <f>$E$73*비용집행계획!AM71</f>
        <v>0</v>
      </c>
      <c r="AS73" s="1057">
        <f>$E$73*비용집행계획!AN71</f>
        <v>0</v>
      </c>
      <c r="AT73" s="1057">
        <f>$E$73*비용집행계획!AO71</f>
        <v>0</v>
      </c>
      <c r="AU73" s="1057">
        <f>$E$73*비용집행계획!AP71</f>
        <v>0</v>
      </c>
      <c r="AV73" s="1057">
        <f>$E$73*비용집행계획!AQ71</f>
        <v>0</v>
      </c>
      <c r="AW73" s="1057">
        <f>$E$73*비용집행계획!AR71</f>
        <v>0</v>
      </c>
      <c r="AX73" s="1057">
        <f>$E$73*비용집행계획!AS71</f>
        <v>0</v>
      </c>
      <c r="AY73" s="1057">
        <f>$E$73*비용집행계획!AT71</f>
        <v>0</v>
      </c>
      <c r="AZ73" s="1057">
        <f>$E$73*비용집행계획!AU71</f>
        <v>0</v>
      </c>
      <c r="BA73" s="1057">
        <f>$E$73*비용집행계획!AV71</f>
        <v>0</v>
      </c>
      <c r="BB73" s="1057">
        <f>$E$73*비용집행계획!AW71</f>
        <v>0</v>
      </c>
      <c r="BC73" s="1057">
        <f>$E$73*비용집행계획!AX71</f>
        <v>0</v>
      </c>
      <c r="BD73" s="1057">
        <f>$E$73*비용집행계획!AY71</f>
        <v>0</v>
      </c>
      <c r="BE73" s="1057">
        <f>$E$73*비용집행계획!AZ71</f>
        <v>0</v>
      </c>
      <c r="BF73" s="1057">
        <f>$E$73*비용집행계획!BA71</f>
        <v>0</v>
      </c>
      <c r="BG73" s="1057">
        <f>$E$73*비용집행계획!BB71</f>
        <v>0</v>
      </c>
      <c r="BH73" s="1057">
        <f>$E$73*비용집행계획!BC71</f>
        <v>0</v>
      </c>
      <c r="BI73" s="1057">
        <f>$E$73*비용집행계획!BD71</f>
        <v>0</v>
      </c>
      <c r="BJ73" s="1057">
        <f>$E$73*비용집행계획!BE71</f>
        <v>0</v>
      </c>
      <c r="BK73" s="1057">
        <f>$E$73*비용집행계획!BF71</f>
        <v>0</v>
      </c>
      <c r="BL73" s="1057">
        <f>$E$73*비용집행계획!BG71</f>
        <v>0</v>
      </c>
      <c r="BM73" s="1057">
        <f>$E$73*비용집행계획!BH71</f>
        <v>0</v>
      </c>
      <c r="BN73" s="1057">
        <f>$E$73*비용집행계획!BI71</f>
        <v>0</v>
      </c>
      <c r="BO73" s="1057">
        <f>$E$73*비용집행계획!BJ71</f>
        <v>0</v>
      </c>
      <c r="BP73" s="1057">
        <f>$E$73*비용집행계획!BK71</f>
        <v>0</v>
      </c>
      <c r="BQ73" s="1057">
        <f>$E$73*비용집행계획!BL71</f>
        <v>0</v>
      </c>
      <c r="BR73" s="1057">
        <f>$E$73*비용집행계획!BM71</f>
        <v>0</v>
      </c>
      <c r="BS73" s="1057">
        <f>$E$73*비용집행계획!BN71</f>
        <v>0</v>
      </c>
      <c r="BT73" s="1057">
        <f>$E$73*비용집행계획!BO71</f>
        <v>0</v>
      </c>
      <c r="BU73" s="1057">
        <f>$E$73*비용집행계획!BP71</f>
        <v>0</v>
      </c>
      <c r="BV73" s="1057">
        <f>$E$73*비용집행계획!BQ71</f>
        <v>0</v>
      </c>
      <c r="BW73" s="1057">
        <f>$E$73*비용집행계획!BR71</f>
        <v>0</v>
      </c>
      <c r="BX73" s="1057">
        <f>$E$73*비용집행계획!BS71</f>
        <v>0</v>
      </c>
      <c r="BY73" s="1074" t="str">
        <f t="shared" si="95"/>
        <v>기타비용</v>
      </c>
      <c r="BZ73" s="1106">
        <f t="shared" si="96"/>
        <v>0</v>
      </c>
      <c r="CA73" s="1111" t="b">
        <f t="shared" si="97"/>
        <v>1</v>
      </c>
    </row>
    <row r="74" spans="2:89" s="1038" customFormat="1" ht="15.6">
      <c r="B74" s="1103">
        <f>'사업수지표 '!Y59</f>
        <v>0</v>
      </c>
      <c r="C74" s="1892"/>
      <c r="D74" s="1125"/>
      <c r="E74" s="1105">
        <f>'사업수지표 '!E59:E59</f>
        <v>0</v>
      </c>
      <c r="F74" s="1058" t="b">
        <f t="shared" si="87"/>
        <v>1</v>
      </c>
      <c r="G74" s="1056"/>
      <c r="H74" s="1057"/>
      <c r="I74" s="1057"/>
      <c r="J74" s="1057">
        <f>$E$74*비용집행계획!E72</f>
        <v>0</v>
      </c>
      <c r="K74" s="1057">
        <f>$E$74*비용집행계획!F72</f>
        <v>0</v>
      </c>
      <c r="L74" s="1057">
        <f>$E$74*비용집행계획!G72</f>
        <v>0</v>
      </c>
      <c r="M74" s="1057">
        <f>$E$74*비용집행계획!H72</f>
        <v>0</v>
      </c>
      <c r="N74" s="1057">
        <f>$E$74*비용집행계획!I72</f>
        <v>0</v>
      </c>
      <c r="O74" s="1057">
        <f>$E$74*비용집행계획!J72</f>
        <v>0</v>
      </c>
      <c r="P74" s="1057">
        <f>$E$74*비용집행계획!K72</f>
        <v>0</v>
      </c>
      <c r="Q74" s="1057">
        <f>$E$74*비용집행계획!L72</f>
        <v>0</v>
      </c>
      <c r="R74" s="1057">
        <f>$E$74*비용집행계획!M72</f>
        <v>0</v>
      </c>
      <c r="S74" s="1057">
        <f>$E$74*비용집행계획!N72</f>
        <v>0</v>
      </c>
      <c r="T74" s="1057">
        <f>$E$74*비용집행계획!O72</f>
        <v>0</v>
      </c>
      <c r="U74" s="1057">
        <f>$E$74*비용집행계획!P72</f>
        <v>0</v>
      </c>
      <c r="V74" s="1057">
        <f>$E$74*비용집행계획!Q72</f>
        <v>0</v>
      </c>
      <c r="W74" s="1057">
        <f>$E$74*비용집행계획!R72</f>
        <v>0</v>
      </c>
      <c r="X74" s="1057">
        <f>$E$74*비용집행계획!S72</f>
        <v>0</v>
      </c>
      <c r="Y74" s="1057">
        <f>$E$74*비용집행계획!T72</f>
        <v>0</v>
      </c>
      <c r="Z74" s="1057">
        <f>$E$74*비용집행계획!U72</f>
        <v>0</v>
      </c>
      <c r="AA74" s="1057">
        <f>$E$74*비용집행계획!V72</f>
        <v>0</v>
      </c>
      <c r="AB74" s="1057">
        <f>$E$74*비용집행계획!W72</f>
        <v>0</v>
      </c>
      <c r="AC74" s="1057">
        <f>$E$74*비용집행계획!X72</f>
        <v>0</v>
      </c>
      <c r="AD74" s="1057">
        <f>$E$74*비용집행계획!Y72</f>
        <v>0</v>
      </c>
      <c r="AE74" s="1057">
        <f>$E$74*비용집행계획!Z72</f>
        <v>0</v>
      </c>
      <c r="AF74" s="1057">
        <f>$E$74*비용집행계획!AA72</f>
        <v>0</v>
      </c>
      <c r="AG74" s="1057">
        <f>$E$74*비용집행계획!AB72</f>
        <v>0</v>
      </c>
      <c r="AH74" s="1057">
        <f>$E$74*비용집행계획!AC72</f>
        <v>0</v>
      </c>
      <c r="AI74" s="1057">
        <f>$E$74*비용집행계획!AD72</f>
        <v>0</v>
      </c>
      <c r="AJ74" s="1057">
        <f>$E$74*비용집행계획!AE72</f>
        <v>0</v>
      </c>
      <c r="AK74" s="1057">
        <f>$E$74*비용집행계획!AF72</f>
        <v>0</v>
      </c>
      <c r="AL74" s="1057">
        <f>$E$74*비용집행계획!AG72</f>
        <v>0</v>
      </c>
      <c r="AM74" s="1057">
        <f>$E$74*비용집행계획!AH72</f>
        <v>0</v>
      </c>
      <c r="AN74" s="1057">
        <f>$E$74*비용집행계획!AI72</f>
        <v>0</v>
      </c>
      <c r="AO74" s="1057">
        <f>$E$74*비용집행계획!AJ72</f>
        <v>0</v>
      </c>
      <c r="AP74" s="1057">
        <f>$E$74*비용집행계획!AK72</f>
        <v>0</v>
      </c>
      <c r="AQ74" s="1057">
        <f>$E$74*비용집행계획!AL72</f>
        <v>0</v>
      </c>
      <c r="AR74" s="1057">
        <f>$E$74*비용집행계획!AM72</f>
        <v>0</v>
      </c>
      <c r="AS74" s="1057">
        <f>$E$74*비용집행계획!AN72</f>
        <v>0</v>
      </c>
      <c r="AT74" s="1057">
        <f>$E$74*비용집행계획!AO72</f>
        <v>0</v>
      </c>
      <c r="AU74" s="1057">
        <f>$E$74*비용집행계획!AP72</f>
        <v>0</v>
      </c>
      <c r="AV74" s="1057">
        <f>$E$74*비용집행계획!AQ72</f>
        <v>0</v>
      </c>
      <c r="AW74" s="1057">
        <f>$E$74*비용집행계획!AR72</f>
        <v>0</v>
      </c>
      <c r="AX74" s="1057">
        <f>$E$74*비용집행계획!AS72</f>
        <v>0</v>
      </c>
      <c r="AY74" s="1057">
        <f>$E$74*비용집행계획!AT72</f>
        <v>0</v>
      </c>
      <c r="AZ74" s="1057">
        <f>$E$74*비용집행계획!AU72</f>
        <v>0</v>
      </c>
      <c r="BA74" s="1057">
        <f>$E$74*비용집행계획!AV72</f>
        <v>0</v>
      </c>
      <c r="BB74" s="1057">
        <f>$E$74*비용집행계획!AW72</f>
        <v>0</v>
      </c>
      <c r="BC74" s="1057">
        <f>$E$74*비용집행계획!AX72</f>
        <v>0</v>
      </c>
      <c r="BD74" s="1057">
        <f>$E$74*비용집행계획!AY72</f>
        <v>0</v>
      </c>
      <c r="BE74" s="1057">
        <f>$E$74*비용집행계획!AZ72</f>
        <v>0</v>
      </c>
      <c r="BF74" s="1057">
        <f>$E$74*비용집행계획!BA72</f>
        <v>0</v>
      </c>
      <c r="BG74" s="1057">
        <f>$E$74*비용집행계획!BB72</f>
        <v>0</v>
      </c>
      <c r="BH74" s="1057">
        <f>$E$74*비용집행계획!BC72</f>
        <v>0</v>
      </c>
      <c r="BI74" s="1057">
        <f>$E$74*비용집행계획!BD72</f>
        <v>0</v>
      </c>
      <c r="BJ74" s="1057">
        <f>$E$74*비용집행계획!BE72</f>
        <v>0</v>
      </c>
      <c r="BK74" s="1057">
        <f>$E$74*비용집행계획!BF72</f>
        <v>0</v>
      </c>
      <c r="BL74" s="1057">
        <f>$E$74*비용집행계획!BG72</f>
        <v>0</v>
      </c>
      <c r="BM74" s="1057">
        <f>$E$74*비용집행계획!BH72</f>
        <v>0</v>
      </c>
      <c r="BN74" s="1057">
        <f>$E$74*비용집행계획!BI72</f>
        <v>0</v>
      </c>
      <c r="BO74" s="1057">
        <f>$E$74*비용집행계획!BJ72</f>
        <v>0</v>
      </c>
      <c r="BP74" s="1057">
        <f>$E$74*비용집행계획!BK72</f>
        <v>0</v>
      </c>
      <c r="BQ74" s="1057">
        <f>$E$74*비용집행계획!BL72</f>
        <v>0</v>
      </c>
      <c r="BR74" s="1057">
        <f>$E$74*비용집행계획!BM72</f>
        <v>0</v>
      </c>
      <c r="BS74" s="1057">
        <f>$E$74*비용집행계획!BN72</f>
        <v>0</v>
      </c>
      <c r="BT74" s="1057">
        <f>$E$74*비용집행계획!BO72</f>
        <v>0</v>
      </c>
      <c r="BU74" s="1057">
        <f>$E$74*비용집행계획!BP72</f>
        <v>0</v>
      </c>
      <c r="BV74" s="1057">
        <f>$E$74*비용집행계획!BQ72</f>
        <v>0</v>
      </c>
      <c r="BW74" s="1057">
        <f>$E$74*비용집행계획!BR72</f>
        <v>0</v>
      </c>
      <c r="BX74" s="1057">
        <f>$E$74*비용집행계획!BS72</f>
        <v>0</v>
      </c>
      <c r="BY74" s="1074">
        <f t="shared" si="95"/>
        <v>0</v>
      </c>
      <c r="BZ74" s="1106">
        <f t="shared" si="96"/>
        <v>0</v>
      </c>
      <c r="CA74" s="1111" t="b">
        <f t="shared" si="97"/>
        <v>1</v>
      </c>
    </row>
    <row r="75" spans="2:89" s="1038" customFormat="1" ht="15.6">
      <c r="B75" s="1103"/>
      <c r="C75" s="1892"/>
      <c r="D75" s="1125"/>
      <c r="E75" s="1105"/>
      <c r="F75" s="1058" t="b">
        <f t="shared" si="87"/>
        <v>1</v>
      </c>
      <c r="G75" s="1056"/>
      <c r="H75" s="1057"/>
      <c r="I75" s="1057"/>
      <c r="J75" s="1057">
        <f>$E$75*비용집행계획!E73</f>
        <v>0</v>
      </c>
      <c r="K75" s="1057">
        <f>$E$75*비용집행계획!F73</f>
        <v>0</v>
      </c>
      <c r="L75" s="1057">
        <f>$E$75*비용집행계획!G73</f>
        <v>0</v>
      </c>
      <c r="M75" s="1057">
        <f>$E$75*비용집행계획!H73</f>
        <v>0</v>
      </c>
      <c r="N75" s="1057">
        <f>$E$75*비용집행계획!I73</f>
        <v>0</v>
      </c>
      <c r="O75" s="1057">
        <f>$E$75*비용집행계획!J73</f>
        <v>0</v>
      </c>
      <c r="P75" s="1057">
        <f>$E$75*비용집행계획!K73</f>
        <v>0</v>
      </c>
      <c r="Q75" s="1057">
        <f>$E$75*비용집행계획!L73</f>
        <v>0</v>
      </c>
      <c r="R75" s="1057">
        <f>$E$75*비용집행계획!M73</f>
        <v>0</v>
      </c>
      <c r="S75" s="1057">
        <f>$E$75*비용집행계획!N73</f>
        <v>0</v>
      </c>
      <c r="T75" s="1057">
        <f>$E$75*비용집행계획!O73</f>
        <v>0</v>
      </c>
      <c r="U75" s="1057">
        <f>$E$75*비용집행계획!P73</f>
        <v>0</v>
      </c>
      <c r="V75" s="1057">
        <f>$E$75*비용집행계획!Q73</f>
        <v>0</v>
      </c>
      <c r="W75" s="1057">
        <f>$E$75*비용집행계획!R73</f>
        <v>0</v>
      </c>
      <c r="X75" s="1057">
        <f>$E$75*비용집행계획!S73</f>
        <v>0</v>
      </c>
      <c r="Y75" s="1057">
        <f>$E$75*비용집행계획!T73</f>
        <v>0</v>
      </c>
      <c r="Z75" s="1057">
        <f>$E$75*비용집행계획!U73</f>
        <v>0</v>
      </c>
      <c r="AA75" s="1057">
        <f>$E$75*비용집행계획!V73</f>
        <v>0</v>
      </c>
      <c r="AB75" s="1057">
        <f>$E$75*비용집행계획!W73</f>
        <v>0</v>
      </c>
      <c r="AC75" s="1057">
        <f>$E$75*비용집행계획!X73</f>
        <v>0</v>
      </c>
      <c r="AD75" s="1057">
        <f>$E$75*비용집행계획!Y73</f>
        <v>0</v>
      </c>
      <c r="AE75" s="1057">
        <f>$E$75*비용집행계획!Z73</f>
        <v>0</v>
      </c>
      <c r="AF75" s="1057">
        <f>$E$75*비용집행계획!AA73</f>
        <v>0</v>
      </c>
      <c r="AG75" s="1057">
        <f>$E$75*비용집행계획!AB73</f>
        <v>0</v>
      </c>
      <c r="AH75" s="1057">
        <f>$E$75*비용집행계획!AC73</f>
        <v>0</v>
      </c>
      <c r="AI75" s="1057">
        <f>$E$75*비용집행계획!AD73</f>
        <v>0</v>
      </c>
      <c r="AJ75" s="1057">
        <f>$E$75*비용집행계획!AE73</f>
        <v>0</v>
      </c>
      <c r="AK75" s="1057">
        <f>$E$75*비용집행계획!AF73</f>
        <v>0</v>
      </c>
      <c r="AL75" s="1057">
        <f>$E$75*비용집행계획!AG73</f>
        <v>0</v>
      </c>
      <c r="AM75" s="1057">
        <f>$E$75*비용집행계획!AH73</f>
        <v>0</v>
      </c>
      <c r="AN75" s="1057">
        <f>$E$75*비용집행계획!AI73</f>
        <v>0</v>
      </c>
      <c r="AO75" s="1057">
        <f>$E$75*비용집행계획!AJ73</f>
        <v>0</v>
      </c>
      <c r="AP75" s="1057">
        <f>$E$75*비용집행계획!AK73</f>
        <v>0</v>
      </c>
      <c r="AQ75" s="1057">
        <f>$E$75*비용집행계획!AL73</f>
        <v>0</v>
      </c>
      <c r="AR75" s="1057">
        <f>$E$75*비용집행계획!AM73</f>
        <v>0</v>
      </c>
      <c r="AS75" s="1057">
        <f>$E$75*비용집행계획!AN73</f>
        <v>0</v>
      </c>
      <c r="AT75" s="1057">
        <f>$E$75*비용집행계획!AO73</f>
        <v>0</v>
      </c>
      <c r="AU75" s="1057">
        <f>$E$75*비용집행계획!AP73</f>
        <v>0</v>
      </c>
      <c r="AV75" s="1057">
        <f>$E$75*비용집행계획!AQ73</f>
        <v>0</v>
      </c>
      <c r="AW75" s="1057">
        <f>$E$75*비용집행계획!AR73</f>
        <v>0</v>
      </c>
      <c r="AX75" s="1057">
        <f>$E$75*비용집행계획!AS73</f>
        <v>0</v>
      </c>
      <c r="AY75" s="1057">
        <f>$E$75*비용집행계획!AT73</f>
        <v>0</v>
      </c>
      <c r="AZ75" s="1057">
        <f>$E$75*비용집행계획!AU73</f>
        <v>0</v>
      </c>
      <c r="BA75" s="1057">
        <f>$E$75*비용집행계획!AV73</f>
        <v>0</v>
      </c>
      <c r="BB75" s="1057">
        <f>$E$75*비용집행계획!AW73</f>
        <v>0</v>
      </c>
      <c r="BC75" s="1057">
        <f>$E$75*비용집행계획!AX73</f>
        <v>0</v>
      </c>
      <c r="BD75" s="1057">
        <f>$E$75*비용집행계획!AY73</f>
        <v>0</v>
      </c>
      <c r="BE75" s="1057">
        <f>$E$75*비용집행계획!AZ73</f>
        <v>0</v>
      </c>
      <c r="BF75" s="1057">
        <f>$E$75*비용집행계획!BA73</f>
        <v>0</v>
      </c>
      <c r="BG75" s="1057">
        <f>$E$75*비용집행계획!BB73</f>
        <v>0</v>
      </c>
      <c r="BH75" s="1057">
        <f>$E$75*비용집행계획!BC73</f>
        <v>0</v>
      </c>
      <c r="BI75" s="1057">
        <f>$E$75*비용집행계획!BD73</f>
        <v>0</v>
      </c>
      <c r="BJ75" s="1057">
        <f>$E$75*비용집행계획!BE73</f>
        <v>0</v>
      </c>
      <c r="BK75" s="1057">
        <f>$E$75*비용집행계획!BF73</f>
        <v>0</v>
      </c>
      <c r="BL75" s="1057">
        <f>$E$75*비용집행계획!BG73</f>
        <v>0</v>
      </c>
      <c r="BM75" s="1057">
        <f>$E$75*비용집행계획!BH73</f>
        <v>0</v>
      </c>
      <c r="BN75" s="1057">
        <f>$E$75*비용집행계획!BI73</f>
        <v>0</v>
      </c>
      <c r="BO75" s="1057">
        <f>$E$75*비용집행계획!BJ73</f>
        <v>0</v>
      </c>
      <c r="BP75" s="1057">
        <f>$E$75*비용집행계획!BK73</f>
        <v>0</v>
      </c>
      <c r="BQ75" s="1057">
        <f>$E$75*비용집행계획!BL73</f>
        <v>0</v>
      </c>
      <c r="BR75" s="1057">
        <f>$E$75*비용집행계획!BM73</f>
        <v>0</v>
      </c>
      <c r="BS75" s="1057">
        <f>$E$75*비용집행계획!BN73</f>
        <v>0</v>
      </c>
      <c r="BT75" s="1057">
        <f>$E$75*비용집행계획!BO73</f>
        <v>0</v>
      </c>
      <c r="BU75" s="1057">
        <f>$E$75*비용집행계획!BP73</f>
        <v>0</v>
      </c>
      <c r="BV75" s="1057">
        <f>$E$75*비용집행계획!BQ73</f>
        <v>0</v>
      </c>
      <c r="BW75" s="1057">
        <f>$E$75*비용집행계획!BR73</f>
        <v>0</v>
      </c>
      <c r="BX75" s="1057">
        <f>$E$75*비용집행계획!BS73</f>
        <v>0</v>
      </c>
      <c r="BY75" s="1074"/>
      <c r="BZ75" s="1106"/>
      <c r="CA75" s="1111" t="b">
        <f t="shared" si="97"/>
        <v>1</v>
      </c>
    </row>
    <row r="76" spans="2:89" s="1038" customFormat="1" ht="15.6">
      <c r="B76" s="1103" t="str">
        <f>'사업수지표 '!C61</f>
        <v>M/H설치비</v>
      </c>
      <c r="C76" s="1892"/>
      <c r="D76" s="1125"/>
      <c r="E76" s="1105">
        <f>'사업수지표 '!E61:E61</f>
        <v>1200000</v>
      </c>
      <c r="F76" s="1058" t="b">
        <f t="shared" si="87"/>
        <v>1</v>
      </c>
      <c r="G76" s="1056"/>
      <c r="H76" s="1057"/>
      <c r="I76" s="1057"/>
      <c r="J76" s="1057">
        <f>$E$76*비용집행계획!E74</f>
        <v>0</v>
      </c>
      <c r="K76" s="1057">
        <f>$E$76*비용집행계획!F74</f>
        <v>0</v>
      </c>
      <c r="L76" s="1057">
        <f>$E$76*비용집행계획!G74</f>
        <v>0</v>
      </c>
      <c r="M76" s="1057">
        <f>$E$76*비용집행계획!H74</f>
        <v>0</v>
      </c>
      <c r="N76" s="1057">
        <f>$E$76*비용집행계획!I74</f>
        <v>600000</v>
      </c>
      <c r="O76" s="1057">
        <f>$E$76*비용집행계획!J74</f>
        <v>0</v>
      </c>
      <c r="P76" s="1057">
        <f>$E$76*비용집행계획!K74</f>
        <v>0</v>
      </c>
      <c r="Q76" s="1057">
        <f>$E$76*비용집행계획!L74</f>
        <v>600000</v>
      </c>
      <c r="R76" s="1057">
        <f>$E$76*비용집행계획!M74</f>
        <v>0</v>
      </c>
      <c r="S76" s="1057">
        <f>$E$76*비용집행계획!N74</f>
        <v>0</v>
      </c>
      <c r="T76" s="1057">
        <f>$E$76*비용집행계획!O74</f>
        <v>0</v>
      </c>
      <c r="U76" s="1057">
        <f>$E$76*비용집행계획!P74</f>
        <v>0</v>
      </c>
      <c r="V76" s="1057">
        <f>$E$76*비용집행계획!Q74</f>
        <v>0</v>
      </c>
      <c r="W76" s="1057">
        <f>$E$76*비용집행계획!R74</f>
        <v>0</v>
      </c>
      <c r="X76" s="1057">
        <f>$E$76*비용집행계획!S74</f>
        <v>0</v>
      </c>
      <c r="Y76" s="1057">
        <f>$E$76*비용집행계획!T74</f>
        <v>0</v>
      </c>
      <c r="Z76" s="1057">
        <f>$E$76*비용집행계획!U74</f>
        <v>0</v>
      </c>
      <c r="AA76" s="1057">
        <f>$E$76*비용집행계획!V74</f>
        <v>0</v>
      </c>
      <c r="AB76" s="1057">
        <f>$E$76*비용집행계획!W74</f>
        <v>0</v>
      </c>
      <c r="AC76" s="1057">
        <f>$E$76*비용집행계획!X74</f>
        <v>0</v>
      </c>
      <c r="AD76" s="1057">
        <f>$E$76*비용집행계획!Y74</f>
        <v>0</v>
      </c>
      <c r="AE76" s="1057">
        <f>$E$76*비용집행계획!Z74</f>
        <v>0</v>
      </c>
      <c r="AF76" s="1057">
        <f>$E$76*비용집행계획!AA74</f>
        <v>0</v>
      </c>
      <c r="AG76" s="1057">
        <f>$E$76*비용집행계획!AB74</f>
        <v>0</v>
      </c>
      <c r="AH76" s="1057">
        <f>$E$76*비용집행계획!AC74</f>
        <v>0</v>
      </c>
      <c r="AI76" s="1057">
        <f>$E$76*비용집행계획!AD74</f>
        <v>0</v>
      </c>
      <c r="AJ76" s="1057">
        <f>$E$76*비용집행계획!AE74</f>
        <v>0</v>
      </c>
      <c r="AK76" s="1057">
        <f>$E$76*비용집행계획!AF74</f>
        <v>0</v>
      </c>
      <c r="AL76" s="1057">
        <f>$E$76*비용집행계획!AG74</f>
        <v>0</v>
      </c>
      <c r="AM76" s="1057">
        <f>$E$76*비용집행계획!AH74</f>
        <v>0</v>
      </c>
      <c r="AN76" s="1057">
        <f>$E$76*비용집행계획!AI74</f>
        <v>0</v>
      </c>
      <c r="AO76" s="1057">
        <f>$E$76*비용집행계획!AJ74</f>
        <v>0</v>
      </c>
      <c r="AP76" s="1057">
        <f>$E$76*비용집행계획!AK74</f>
        <v>0</v>
      </c>
      <c r="AQ76" s="1057">
        <f>$E$76*비용집행계획!AL74</f>
        <v>0</v>
      </c>
      <c r="AR76" s="1057">
        <f>$E$76*비용집행계획!AM74</f>
        <v>0</v>
      </c>
      <c r="AS76" s="1057">
        <f>$E$76*비용집행계획!AN74</f>
        <v>0</v>
      </c>
      <c r="AT76" s="1057">
        <f>$E$76*비용집행계획!AO74</f>
        <v>0</v>
      </c>
      <c r="AU76" s="1057">
        <f>$E$76*비용집행계획!AP74</f>
        <v>0</v>
      </c>
      <c r="AV76" s="1057">
        <f>$E$76*비용집행계획!AQ74</f>
        <v>0</v>
      </c>
      <c r="AW76" s="1057">
        <f>$E$76*비용집행계획!AR74</f>
        <v>0</v>
      </c>
      <c r="AX76" s="1057">
        <f>$E$76*비용집행계획!AS74</f>
        <v>0</v>
      </c>
      <c r="AY76" s="1057">
        <f>$E$76*비용집행계획!AT74</f>
        <v>0</v>
      </c>
      <c r="AZ76" s="1057">
        <f>$E$76*비용집행계획!AU74</f>
        <v>0</v>
      </c>
      <c r="BA76" s="1057">
        <f>$E$76*비용집행계획!AV74</f>
        <v>0</v>
      </c>
      <c r="BB76" s="1057">
        <f>$E$76*비용집행계획!AW74</f>
        <v>0</v>
      </c>
      <c r="BC76" s="1057">
        <f>$E$76*비용집행계획!AX74</f>
        <v>0</v>
      </c>
      <c r="BD76" s="1057">
        <f>$E$76*비용집행계획!AY74</f>
        <v>0</v>
      </c>
      <c r="BE76" s="1057">
        <f>$E$76*비용집행계획!AZ74</f>
        <v>0</v>
      </c>
      <c r="BF76" s="1057">
        <f>$E$76*비용집행계획!BA74</f>
        <v>0</v>
      </c>
      <c r="BG76" s="1057">
        <f>$E$76*비용집행계획!BB74</f>
        <v>0</v>
      </c>
      <c r="BH76" s="1057">
        <f>$E$76*비용집행계획!BC74</f>
        <v>0</v>
      </c>
      <c r="BI76" s="1057">
        <f>$E$76*비용집행계획!BD74</f>
        <v>0</v>
      </c>
      <c r="BJ76" s="1057">
        <f>$E$76*비용집행계획!BE74</f>
        <v>0</v>
      </c>
      <c r="BK76" s="1057">
        <f>$E$76*비용집행계획!BF74</f>
        <v>0</v>
      </c>
      <c r="BL76" s="1057">
        <f>$E$76*비용집행계획!BG74</f>
        <v>0</v>
      </c>
      <c r="BM76" s="1057">
        <f>$E$76*비용집행계획!BH74</f>
        <v>0</v>
      </c>
      <c r="BN76" s="1057">
        <f>$E$76*비용집행계획!BI74</f>
        <v>0</v>
      </c>
      <c r="BO76" s="1057">
        <f>$E$76*비용집행계획!BJ74</f>
        <v>0</v>
      </c>
      <c r="BP76" s="1057">
        <f>$E$76*비용집행계획!BK74</f>
        <v>0</v>
      </c>
      <c r="BQ76" s="1057">
        <f>$E$76*비용집행계획!BL74</f>
        <v>0</v>
      </c>
      <c r="BR76" s="1057">
        <f>$E$76*비용집행계획!BM74</f>
        <v>0</v>
      </c>
      <c r="BS76" s="1057">
        <f>$E$76*비용집행계획!BN74</f>
        <v>0</v>
      </c>
      <c r="BT76" s="1057">
        <f>$E$76*비용집행계획!BO74</f>
        <v>0</v>
      </c>
      <c r="BU76" s="1057">
        <f>$E$76*비용집행계획!BP74</f>
        <v>0</v>
      </c>
      <c r="BV76" s="1057">
        <f>$E$76*비용집행계획!BQ74</f>
        <v>0</v>
      </c>
      <c r="BW76" s="1057">
        <f>$E$76*비용집행계획!BR74</f>
        <v>0</v>
      </c>
      <c r="BX76" s="1057">
        <f>$E$76*비용집행계획!BS74</f>
        <v>0</v>
      </c>
      <c r="BY76" s="1074" t="str">
        <f t="shared" ref="BY76:BY95" si="98">B76</f>
        <v>M/H설치비</v>
      </c>
      <c r="BZ76" s="1106">
        <f t="shared" ref="BZ76:BZ87" si="99">SUM(G76:BX76)</f>
        <v>1200000</v>
      </c>
      <c r="CA76" s="1111" t="b">
        <f t="shared" si="97"/>
        <v>1</v>
      </c>
    </row>
    <row r="77" spans="2:89" s="1038" customFormat="1" ht="15.6">
      <c r="B77" s="1103" t="str">
        <f>'사업수지표 '!C62</f>
        <v>M/H운영비</v>
      </c>
      <c r="C77" s="1892"/>
      <c r="D77" s="1125"/>
      <c r="E77" s="1105">
        <f>'사업수지표 '!E62:E62</f>
        <v>120000</v>
      </c>
      <c r="F77" s="1058" t="b">
        <f t="shared" si="87"/>
        <v>1</v>
      </c>
      <c r="G77" s="1056"/>
      <c r="H77" s="1057"/>
      <c r="I77" s="1057"/>
      <c r="J77" s="1057">
        <f>'사업수지표 '!$K$62*비용집행계획!E75</f>
        <v>0</v>
      </c>
      <c r="K77" s="1057">
        <f>'사업수지표 '!$K$62*비용집행계획!F75</f>
        <v>0</v>
      </c>
      <c r="L77" s="1057">
        <f>'사업수지표 '!$K$62*비용집행계획!G75</f>
        <v>0</v>
      </c>
      <c r="M77" s="1057">
        <f>'사업수지표 '!$K$62*비용집행계획!H75</f>
        <v>0</v>
      </c>
      <c r="N77" s="1057">
        <f>'사업수지표 '!$K$62*비용집행계획!I75</f>
        <v>10000</v>
      </c>
      <c r="O77" s="1057">
        <f>'사업수지표 '!$K$62*비용집행계획!J75</f>
        <v>10000</v>
      </c>
      <c r="P77" s="1057">
        <f>'사업수지표 '!$K$62*비용집행계획!K75</f>
        <v>10000</v>
      </c>
      <c r="Q77" s="1057">
        <f>'사업수지표 '!$K$62*비용집행계획!L75</f>
        <v>10000</v>
      </c>
      <c r="R77" s="1057">
        <f>'사업수지표 '!$K$62*비용집행계획!M75</f>
        <v>10000</v>
      </c>
      <c r="S77" s="1057">
        <f>'사업수지표 '!$K$62*비용집행계획!N75</f>
        <v>10000</v>
      </c>
      <c r="T77" s="1057">
        <f>'사업수지표 '!$K$62*비용집행계획!O75</f>
        <v>10000</v>
      </c>
      <c r="U77" s="1057">
        <f>'사업수지표 '!$K$62*비용집행계획!P75</f>
        <v>10000</v>
      </c>
      <c r="V77" s="1057">
        <f>'사업수지표 '!$K$62*비용집행계획!Q75</f>
        <v>10000</v>
      </c>
      <c r="W77" s="1057">
        <f>'사업수지표 '!$K$62*비용집행계획!R75</f>
        <v>10000</v>
      </c>
      <c r="X77" s="1057">
        <f>'사업수지표 '!$K$62*비용집행계획!S75</f>
        <v>10000</v>
      </c>
      <c r="Y77" s="1057">
        <f>'사업수지표 '!$K$62*비용집행계획!T75</f>
        <v>10000</v>
      </c>
      <c r="Z77" s="1057">
        <f>'사업수지표 '!$K$62*비용집행계획!U75</f>
        <v>0</v>
      </c>
      <c r="AA77" s="1057">
        <f>'사업수지표 '!$K$62*비용집행계획!V75</f>
        <v>0</v>
      </c>
      <c r="AB77" s="1057">
        <f>'사업수지표 '!$K$62*비용집행계획!W75</f>
        <v>0</v>
      </c>
      <c r="AC77" s="1057">
        <f>'사업수지표 '!$K$62*비용집행계획!X75</f>
        <v>0</v>
      </c>
      <c r="AD77" s="1057">
        <f>'사업수지표 '!$K$62*비용집행계획!Y75</f>
        <v>0</v>
      </c>
      <c r="AE77" s="1057">
        <f>'사업수지표 '!$K$62*비용집행계획!Z75</f>
        <v>0</v>
      </c>
      <c r="AF77" s="1057">
        <f>'사업수지표 '!$K$62*비용집행계획!AA75</f>
        <v>0</v>
      </c>
      <c r="AG77" s="1057">
        <f>'사업수지표 '!$K$62*비용집행계획!AB75</f>
        <v>0</v>
      </c>
      <c r="AH77" s="1057">
        <f>'사업수지표 '!$K$62*비용집행계획!AC75</f>
        <v>0</v>
      </c>
      <c r="AI77" s="1057">
        <f>'사업수지표 '!$K$62*비용집행계획!AD75</f>
        <v>0</v>
      </c>
      <c r="AJ77" s="1057">
        <f>'사업수지표 '!$K$62*비용집행계획!AE75</f>
        <v>0</v>
      </c>
      <c r="AK77" s="1057">
        <f>'사업수지표 '!$K$62*비용집행계획!AF75</f>
        <v>0</v>
      </c>
      <c r="AL77" s="1057">
        <f>'사업수지표 '!$K$62*비용집행계획!AG75</f>
        <v>0</v>
      </c>
      <c r="AM77" s="1057">
        <f>'사업수지표 '!$K$62*비용집행계획!AH75</f>
        <v>0</v>
      </c>
      <c r="AN77" s="1057">
        <f>'사업수지표 '!$K$62*비용집행계획!AI75</f>
        <v>0</v>
      </c>
      <c r="AO77" s="1057">
        <f>'사업수지표 '!$K$62*비용집행계획!AJ75</f>
        <v>0</v>
      </c>
      <c r="AP77" s="1057">
        <f>'사업수지표 '!$K$62*비용집행계획!AK75</f>
        <v>0</v>
      </c>
      <c r="AQ77" s="1057">
        <f>'사업수지표 '!$K$62*비용집행계획!AL75</f>
        <v>0</v>
      </c>
      <c r="AR77" s="1057">
        <f>'사업수지표 '!$K$62*비용집행계획!AM75</f>
        <v>0</v>
      </c>
      <c r="AS77" s="1057">
        <f>'사업수지표 '!$K$62*비용집행계획!AN75</f>
        <v>0</v>
      </c>
      <c r="AT77" s="1057">
        <f>'사업수지표 '!$K$62*비용집행계획!AO75</f>
        <v>0</v>
      </c>
      <c r="AU77" s="1057">
        <f>'사업수지표 '!$K$62*비용집행계획!AP75</f>
        <v>0</v>
      </c>
      <c r="AV77" s="1057">
        <f>'사업수지표 '!$K$62*비용집행계획!AQ75</f>
        <v>0</v>
      </c>
      <c r="AW77" s="1057">
        <f>'사업수지표 '!$K$62*비용집행계획!AR75</f>
        <v>0</v>
      </c>
      <c r="AX77" s="1057">
        <f>'사업수지표 '!$K$62*비용집행계획!AS75</f>
        <v>0</v>
      </c>
      <c r="AY77" s="1057">
        <f>'사업수지표 '!$K$62*비용집행계획!AT75</f>
        <v>0</v>
      </c>
      <c r="AZ77" s="1057">
        <f>'사업수지표 '!$K$62*비용집행계획!AU75</f>
        <v>0</v>
      </c>
      <c r="BA77" s="1057">
        <f>'사업수지표 '!$K$62*비용집행계획!AV75</f>
        <v>0</v>
      </c>
      <c r="BB77" s="1057">
        <f>'사업수지표 '!$K$62*비용집행계획!AW75</f>
        <v>0</v>
      </c>
      <c r="BC77" s="1057">
        <f>'사업수지표 '!$K$62*비용집행계획!AX75</f>
        <v>0</v>
      </c>
      <c r="BD77" s="1057">
        <f>'사업수지표 '!$K$62*비용집행계획!AY75</f>
        <v>0</v>
      </c>
      <c r="BE77" s="1057">
        <f>'사업수지표 '!$K$62*비용집행계획!AZ75</f>
        <v>0</v>
      </c>
      <c r="BF77" s="1057">
        <f>'사업수지표 '!$K$62*비용집행계획!BA75</f>
        <v>0</v>
      </c>
      <c r="BG77" s="1057">
        <f>'사업수지표 '!$K$62*비용집행계획!BB75</f>
        <v>0</v>
      </c>
      <c r="BH77" s="1057">
        <f>'사업수지표 '!$K$62*비용집행계획!BC75</f>
        <v>0</v>
      </c>
      <c r="BI77" s="1057">
        <f>'사업수지표 '!$K$62*비용집행계획!BD75</f>
        <v>0</v>
      </c>
      <c r="BJ77" s="1057">
        <f>'사업수지표 '!$K$62*비용집행계획!BE75</f>
        <v>0</v>
      </c>
      <c r="BK77" s="1057">
        <f>'사업수지표 '!$K$62*비용집행계획!BF75</f>
        <v>0</v>
      </c>
      <c r="BL77" s="1057">
        <f>'사업수지표 '!$K$62*비용집행계획!BG75</f>
        <v>0</v>
      </c>
      <c r="BM77" s="1057">
        <f>'사업수지표 '!$K$62*비용집행계획!BH75</f>
        <v>0</v>
      </c>
      <c r="BN77" s="1057">
        <f>'사업수지표 '!$K$62*비용집행계획!BI75</f>
        <v>0</v>
      </c>
      <c r="BO77" s="1057">
        <f>'사업수지표 '!$K$62*비용집행계획!BJ75</f>
        <v>0</v>
      </c>
      <c r="BP77" s="1057">
        <f>'사업수지표 '!$K$62*비용집행계획!BK75</f>
        <v>0</v>
      </c>
      <c r="BQ77" s="1057">
        <f>'사업수지표 '!$K$62*비용집행계획!BL75</f>
        <v>0</v>
      </c>
      <c r="BR77" s="1057">
        <f>'사업수지표 '!$K$62*비용집행계획!BM75</f>
        <v>0</v>
      </c>
      <c r="BS77" s="1057">
        <f>'사업수지표 '!$K$62*비용집행계획!BN75</f>
        <v>0</v>
      </c>
      <c r="BT77" s="1057">
        <f>'사업수지표 '!$K$62*비용집행계획!BO75</f>
        <v>0</v>
      </c>
      <c r="BU77" s="1057">
        <f>'사업수지표 '!$K$62*비용집행계획!BP75</f>
        <v>0</v>
      </c>
      <c r="BV77" s="1057">
        <f>'사업수지표 '!$K$62*비용집행계획!BQ75</f>
        <v>0</v>
      </c>
      <c r="BW77" s="1057">
        <f>'사업수지표 '!$K$62*비용집행계획!BR75</f>
        <v>0</v>
      </c>
      <c r="BX77" s="1057">
        <f>$E$77*비용집행계획!BS75</f>
        <v>0</v>
      </c>
      <c r="BY77" s="1074" t="str">
        <f t="shared" si="98"/>
        <v>M/H운영비</v>
      </c>
      <c r="BZ77" s="1106">
        <f t="shared" si="99"/>
        <v>120000</v>
      </c>
      <c r="CA77" s="1111" t="b">
        <f t="shared" si="97"/>
        <v>1</v>
      </c>
    </row>
    <row r="78" spans="2:89" s="1038" customFormat="1" ht="15.6">
      <c r="B78" s="1103" t="str">
        <f>'사업수지표 '!C63</f>
        <v>M/H임차료</v>
      </c>
      <c r="C78" s="1892"/>
      <c r="D78" s="1125"/>
      <c r="E78" s="1105">
        <f>'사업수지표 '!E63:E63</f>
        <v>70000</v>
      </c>
      <c r="F78" s="1058" t="b">
        <f t="shared" si="87"/>
        <v>1</v>
      </c>
      <c r="G78" s="1056"/>
      <c r="H78" s="1057"/>
      <c r="I78" s="1057"/>
      <c r="J78" s="1057">
        <f>'사업수지표 '!$K$63*비용집행계획!E76</f>
        <v>0</v>
      </c>
      <c r="K78" s="1057">
        <f>'사업수지표 '!$K$63*비용집행계획!F76</f>
        <v>0</v>
      </c>
      <c r="L78" s="1057">
        <f>'사업수지표 '!$K$63*비용집행계획!G76</f>
        <v>0</v>
      </c>
      <c r="M78" s="1057">
        <f>'사업수지표 '!$K$63*비용집행계획!H76</f>
        <v>5000</v>
      </c>
      <c r="N78" s="1057">
        <f>'사업수지표 '!$K$63*비용집행계획!I76</f>
        <v>5000</v>
      </c>
      <c r="O78" s="1057">
        <f>'사업수지표 '!$K$63*비용집행계획!J76</f>
        <v>5000</v>
      </c>
      <c r="P78" s="1057">
        <f>'사업수지표 '!$K$63*비용집행계획!K76</f>
        <v>5000</v>
      </c>
      <c r="Q78" s="1057">
        <f>'사업수지표 '!$K$63*비용집행계획!L76</f>
        <v>5000</v>
      </c>
      <c r="R78" s="1057">
        <f>'사업수지표 '!$K$63*비용집행계획!M76</f>
        <v>5000</v>
      </c>
      <c r="S78" s="1057">
        <f>'사업수지표 '!$K$63*비용집행계획!N76</f>
        <v>5000</v>
      </c>
      <c r="T78" s="1057">
        <f>'사업수지표 '!$K$63*비용집행계획!O76</f>
        <v>5000</v>
      </c>
      <c r="U78" s="1057">
        <f>'사업수지표 '!$K$63*비용집행계획!P76</f>
        <v>5000</v>
      </c>
      <c r="V78" s="1057">
        <f>'사업수지표 '!$K$63*비용집행계획!Q76</f>
        <v>5000</v>
      </c>
      <c r="W78" s="1057">
        <f>'사업수지표 '!$K$63*비용집행계획!R76</f>
        <v>5000</v>
      </c>
      <c r="X78" s="1057">
        <f>'사업수지표 '!$K$63*비용집행계획!S76</f>
        <v>5000</v>
      </c>
      <c r="Y78" s="1057">
        <f>'사업수지표 '!$K$63*비용집행계획!T76</f>
        <v>5000</v>
      </c>
      <c r="Z78" s="1057">
        <f>'사업수지표 '!$K$63*비용집행계획!U76</f>
        <v>5000</v>
      </c>
      <c r="AA78" s="1057">
        <f>'사업수지표 '!$K$63*비용집행계획!V76</f>
        <v>0</v>
      </c>
      <c r="AB78" s="1057">
        <f>'사업수지표 '!$K$63*비용집행계획!W76</f>
        <v>0</v>
      </c>
      <c r="AC78" s="1057">
        <f>'사업수지표 '!$K$63*비용집행계획!X76</f>
        <v>0</v>
      </c>
      <c r="AD78" s="1057">
        <f>'사업수지표 '!$K$63*비용집행계획!Y76</f>
        <v>0</v>
      </c>
      <c r="AE78" s="1057">
        <f>'사업수지표 '!$K$63*비용집행계획!Z76</f>
        <v>0</v>
      </c>
      <c r="AF78" s="1057">
        <f>'사업수지표 '!$K$63*비용집행계획!AA76</f>
        <v>0</v>
      </c>
      <c r="AG78" s="1057">
        <f>'사업수지표 '!$K$63*비용집행계획!AB76</f>
        <v>0</v>
      </c>
      <c r="AH78" s="1057">
        <f>'사업수지표 '!$K$63*비용집행계획!AC76</f>
        <v>0</v>
      </c>
      <c r="AI78" s="1057">
        <f>'사업수지표 '!$K$63*비용집행계획!AD76</f>
        <v>0</v>
      </c>
      <c r="AJ78" s="1057">
        <f>'사업수지표 '!$K$63*비용집행계획!AE76</f>
        <v>0</v>
      </c>
      <c r="AK78" s="1057">
        <f>'사업수지표 '!$K$63*비용집행계획!AF76</f>
        <v>0</v>
      </c>
      <c r="AL78" s="1057">
        <f>'사업수지표 '!$K$63*비용집행계획!AG76</f>
        <v>0</v>
      </c>
      <c r="AM78" s="1057">
        <f>'사업수지표 '!$K$63*비용집행계획!AH76</f>
        <v>0</v>
      </c>
      <c r="AN78" s="1057">
        <f>'사업수지표 '!$K$63*비용집행계획!AI76</f>
        <v>0</v>
      </c>
      <c r="AO78" s="1057">
        <f>'사업수지표 '!$K$63*비용집행계획!AJ76</f>
        <v>0</v>
      </c>
      <c r="AP78" s="1057">
        <f>'사업수지표 '!$K$63*비용집행계획!AK76</f>
        <v>0</v>
      </c>
      <c r="AQ78" s="1057">
        <f>'사업수지표 '!$K$63*비용집행계획!AL76</f>
        <v>0</v>
      </c>
      <c r="AR78" s="1057">
        <f>'사업수지표 '!$K$63*비용집행계획!AM76</f>
        <v>0</v>
      </c>
      <c r="AS78" s="1057">
        <f>'사업수지표 '!$K$63*비용집행계획!AN76</f>
        <v>0</v>
      </c>
      <c r="AT78" s="1057">
        <f>'사업수지표 '!$K$63*비용집행계획!AO76</f>
        <v>0</v>
      </c>
      <c r="AU78" s="1057">
        <f>'사업수지표 '!$K$63*비용집행계획!AP76</f>
        <v>0</v>
      </c>
      <c r="AV78" s="1057">
        <f>'사업수지표 '!$K$63*비용집행계획!AQ76</f>
        <v>0</v>
      </c>
      <c r="AW78" s="1057">
        <f>'사업수지표 '!$K$63*비용집행계획!AR76</f>
        <v>0</v>
      </c>
      <c r="AX78" s="1057">
        <f>'사업수지표 '!$K$63*비용집행계획!AS76</f>
        <v>0</v>
      </c>
      <c r="AY78" s="1057">
        <f>'사업수지표 '!$K$63*비용집행계획!AT76</f>
        <v>0</v>
      </c>
      <c r="AZ78" s="1057">
        <f>'사업수지표 '!$K$63*비용집행계획!AU76</f>
        <v>0</v>
      </c>
      <c r="BA78" s="1057">
        <f>'사업수지표 '!$K$63*비용집행계획!AV76</f>
        <v>0</v>
      </c>
      <c r="BB78" s="1057">
        <f>'사업수지표 '!$K$63*비용집행계획!AW76</f>
        <v>0</v>
      </c>
      <c r="BC78" s="1057">
        <f>'사업수지표 '!$K$63*비용집행계획!AX76</f>
        <v>0</v>
      </c>
      <c r="BD78" s="1057">
        <f>'사업수지표 '!$K$63*비용집행계획!AY76</f>
        <v>0</v>
      </c>
      <c r="BE78" s="1057">
        <f>'사업수지표 '!$K$63*비용집행계획!AZ76</f>
        <v>0</v>
      </c>
      <c r="BF78" s="1057">
        <f>'사업수지표 '!$K$63*비용집행계획!BA76</f>
        <v>0</v>
      </c>
      <c r="BG78" s="1057">
        <f>'사업수지표 '!$K$63*비용집행계획!BB76</f>
        <v>0</v>
      </c>
      <c r="BH78" s="1057">
        <f>'사업수지표 '!$K$63*비용집행계획!BC76</f>
        <v>0</v>
      </c>
      <c r="BI78" s="1057">
        <f>'사업수지표 '!$K$63*비용집행계획!BD76</f>
        <v>0</v>
      </c>
      <c r="BJ78" s="1057">
        <f>'사업수지표 '!$K$63*비용집행계획!BE76</f>
        <v>0</v>
      </c>
      <c r="BK78" s="1057">
        <f>'사업수지표 '!$K$63*비용집행계획!BF76</f>
        <v>0</v>
      </c>
      <c r="BL78" s="1057">
        <f>'사업수지표 '!$K$63*비용집행계획!BG76</f>
        <v>0</v>
      </c>
      <c r="BM78" s="1057">
        <f>'사업수지표 '!$K$63*비용집행계획!BH76</f>
        <v>0</v>
      </c>
      <c r="BN78" s="1057">
        <f>'사업수지표 '!$K$63*비용집행계획!BI76</f>
        <v>0</v>
      </c>
      <c r="BO78" s="1057">
        <f>'사업수지표 '!$K$63*비용집행계획!BJ76</f>
        <v>0</v>
      </c>
      <c r="BP78" s="1057">
        <f>'사업수지표 '!$K$63*비용집행계획!BK76</f>
        <v>0</v>
      </c>
      <c r="BQ78" s="1057">
        <f>'사업수지표 '!$K$63*비용집행계획!BL76</f>
        <v>0</v>
      </c>
      <c r="BR78" s="1057">
        <f>'사업수지표 '!$K$63*비용집행계획!BM76</f>
        <v>0</v>
      </c>
      <c r="BS78" s="1057">
        <f>'사업수지표 '!$K$63*비용집행계획!BN76</f>
        <v>0</v>
      </c>
      <c r="BT78" s="1057">
        <f>'사업수지표 '!$K$63*비용집행계획!BO76</f>
        <v>0</v>
      </c>
      <c r="BU78" s="1057">
        <f>'사업수지표 '!$K$63*비용집행계획!BP76</f>
        <v>0</v>
      </c>
      <c r="BV78" s="1057">
        <f>'사업수지표 '!$K$63*비용집행계획!BQ76</f>
        <v>0</v>
      </c>
      <c r="BW78" s="1057">
        <f>'사업수지표 '!$K$63*비용집행계획!BR76</f>
        <v>0</v>
      </c>
      <c r="BX78" s="1057">
        <f>$E$78*비용집행계획!BS76</f>
        <v>0</v>
      </c>
      <c r="BY78" s="1074" t="str">
        <f t="shared" si="98"/>
        <v>M/H임차료</v>
      </c>
      <c r="BZ78" s="1106">
        <f t="shared" si="99"/>
        <v>70000</v>
      </c>
      <c r="CA78" s="1111" t="b">
        <f t="shared" si="97"/>
        <v>1</v>
      </c>
    </row>
    <row r="79" spans="2:89" s="1038" customFormat="1" ht="15.6">
      <c r="B79" s="1103" t="str">
        <f>'사업수지표 '!C64</f>
        <v>분양수수료(공동주택)</v>
      </c>
      <c r="C79" s="1892"/>
      <c r="D79" s="1125"/>
      <c r="E79" s="1105">
        <f>'사업수지표 '!E64:E64</f>
        <v>2196000</v>
      </c>
      <c r="F79" s="1058" t="b">
        <f t="shared" si="87"/>
        <v>1</v>
      </c>
      <c r="G79" s="1056"/>
      <c r="H79" s="1057"/>
      <c r="I79" s="1057"/>
      <c r="J79" s="1057">
        <f>$E$79*비용집행계획!E77</f>
        <v>0</v>
      </c>
      <c r="K79" s="1057">
        <f>$E$79*비용집행계획!F77</f>
        <v>0</v>
      </c>
      <c r="L79" s="1057">
        <f>$E$79*비용집행계획!G77</f>
        <v>0</v>
      </c>
      <c r="M79" s="1057">
        <f>$E$79*비용집행계획!H77</f>
        <v>0</v>
      </c>
      <c r="N79" s="1057">
        <f>$E$79*비용집행계획!I77</f>
        <v>0</v>
      </c>
      <c r="O79" s="1057">
        <f>$E$79*비용집행계획!J77</f>
        <v>395280.00000000006</v>
      </c>
      <c r="P79" s="1057">
        <f>$E$79*비용집행계획!K77</f>
        <v>296460</v>
      </c>
      <c r="Q79" s="1057">
        <f>$E$79*비용집행계획!L77</f>
        <v>237168</v>
      </c>
      <c r="R79" s="1057">
        <f>$E$79*비용집행계획!M77</f>
        <v>197640.00000000003</v>
      </c>
      <c r="S79" s="1057">
        <f>$E$79*비용집행계획!N77</f>
        <v>158112.00000000003</v>
      </c>
      <c r="T79" s="1057">
        <f>$E$79*비용집행계획!O77</f>
        <v>138348.00000000003</v>
      </c>
      <c r="U79" s="1057">
        <f>$E$79*비용집행계획!P77</f>
        <v>118584</v>
      </c>
      <c r="V79" s="1057">
        <f>$E$79*비용집행계획!Q77</f>
        <v>98820.000000000015</v>
      </c>
      <c r="W79" s="1057">
        <f>$E$79*비용집행계획!R77</f>
        <v>98820.000000000015</v>
      </c>
      <c r="X79" s="1057">
        <f>$E$79*비용집행계획!S77</f>
        <v>79056.000000000015</v>
      </c>
      <c r="Y79" s="1057">
        <f>$E$79*비용집행계획!T77</f>
        <v>79056.000000000015</v>
      </c>
      <c r="Z79" s="1057">
        <f>$E$79*비용집행계획!U77</f>
        <v>79056.000000000015</v>
      </c>
      <c r="AA79" s="1057">
        <f>$E$79*비용집행계획!V77</f>
        <v>0</v>
      </c>
      <c r="AB79" s="1057">
        <f>$E$79*비용집행계획!W77</f>
        <v>0</v>
      </c>
      <c r="AC79" s="1057">
        <f>$E$79*비용집행계획!X77</f>
        <v>0</v>
      </c>
      <c r="AD79" s="1057">
        <f>$E$79*비용집행계획!Y77</f>
        <v>0</v>
      </c>
      <c r="AE79" s="1057">
        <f>$E$79*비용집행계획!Z77</f>
        <v>0</v>
      </c>
      <c r="AF79" s="1057">
        <f>$E$79*비용집행계획!AA77</f>
        <v>0</v>
      </c>
      <c r="AG79" s="1057">
        <f>$E$79*비용집행계획!AB77</f>
        <v>0</v>
      </c>
      <c r="AH79" s="1057">
        <f>$E$79*비용집행계획!AC77</f>
        <v>0</v>
      </c>
      <c r="AI79" s="1057">
        <f>$E$79*비용집행계획!AD77</f>
        <v>0</v>
      </c>
      <c r="AJ79" s="1057">
        <f>$E$79*비용집행계획!AE77</f>
        <v>0</v>
      </c>
      <c r="AK79" s="1057">
        <f>$E$79*비용집행계획!AF77</f>
        <v>0</v>
      </c>
      <c r="AL79" s="1057">
        <f>$E$79*비용집행계획!AG77</f>
        <v>0</v>
      </c>
      <c r="AM79" s="1057">
        <f>$E$79*비용집행계획!AH77</f>
        <v>0</v>
      </c>
      <c r="AN79" s="1057">
        <f>$E$79*비용집행계획!AI77</f>
        <v>0</v>
      </c>
      <c r="AO79" s="1057">
        <f>$E$79*비용집행계획!AJ77</f>
        <v>0</v>
      </c>
      <c r="AP79" s="1057">
        <f>$E$79*비용집행계획!AK77</f>
        <v>0</v>
      </c>
      <c r="AQ79" s="1057">
        <f>$E$79*비용집행계획!AL77</f>
        <v>0</v>
      </c>
      <c r="AR79" s="1057">
        <f>$E$79*비용집행계획!AM77</f>
        <v>0</v>
      </c>
      <c r="AS79" s="1057">
        <f>$E$79*비용집행계획!AN77</f>
        <v>0</v>
      </c>
      <c r="AT79" s="1057">
        <f>$E$79*비용집행계획!AO77</f>
        <v>0</v>
      </c>
      <c r="AU79" s="1057">
        <f>$E$79*비용집행계획!AP77</f>
        <v>0</v>
      </c>
      <c r="AV79" s="1057">
        <f>$E$79*비용집행계획!AQ77</f>
        <v>0</v>
      </c>
      <c r="AW79" s="1057">
        <f>$E$79*비용집행계획!AR77</f>
        <v>0</v>
      </c>
      <c r="AX79" s="1057">
        <f>$E$79*비용집행계획!AS77</f>
        <v>0</v>
      </c>
      <c r="AY79" s="1057">
        <f>$E$79*비용집행계획!AT77</f>
        <v>0</v>
      </c>
      <c r="AZ79" s="1057">
        <f>$E$79*비용집행계획!AU77</f>
        <v>0</v>
      </c>
      <c r="BA79" s="1057">
        <f>$E$79*비용집행계획!AV77</f>
        <v>0</v>
      </c>
      <c r="BB79" s="1057">
        <f>$E$79*비용집행계획!AW77</f>
        <v>0</v>
      </c>
      <c r="BC79" s="1057">
        <f>$E$79*비용집행계획!AX77</f>
        <v>0</v>
      </c>
      <c r="BD79" s="1057">
        <f>$E$79*비용집행계획!AY77</f>
        <v>0</v>
      </c>
      <c r="BE79" s="1057">
        <f>$E$79*비용집행계획!AZ77</f>
        <v>0</v>
      </c>
      <c r="BF79" s="1057">
        <f>$E$79*비용집행계획!BA77</f>
        <v>0</v>
      </c>
      <c r="BG79" s="1057">
        <f>$E$79*비용집행계획!BB77</f>
        <v>0</v>
      </c>
      <c r="BH79" s="1057">
        <f>$E$79*비용집행계획!BC77</f>
        <v>0</v>
      </c>
      <c r="BI79" s="1057">
        <f>$E$79*비용집행계획!BD77</f>
        <v>0</v>
      </c>
      <c r="BJ79" s="1057">
        <f>$E$79*비용집행계획!BE77</f>
        <v>0</v>
      </c>
      <c r="BK79" s="1057">
        <f>$E$79*비용집행계획!BF77</f>
        <v>0</v>
      </c>
      <c r="BL79" s="1057">
        <f>$E$79*비용집행계획!BG77</f>
        <v>0</v>
      </c>
      <c r="BM79" s="1057">
        <f>$E$79*비용집행계획!BH77</f>
        <v>0</v>
      </c>
      <c r="BN79" s="1057">
        <f>$E$79*비용집행계획!BI77</f>
        <v>0</v>
      </c>
      <c r="BO79" s="1057">
        <f>$E$79*비용집행계획!BJ77</f>
        <v>0</v>
      </c>
      <c r="BP79" s="1057">
        <f>$E$79*비용집행계획!BK77</f>
        <v>0</v>
      </c>
      <c r="BQ79" s="1057">
        <f>$E$79*비용집행계획!BL77</f>
        <v>0</v>
      </c>
      <c r="BR79" s="1057">
        <f>$E$79*비용집행계획!BM77</f>
        <v>0</v>
      </c>
      <c r="BS79" s="1057">
        <f>$E$79*비용집행계획!BN77</f>
        <v>0</v>
      </c>
      <c r="BT79" s="1057">
        <f>$E$79*비용집행계획!BO77</f>
        <v>0</v>
      </c>
      <c r="BU79" s="1057">
        <f>$E$79*비용집행계획!BP77</f>
        <v>0</v>
      </c>
      <c r="BV79" s="1057">
        <f>$E$79*비용집행계획!BQ77</f>
        <v>219599.99999999948</v>
      </c>
      <c r="BW79" s="1057">
        <f>$E$79*비용집행계획!BR77</f>
        <v>0</v>
      </c>
      <c r="BX79" s="1057">
        <f>$E$79*비용집행계획!BS77</f>
        <v>0</v>
      </c>
      <c r="BY79" s="1074" t="str">
        <f t="shared" si="98"/>
        <v>분양수수료(공동주택)</v>
      </c>
      <c r="BZ79" s="1106">
        <f t="shared" si="99"/>
        <v>2195999.9999999995</v>
      </c>
      <c r="CA79" s="1111" t="b">
        <f t="shared" si="97"/>
        <v>1</v>
      </c>
    </row>
    <row r="80" spans="2:89" s="1038" customFormat="1" ht="15.6">
      <c r="B80" s="1103" t="str">
        <f>'사업수지표 '!C65</f>
        <v>분양수수료(도생)</v>
      </c>
      <c r="C80" s="1892"/>
      <c r="D80" s="1125"/>
      <c r="E80" s="1105">
        <f>'사업수지표 '!E65:E65</f>
        <v>0</v>
      </c>
      <c r="F80" s="1058" t="b">
        <f t="shared" si="87"/>
        <v>1</v>
      </c>
      <c r="G80" s="1056"/>
      <c r="H80" s="1057"/>
      <c r="I80" s="1057"/>
      <c r="J80" s="1057">
        <f>$E$80*비용집행계획!E78</f>
        <v>0</v>
      </c>
      <c r="K80" s="1057">
        <f>$E$80*비용집행계획!F78</f>
        <v>0</v>
      </c>
      <c r="L80" s="1057">
        <f>$E$80*비용집행계획!G78</f>
        <v>0</v>
      </c>
      <c r="M80" s="1057">
        <f>$E$80*비용집행계획!H78</f>
        <v>0</v>
      </c>
      <c r="N80" s="1057">
        <f>$E$80*비용집행계획!I78</f>
        <v>0</v>
      </c>
      <c r="O80" s="1057">
        <f>$E$80*비용집행계획!J78</f>
        <v>0</v>
      </c>
      <c r="P80" s="1057">
        <f>$E$80*비용집행계획!K78</f>
        <v>0</v>
      </c>
      <c r="Q80" s="1057">
        <f>$E$80*비용집행계획!L78</f>
        <v>0</v>
      </c>
      <c r="R80" s="1057">
        <f>$E$80*비용집행계획!M78</f>
        <v>0</v>
      </c>
      <c r="S80" s="1057">
        <f>$E$80*비용집행계획!N78</f>
        <v>0</v>
      </c>
      <c r="T80" s="1057">
        <f>$E$80*비용집행계획!O78</f>
        <v>0</v>
      </c>
      <c r="U80" s="1057">
        <f>$E$80*비용집행계획!P78</f>
        <v>0</v>
      </c>
      <c r="V80" s="1057">
        <f>$E$80*비용집행계획!Q78</f>
        <v>0</v>
      </c>
      <c r="W80" s="1057">
        <f>$E$80*비용집행계획!R78</f>
        <v>0</v>
      </c>
      <c r="X80" s="1057">
        <f>$E$80*비용집행계획!S78</f>
        <v>0</v>
      </c>
      <c r="Y80" s="1057">
        <f>$E$80*비용집행계획!T78</f>
        <v>0</v>
      </c>
      <c r="Z80" s="1057">
        <f>$E$80*비용집행계획!U78</f>
        <v>0</v>
      </c>
      <c r="AA80" s="1057">
        <f>$E$80*비용집행계획!V78</f>
        <v>0</v>
      </c>
      <c r="AB80" s="1057">
        <f>$E$80*비용집행계획!W78</f>
        <v>0</v>
      </c>
      <c r="AC80" s="1057">
        <f>$E$80*비용집행계획!X78</f>
        <v>0</v>
      </c>
      <c r="AD80" s="1057">
        <f>$E$80*비용집행계획!Y78</f>
        <v>0</v>
      </c>
      <c r="AE80" s="1057">
        <f>$E$80*비용집행계획!Z78</f>
        <v>0</v>
      </c>
      <c r="AF80" s="1057">
        <f>$E$80*비용집행계획!AA78</f>
        <v>0</v>
      </c>
      <c r="AG80" s="1057">
        <f>$E$80*비용집행계획!AB78</f>
        <v>0</v>
      </c>
      <c r="AH80" s="1057">
        <f>$E$80*비용집행계획!AC78</f>
        <v>0</v>
      </c>
      <c r="AI80" s="1057">
        <f>$E$80*비용집행계획!AD78</f>
        <v>0</v>
      </c>
      <c r="AJ80" s="1057">
        <f>$E$80*비용집행계획!AE78</f>
        <v>0</v>
      </c>
      <c r="AK80" s="1057">
        <f>$E$80*비용집행계획!AF78</f>
        <v>0</v>
      </c>
      <c r="AL80" s="1057">
        <f>$E$80*비용집행계획!AG78</f>
        <v>0</v>
      </c>
      <c r="AM80" s="1057">
        <f>$E$80*비용집행계획!AH78</f>
        <v>0</v>
      </c>
      <c r="AN80" s="1057">
        <f>$E$80*비용집행계획!AI78</f>
        <v>0</v>
      </c>
      <c r="AO80" s="1057">
        <f>$E$80*비용집행계획!AJ78</f>
        <v>0</v>
      </c>
      <c r="AP80" s="1057">
        <f>$E$80*비용집행계획!AK78</f>
        <v>0</v>
      </c>
      <c r="AQ80" s="1057">
        <f>$E$80*비용집행계획!AL78</f>
        <v>0</v>
      </c>
      <c r="AR80" s="1057">
        <f>$E$80*비용집행계획!AM78</f>
        <v>0</v>
      </c>
      <c r="AS80" s="1057">
        <f>$E$80*비용집행계획!AN78</f>
        <v>0</v>
      </c>
      <c r="AT80" s="1057">
        <f>$E$80*비용집행계획!AO78</f>
        <v>0</v>
      </c>
      <c r="AU80" s="1057">
        <f>$E$80*비용집행계획!AP78</f>
        <v>0</v>
      </c>
      <c r="AV80" s="1057">
        <f>$E$80*비용집행계획!AQ78</f>
        <v>0</v>
      </c>
      <c r="AW80" s="1057">
        <f>$E$80*비용집행계획!AR78</f>
        <v>0</v>
      </c>
      <c r="AX80" s="1057">
        <f>$E$80*비용집행계획!AS78</f>
        <v>0</v>
      </c>
      <c r="AY80" s="1057">
        <f>$E$80*비용집행계획!AT78</f>
        <v>0</v>
      </c>
      <c r="AZ80" s="1057">
        <f>$E$80*비용집행계획!AU78</f>
        <v>0</v>
      </c>
      <c r="BA80" s="1057">
        <f>$E$80*비용집행계획!AV78</f>
        <v>0</v>
      </c>
      <c r="BB80" s="1057">
        <f>$E$80*비용집행계획!AW78</f>
        <v>0</v>
      </c>
      <c r="BC80" s="1057">
        <f>$E$80*비용집행계획!AX78</f>
        <v>0</v>
      </c>
      <c r="BD80" s="1057">
        <f>$E$80*비용집행계획!AY78</f>
        <v>0</v>
      </c>
      <c r="BE80" s="1057">
        <f>$E$80*비용집행계획!AZ78</f>
        <v>0</v>
      </c>
      <c r="BF80" s="1057">
        <f>$E$80*비용집행계획!BA78</f>
        <v>0</v>
      </c>
      <c r="BG80" s="1057">
        <f>$E$80*비용집행계획!BB78</f>
        <v>0</v>
      </c>
      <c r="BH80" s="1057">
        <f>$E$80*비용집행계획!BC78</f>
        <v>0</v>
      </c>
      <c r="BI80" s="1057">
        <f>$E$80*비용집행계획!BD78</f>
        <v>0</v>
      </c>
      <c r="BJ80" s="1057">
        <f>$E$80*비용집행계획!BE78</f>
        <v>0</v>
      </c>
      <c r="BK80" s="1057">
        <f>$E$80*비용집행계획!BF78</f>
        <v>0</v>
      </c>
      <c r="BL80" s="1057">
        <f>$E$80*비용집행계획!BG78</f>
        <v>0</v>
      </c>
      <c r="BM80" s="1057">
        <f>$E$80*비용집행계획!BH78</f>
        <v>0</v>
      </c>
      <c r="BN80" s="1057">
        <f>$E$80*비용집행계획!BI78</f>
        <v>0</v>
      </c>
      <c r="BO80" s="1057">
        <f>$E$80*비용집행계획!BJ78</f>
        <v>0</v>
      </c>
      <c r="BP80" s="1057">
        <f>$E$80*비용집행계획!BK78</f>
        <v>0</v>
      </c>
      <c r="BQ80" s="1057">
        <f>$E$80*비용집행계획!BL78</f>
        <v>0</v>
      </c>
      <c r="BR80" s="1057">
        <f>$E$80*비용집행계획!BM78</f>
        <v>0</v>
      </c>
      <c r="BS80" s="1057">
        <f>$E$80*비용집행계획!BN78</f>
        <v>0</v>
      </c>
      <c r="BT80" s="1057">
        <f>$E$80*비용집행계획!BO78</f>
        <v>0</v>
      </c>
      <c r="BU80" s="1057">
        <f>$E$80*비용집행계획!BP78</f>
        <v>0</v>
      </c>
      <c r="BV80" s="1057">
        <f>$E$80*비용집행계획!BQ78</f>
        <v>0</v>
      </c>
      <c r="BW80" s="1057">
        <f>$E$80*비용집행계획!BR78</f>
        <v>0</v>
      </c>
      <c r="BX80" s="1057">
        <f>$E$80*비용집행계획!BS78</f>
        <v>0</v>
      </c>
      <c r="BY80" s="1074" t="str">
        <f t="shared" si="98"/>
        <v>분양수수료(도생)</v>
      </c>
      <c r="BZ80" s="1106">
        <f t="shared" si="99"/>
        <v>0</v>
      </c>
      <c r="CA80" s="1111" t="b">
        <f t="shared" si="97"/>
        <v>1</v>
      </c>
    </row>
    <row r="81" spans="2:79" s="1038" customFormat="1" ht="15.6">
      <c r="B81" s="1103" t="str">
        <f>'사업수지표 '!C66</f>
        <v>분양수수료(오피스텔)</v>
      </c>
      <c r="C81" s="1892"/>
      <c r="D81" s="1104"/>
      <c r="E81" s="1105">
        <f>'사업수지표 '!E66:E66</f>
        <v>0</v>
      </c>
      <c r="F81" s="1058" t="b">
        <f t="shared" si="87"/>
        <v>1</v>
      </c>
      <c r="G81" s="1056"/>
      <c r="H81" s="1057"/>
      <c r="I81" s="1057"/>
      <c r="J81" s="1057">
        <f>$E$81*비용집행계획!E79</f>
        <v>0</v>
      </c>
      <c r="K81" s="1057">
        <f>$E$81*비용집행계획!F79</f>
        <v>0</v>
      </c>
      <c r="L81" s="1057">
        <f>$E$81*비용집행계획!G79</f>
        <v>0</v>
      </c>
      <c r="M81" s="1057">
        <f>$E$81*비용집행계획!H79</f>
        <v>0</v>
      </c>
      <c r="N81" s="1057">
        <f>$E$81*비용집행계획!I79</f>
        <v>0</v>
      </c>
      <c r="O81" s="1057">
        <f>$E$81*비용집행계획!J79</f>
        <v>0</v>
      </c>
      <c r="P81" s="1057">
        <f>$E$81*비용집행계획!K79</f>
        <v>0</v>
      </c>
      <c r="Q81" s="1057">
        <f>$E$81*비용집행계획!L79</f>
        <v>0</v>
      </c>
      <c r="R81" s="1057">
        <f>$E$81*비용집행계획!M79</f>
        <v>0</v>
      </c>
      <c r="S81" s="1057">
        <f>$E$81*비용집행계획!N79</f>
        <v>0</v>
      </c>
      <c r="T81" s="1057">
        <f>$E$81*비용집행계획!O79</f>
        <v>0</v>
      </c>
      <c r="U81" s="1057">
        <f>$E$81*비용집행계획!P79</f>
        <v>0</v>
      </c>
      <c r="V81" s="1057">
        <f>$E$81*비용집행계획!Q79</f>
        <v>0</v>
      </c>
      <c r="W81" s="1057">
        <f>$E$81*비용집행계획!R79</f>
        <v>0</v>
      </c>
      <c r="X81" s="1057">
        <f>$E$81*비용집행계획!S79</f>
        <v>0</v>
      </c>
      <c r="Y81" s="1057">
        <f>$E$81*비용집행계획!T79</f>
        <v>0</v>
      </c>
      <c r="Z81" s="1057">
        <f>$E$81*비용집행계획!U79</f>
        <v>0</v>
      </c>
      <c r="AA81" s="1057">
        <f>$E$81*비용집행계획!V79</f>
        <v>0</v>
      </c>
      <c r="AB81" s="1057">
        <f>$E$81*비용집행계획!W79</f>
        <v>0</v>
      </c>
      <c r="AC81" s="1057">
        <f>$E$81*비용집행계획!X79</f>
        <v>0</v>
      </c>
      <c r="AD81" s="1057">
        <f>$E$81*비용집행계획!Y79</f>
        <v>0</v>
      </c>
      <c r="AE81" s="1057">
        <f>$E$81*비용집행계획!Z79</f>
        <v>0</v>
      </c>
      <c r="AF81" s="1057">
        <f>$E$81*비용집행계획!AA79</f>
        <v>0</v>
      </c>
      <c r="AG81" s="1057">
        <f>$E$81*비용집행계획!AB79</f>
        <v>0</v>
      </c>
      <c r="AH81" s="1057">
        <f>$E$81*비용집행계획!AC79</f>
        <v>0</v>
      </c>
      <c r="AI81" s="1057">
        <f>$E$81*비용집행계획!AD79</f>
        <v>0</v>
      </c>
      <c r="AJ81" s="1057">
        <f>$E$81*비용집행계획!AE79</f>
        <v>0</v>
      </c>
      <c r="AK81" s="1057">
        <f>$E$81*비용집행계획!AF79</f>
        <v>0</v>
      </c>
      <c r="AL81" s="1057">
        <f>$E$81*비용집행계획!AG79</f>
        <v>0</v>
      </c>
      <c r="AM81" s="1057">
        <f>$E$81*비용집행계획!AH79</f>
        <v>0</v>
      </c>
      <c r="AN81" s="1057">
        <f>$E$81*비용집행계획!AI79</f>
        <v>0</v>
      </c>
      <c r="AO81" s="1057">
        <f>$E$81*비용집행계획!AJ79</f>
        <v>0</v>
      </c>
      <c r="AP81" s="1057">
        <f>$E$81*비용집행계획!AK79</f>
        <v>0</v>
      </c>
      <c r="AQ81" s="1057">
        <f>$E$81*비용집행계획!AL79</f>
        <v>0</v>
      </c>
      <c r="AR81" s="1057">
        <f>$E$81*비용집행계획!AM79</f>
        <v>0</v>
      </c>
      <c r="AS81" s="1057">
        <f>$E$81*비용집행계획!AN79</f>
        <v>0</v>
      </c>
      <c r="AT81" s="1057">
        <f>$E$81*비용집행계획!AO79</f>
        <v>0</v>
      </c>
      <c r="AU81" s="1057">
        <f>$E$81*비용집행계획!AP79</f>
        <v>0</v>
      </c>
      <c r="AV81" s="1057">
        <f>$E$81*비용집행계획!AQ79</f>
        <v>0</v>
      </c>
      <c r="AW81" s="1057">
        <f>$E$81*비용집행계획!AR79</f>
        <v>0</v>
      </c>
      <c r="AX81" s="1057">
        <f>$E$81*비용집행계획!AS79</f>
        <v>0</v>
      </c>
      <c r="AY81" s="1057">
        <f>$E$81*비용집행계획!AT79</f>
        <v>0</v>
      </c>
      <c r="AZ81" s="1057">
        <f>$E$81*비용집행계획!AU79</f>
        <v>0</v>
      </c>
      <c r="BA81" s="1057">
        <f>$E$81*비용집행계획!AV79</f>
        <v>0</v>
      </c>
      <c r="BB81" s="1057">
        <f>$E$81*비용집행계획!AW79</f>
        <v>0</v>
      </c>
      <c r="BC81" s="1057">
        <f>$E$81*비용집행계획!AX79</f>
        <v>0</v>
      </c>
      <c r="BD81" s="1057">
        <f>$E$81*비용집행계획!AY79</f>
        <v>0</v>
      </c>
      <c r="BE81" s="1057">
        <f>$E$81*비용집행계획!AZ79</f>
        <v>0</v>
      </c>
      <c r="BF81" s="1057">
        <f>$E$81*비용집행계획!BA79</f>
        <v>0</v>
      </c>
      <c r="BG81" s="1057">
        <f>$E$81*비용집행계획!BB79</f>
        <v>0</v>
      </c>
      <c r="BH81" s="1057">
        <f>$E$81*비용집행계획!BC79</f>
        <v>0</v>
      </c>
      <c r="BI81" s="1057">
        <f>$E$81*비용집행계획!BD79</f>
        <v>0</v>
      </c>
      <c r="BJ81" s="1057">
        <f>$E$81*비용집행계획!BE79</f>
        <v>0</v>
      </c>
      <c r="BK81" s="1057">
        <f>$E$81*비용집행계획!BF79</f>
        <v>0</v>
      </c>
      <c r="BL81" s="1057">
        <f>$E$81*비용집행계획!BG79</f>
        <v>0</v>
      </c>
      <c r="BM81" s="1057">
        <f>$E$81*비용집행계획!BH79</f>
        <v>0</v>
      </c>
      <c r="BN81" s="1057">
        <f>$E$81*비용집행계획!BI79</f>
        <v>0</v>
      </c>
      <c r="BO81" s="1057">
        <f>$E$81*비용집행계획!BJ79</f>
        <v>0</v>
      </c>
      <c r="BP81" s="1057">
        <f>$E$81*비용집행계획!BK79</f>
        <v>0</v>
      </c>
      <c r="BQ81" s="1057">
        <f>$E$81*비용집행계획!BL79</f>
        <v>0</v>
      </c>
      <c r="BR81" s="1057">
        <f>$E$81*비용집행계획!BM79</f>
        <v>0</v>
      </c>
      <c r="BS81" s="1057">
        <f>$E$81*비용집행계획!BN79</f>
        <v>0</v>
      </c>
      <c r="BT81" s="1057">
        <f>$E$81*비용집행계획!BO79</f>
        <v>0</v>
      </c>
      <c r="BU81" s="1057">
        <f>$E$81*비용집행계획!BP79</f>
        <v>0</v>
      </c>
      <c r="BV81" s="1057">
        <f>$E$81*비용집행계획!BQ79</f>
        <v>0</v>
      </c>
      <c r="BW81" s="1057">
        <f>$E$81*비용집행계획!BR79</f>
        <v>0</v>
      </c>
      <c r="BX81" s="1057">
        <f>$E$81*비용집행계획!BS79</f>
        <v>0</v>
      </c>
      <c r="BY81" s="1074" t="str">
        <f t="shared" si="98"/>
        <v>분양수수료(오피스텔)</v>
      </c>
      <c r="BZ81" s="1106">
        <f t="shared" si="99"/>
        <v>0</v>
      </c>
      <c r="CA81" s="1111" t="b">
        <f t="shared" si="97"/>
        <v>1</v>
      </c>
    </row>
    <row r="82" spans="2:79" s="1038" customFormat="1" ht="15.6">
      <c r="B82" s="1103" t="str">
        <f>'사업수지표 '!C67</f>
        <v>분양수수료(기타분양)</v>
      </c>
      <c r="C82" s="1892"/>
      <c r="D82" s="1104"/>
      <c r="E82" s="1105">
        <f>'사업수지표 '!E67:E67</f>
        <v>0</v>
      </c>
      <c r="F82" s="1058" t="b">
        <f t="shared" si="87"/>
        <v>1</v>
      </c>
      <c r="G82" s="1056"/>
      <c r="H82" s="1057"/>
      <c r="I82" s="1057"/>
      <c r="J82" s="1057">
        <f>$E$82*비용집행계획!E80</f>
        <v>0</v>
      </c>
      <c r="K82" s="1057">
        <f>$E$82*비용집행계획!F80</f>
        <v>0</v>
      </c>
      <c r="L82" s="1057">
        <f>$E$82*비용집행계획!G80</f>
        <v>0</v>
      </c>
      <c r="M82" s="1057">
        <f>$E$82*비용집행계획!H80</f>
        <v>0</v>
      </c>
      <c r="N82" s="1057">
        <f>$E$82*비용집행계획!I80</f>
        <v>0</v>
      </c>
      <c r="O82" s="1057">
        <f>$E$82*비용집행계획!J80</f>
        <v>0</v>
      </c>
      <c r="P82" s="1057">
        <f>$E$82*비용집행계획!K80</f>
        <v>0</v>
      </c>
      <c r="Q82" s="1057">
        <f>$E$82*비용집행계획!L80</f>
        <v>0</v>
      </c>
      <c r="R82" s="1057">
        <f>$E$82*비용집행계획!M80</f>
        <v>0</v>
      </c>
      <c r="S82" s="1057">
        <f>$E$82*비용집행계획!N80</f>
        <v>0</v>
      </c>
      <c r="T82" s="1057">
        <f>$E$82*비용집행계획!O80</f>
        <v>0</v>
      </c>
      <c r="U82" s="1057">
        <f>$E$82*비용집행계획!P80</f>
        <v>0</v>
      </c>
      <c r="V82" s="1057">
        <f>$E$82*비용집행계획!Q80</f>
        <v>0</v>
      </c>
      <c r="W82" s="1057">
        <f>$E$82*비용집행계획!R80</f>
        <v>0</v>
      </c>
      <c r="X82" s="1057">
        <f>$E$82*비용집행계획!S80</f>
        <v>0</v>
      </c>
      <c r="Y82" s="1057">
        <f>$E$82*비용집행계획!T80</f>
        <v>0</v>
      </c>
      <c r="Z82" s="1057">
        <f>$E$82*비용집행계획!U80</f>
        <v>0</v>
      </c>
      <c r="AA82" s="1057">
        <f>$E$82*비용집행계획!V80</f>
        <v>0</v>
      </c>
      <c r="AB82" s="1057">
        <f>$E$82*비용집행계획!W80</f>
        <v>0</v>
      </c>
      <c r="AC82" s="1057">
        <f>$E$82*비용집행계획!X80</f>
        <v>0</v>
      </c>
      <c r="AD82" s="1057">
        <f>$E$82*비용집행계획!Y80</f>
        <v>0</v>
      </c>
      <c r="AE82" s="1057">
        <f>$E$82*비용집행계획!Z80</f>
        <v>0</v>
      </c>
      <c r="AF82" s="1057">
        <f>$E$82*비용집행계획!AA80</f>
        <v>0</v>
      </c>
      <c r="AG82" s="1057">
        <f>$E$82*비용집행계획!AB80</f>
        <v>0</v>
      </c>
      <c r="AH82" s="1057">
        <f>$E$82*비용집행계획!AC80</f>
        <v>0</v>
      </c>
      <c r="AI82" s="1057">
        <f>$E$82*비용집행계획!AD80</f>
        <v>0</v>
      </c>
      <c r="AJ82" s="1057">
        <f>$E$82*비용집행계획!AE80</f>
        <v>0</v>
      </c>
      <c r="AK82" s="1057">
        <f>$E$82*비용집행계획!AF80</f>
        <v>0</v>
      </c>
      <c r="AL82" s="1057">
        <f>$E$82*비용집행계획!AG80</f>
        <v>0</v>
      </c>
      <c r="AM82" s="1057">
        <f>$E$82*비용집행계획!AH80</f>
        <v>0</v>
      </c>
      <c r="AN82" s="1057">
        <f>$E$82*비용집행계획!AI80</f>
        <v>0</v>
      </c>
      <c r="AO82" s="1057">
        <f>$E$82*비용집행계획!AJ80</f>
        <v>0</v>
      </c>
      <c r="AP82" s="1057">
        <f>$E$82*비용집행계획!AK80</f>
        <v>0</v>
      </c>
      <c r="AQ82" s="1057">
        <f>$E$82*비용집행계획!AL80</f>
        <v>0</v>
      </c>
      <c r="AR82" s="1057">
        <f>$E$82*비용집행계획!AM80</f>
        <v>0</v>
      </c>
      <c r="AS82" s="1057">
        <f>$E$82*비용집행계획!AN80</f>
        <v>0</v>
      </c>
      <c r="AT82" s="1057">
        <f>$E$82*비용집행계획!AO80</f>
        <v>0</v>
      </c>
      <c r="AU82" s="1057">
        <f>$E$82*비용집행계획!AP80</f>
        <v>0</v>
      </c>
      <c r="AV82" s="1057">
        <f>$E$82*비용집행계획!AQ80</f>
        <v>0</v>
      </c>
      <c r="AW82" s="1057">
        <f>$E$82*비용집행계획!AR80</f>
        <v>0</v>
      </c>
      <c r="AX82" s="1057">
        <f>$E$82*비용집행계획!AS80</f>
        <v>0</v>
      </c>
      <c r="AY82" s="1057">
        <f>$E$82*비용집행계획!AT80</f>
        <v>0</v>
      </c>
      <c r="AZ82" s="1057">
        <f>$E$82*비용집행계획!AU80</f>
        <v>0</v>
      </c>
      <c r="BA82" s="1057">
        <f>$E$82*비용집행계획!AV80</f>
        <v>0</v>
      </c>
      <c r="BB82" s="1057">
        <f>$E$82*비용집행계획!AW80</f>
        <v>0</v>
      </c>
      <c r="BC82" s="1057">
        <f>$E$82*비용집행계획!AX80</f>
        <v>0</v>
      </c>
      <c r="BD82" s="1057">
        <f>$E$82*비용집행계획!AY80</f>
        <v>0</v>
      </c>
      <c r="BE82" s="1057">
        <f>$E$82*비용집행계획!AZ80</f>
        <v>0</v>
      </c>
      <c r="BF82" s="1057">
        <f>$E$82*비용집행계획!BA80</f>
        <v>0</v>
      </c>
      <c r="BG82" s="1057">
        <f>$E$82*비용집행계획!BB80</f>
        <v>0</v>
      </c>
      <c r="BH82" s="1057">
        <f>$E$82*비용집행계획!BC80</f>
        <v>0</v>
      </c>
      <c r="BI82" s="1057">
        <f>$E$82*비용집행계획!BD80</f>
        <v>0</v>
      </c>
      <c r="BJ82" s="1057">
        <f>$E$82*비용집행계획!BE80</f>
        <v>0</v>
      </c>
      <c r="BK82" s="1057">
        <f>$E$82*비용집행계획!BF80</f>
        <v>0</v>
      </c>
      <c r="BL82" s="1057">
        <f>$E$82*비용집행계획!BG80</f>
        <v>0</v>
      </c>
      <c r="BM82" s="1057">
        <f>$E$82*비용집행계획!BH80</f>
        <v>0</v>
      </c>
      <c r="BN82" s="1057">
        <f>$E$82*비용집행계획!BI80</f>
        <v>0</v>
      </c>
      <c r="BO82" s="1057">
        <f>$E$82*비용집행계획!BJ80</f>
        <v>0</v>
      </c>
      <c r="BP82" s="1057">
        <f>$E$82*비용집행계획!BK80</f>
        <v>0</v>
      </c>
      <c r="BQ82" s="1057">
        <f>$E$82*비용집행계획!BL80</f>
        <v>0</v>
      </c>
      <c r="BR82" s="1057">
        <f>$E$82*비용집행계획!BM80</f>
        <v>0</v>
      </c>
      <c r="BS82" s="1057">
        <f>$E$82*비용집행계획!BN80</f>
        <v>0</v>
      </c>
      <c r="BT82" s="1057">
        <f>$E$82*비용집행계획!BO80</f>
        <v>0</v>
      </c>
      <c r="BU82" s="1057">
        <f>$E$82*비용집행계획!BP80</f>
        <v>0</v>
      </c>
      <c r="BV82" s="1057">
        <f>$E$82*비용집행계획!BQ80</f>
        <v>0</v>
      </c>
      <c r="BW82" s="1057">
        <f>$E$82*비용집행계획!BR80</f>
        <v>0</v>
      </c>
      <c r="BX82" s="1057">
        <f>$E$82*비용집행계획!BS80</f>
        <v>0</v>
      </c>
      <c r="BY82" s="1074" t="str">
        <f t="shared" si="98"/>
        <v>분양수수료(기타분양)</v>
      </c>
      <c r="BZ82" s="1106">
        <f t="shared" si="99"/>
        <v>0</v>
      </c>
      <c r="CA82" s="1111" t="b">
        <f t="shared" si="97"/>
        <v>1</v>
      </c>
    </row>
    <row r="83" spans="2:79" s="1038" customFormat="1" ht="15.6">
      <c r="B83" s="1103" t="str">
        <f>'사업수지표 '!C68</f>
        <v>분양수수료(상가)</v>
      </c>
      <c r="C83" s="1892"/>
      <c r="D83" s="1125"/>
      <c r="E83" s="1105">
        <f>'사업수지표 '!E68:E68</f>
        <v>95832</v>
      </c>
      <c r="F83" s="1058" t="b">
        <f>CA83</f>
        <v>1</v>
      </c>
      <c r="G83" s="1056"/>
      <c r="H83" s="1057"/>
      <c r="I83" s="1057"/>
      <c r="J83" s="1057">
        <f>$E$83*비용집행계획!E81</f>
        <v>0</v>
      </c>
      <c r="K83" s="1057">
        <f>$E$83*비용집행계획!F81</f>
        <v>0</v>
      </c>
      <c r="L83" s="1057">
        <f>$E$83*비용집행계획!G81</f>
        <v>0</v>
      </c>
      <c r="M83" s="1057">
        <f>$E$83*비용집행계획!H81</f>
        <v>0</v>
      </c>
      <c r="N83" s="1057">
        <f>$E$83*비용집행계획!I81</f>
        <v>0</v>
      </c>
      <c r="O83" s="1057">
        <f>$E$83*비용집행계획!J81</f>
        <v>0</v>
      </c>
      <c r="P83" s="1057">
        <f>$E$83*비용집행계획!K81</f>
        <v>0</v>
      </c>
      <c r="Q83" s="1057">
        <f>$E$83*비용집행계획!L81</f>
        <v>0</v>
      </c>
      <c r="R83" s="1057">
        <f>$E$83*비용집행계획!M81</f>
        <v>0</v>
      </c>
      <c r="S83" s="1057">
        <f>$E$83*비용집행계획!N81</f>
        <v>0</v>
      </c>
      <c r="T83" s="1057">
        <f>$E$83*비용집행계획!O81</f>
        <v>0</v>
      </c>
      <c r="U83" s="1057">
        <f>$E$83*비용집행계획!P81</f>
        <v>0</v>
      </c>
      <c r="V83" s="1057">
        <f>$E$83*비용집행계획!Q81</f>
        <v>0</v>
      </c>
      <c r="W83" s="1057">
        <f>$E$83*비용집행계획!R81</f>
        <v>0</v>
      </c>
      <c r="X83" s="1057">
        <f>$E$83*비용집행계획!S81</f>
        <v>0</v>
      </c>
      <c r="Y83" s="1057">
        <f>$E$83*비용집행계획!T81</f>
        <v>0</v>
      </c>
      <c r="Z83" s="1057">
        <f>$E$83*비용집행계획!U81</f>
        <v>0</v>
      </c>
      <c r="AA83" s="1057">
        <f>$E$83*비용집행계획!V81</f>
        <v>0</v>
      </c>
      <c r="AB83" s="1057">
        <f>$E$83*비용집행계획!W81</f>
        <v>0</v>
      </c>
      <c r="AC83" s="1057">
        <f>$E$83*비용집행계획!X81</f>
        <v>0</v>
      </c>
      <c r="AD83" s="1057">
        <f>$E$83*비용집행계획!Y81</f>
        <v>0</v>
      </c>
      <c r="AE83" s="1057">
        <f>$E$83*비용집행계획!Z81</f>
        <v>0</v>
      </c>
      <c r="AF83" s="1057">
        <f>$E$83*비용집행계획!AA81</f>
        <v>0</v>
      </c>
      <c r="AG83" s="1057">
        <f>$E$83*비용집행계획!AB81</f>
        <v>0</v>
      </c>
      <c r="AH83" s="1057">
        <f>$E$83*비용집행계획!AC81</f>
        <v>0</v>
      </c>
      <c r="AI83" s="1057">
        <f>$E$83*비용집행계획!AD81</f>
        <v>0</v>
      </c>
      <c r="AJ83" s="1057">
        <f>$E$83*비용집행계획!AE81</f>
        <v>0</v>
      </c>
      <c r="AK83" s="1057">
        <f>$E$83*비용집행계획!AF81</f>
        <v>0</v>
      </c>
      <c r="AL83" s="1057">
        <f>$E$83*비용집행계획!AG81</f>
        <v>17249.760000000002</v>
      </c>
      <c r="AM83" s="1057">
        <f>$E$83*비용집행계획!AH81</f>
        <v>0</v>
      </c>
      <c r="AN83" s="1057">
        <f>$E$83*비용집행계획!AI81</f>
        <v>17249.760000000002</v>
      </c>
      <c r="AO83" s="1057">
        <f>$E$83*비용집행계획!AJ81</f>
        <v>0</v>
      </c>
      <c r="AP83" s="1057">
        <f>$E$83*비용집행계획!AK81</f>
        <v>25874.640000000003</v>
      </c>
      <c r="AQ83" s="1057">
        <f>$E$83*비용집행계획!AL81</f>
        <v>0</v>
      </c>
      <c r="AR83" s="1057">
        <f>$E$83*비용집행계획!AM81</f>
        <v>0</v>
      </c>
      <c r="AS83" s="1057">
        <f>$E$83*비용집행계획!AN81</f>
        <v>0</v>
      </c>
      <c r="AT83" s="1057">
        <f>$E$83*비용집행계획!AO81</f>
        <v>0</v>
      </c>
      <c r="AU83" s="1057">
        <f>$E$83*비용집행계획!AP81</f>
        <v>0</v>
      </c>
      <c r="AV83" s="1057">
        <f>$E$83*비용집행계획!AQ81</f>
        <v>0</v>
      </c>
      <c r="AW83" s="1057">
        <f>$E$83*비용집행계획!AR81</f>
        <v>0</v>
      </c>
      <c r="AX83" s="1057">
        <f>$E$83*비용집행계획!AS81</f>
        <v>0</v>
      </c>
      <c r="AY83" s="1057">
        <f>$E$83*비용집행계획!AT81</f>
        <v>0</v>
      </c>
      <c r="AZ83" s="1057">
        <f>$E$83*비용집행계획!AU81</f>
        <v>0</v>
      </c>
      <c r="BA83" s="1057">
        <f>$E$83*비용집행계획!AV81</f>
        <v>0</v>
      </c>
      <c r="BB83" s="1057">
        <f>$E$83*비용집행계획!AW81</f>
        <v>0</v>
      </c>
      <c r="BC83" s="1057">
        <f>$E$83*비용집행계획!AX81</f>
        <v>0</v>
      </c>
      <c r="BD83" s="1057">
        <f>$E$83*비용집행계획!AY81</f>
        <v>0</v>
      </c>
      <c r="BE83" s="1057">
        <f>$E$83*비용집행계획!AZ81</f>
        <v>0</v>
      </c>
      <c r="BF83" s="1057">
        <f>$E$83*비용집행계획!BA81</f>
        <v>0</v>
      </c>
      <c r="BG83" s="1057">
        <f>$E$83*비용집행계획!BB81</f>
        <v>0</v>
      </c>
      <c r="BH83" s="1057">
        <f>$E$83*비용집행계획!BC81</f>
        <v>0</v>
      </c>
      <c r="BI83" s="1057">
        <f>$E$83*비용집행계획!BD81</f>
        <v>0</v>
      </c>
      <c r="BJ83" s="1057">
        <f>$E$83*비용집행계획!BE81</f>
        <v>0</v>
      </c>
      <c r="BK83" s="1057">
        <f>$E$83*비용집행계획!BF81</f>
        <v>0</v>
      </c>
      <c r="BL83" s="1057">
        <f>$E$83*비용집행계획!BG81</f>
        <v>0</v>
      </c>
      <c r="BM83" s="1057">
        <f>$E$83*비용집행계획!BH81</f>
        <v>0</v>
      </c>
      <c r="BN83" s="1057">
        <f>$E$83*비용집행계획!BI81</f>
        <v>0</v>
      </c>
      <c r="BO83" s="1057">
        <f>$E$83*비용집행계획!BJ81</f>
        <v>0</v>
      </c>
      <c r="BP83" s="1057">
        <f>$E$83*비용집행계획!BK81</f>
        <v>0</v>
      </c>
      <c r="BQ83" s="1057">
        <f>$E$83*비용집행계획!BL81</f>
        <v>0</v>
      </c>
      <c r="BR83" s="1057">
        <f>$E$83*비용집행계획!BM81</f>
        <v>0</v>
      </c>
      <c r="BS83" s="1057">
        <f>$E$83*비용집행계획!BN81</f>
        <v>0</v>
      </c>
      <c r="BT83" s="1057">
        <f>$E$83*비용집행계획!BO81</f>
        <v>0</v>
      </c>
      <c r="BU83" s="1057">
        <f>$E$83*비용집행계획!BP81</f>
        <v>0</v>
      </c>
      <c r="BV83" s="1057">
        <f>$E$83*비용집행계획!BQ81</f>
        <v>35457.839999999989</v>
      </c>
      <c r="BW83" s="1057">
        <f>$E$83*비용집행계획!BR81</f>
        <v>0</v>
      </c>
      <c r="BX83" s="1057">
        <f>$E$83*비용집행계획!BS81</f>
        <v>0</v>
      </c>
      <c r="BY83" s="1074" t="str">
        <f t="shared" si="98"/>
        <v>분양수수료(상가)</v>
      </c>
      <c r="BZ83" s="1106">
        <f t="shared" si="99"/>
        <v>95832</v>
      </c>
      <c r="CA83" s="1111" t="b">
        <f t="shared" si="97"/>
        <v>1</v>
      </c>
    </row>
    <row r="84" spans="2:79" s="1038" customFormat="1" ht="15.6">
      <c r="B84" s="1103" t="str">
        <f>'사업수지표 '!C69</f>
        <v>분양보증수수료</v>
      </c>
      <c r="C84" s="1892"/>
      <c r="D84" s="1125"/>
      <c r="E84" s="1105">
        <f>'사업수지표 '!E69:E69</f>
        <v>593445.24520875013</v>
      </c>
      <c r="F84" s="1058" t="b">
        <f>CA84</f>
        <v>1</v>
      </c>
      <c r="G84" s="1056"/>
      <c r="H84" s="1057"/>
      <c r="I84" s="1057"/>
      <c r="J84" s="1057">
        <f>$E$84*비용집행계획!E82</f>
        <v>0</v>
      </c>
      <c r="K84" s="1057">
        <f>$E$84*비용집행계획!F82</f>
        <v>0</v>
      </c>
      <c r="L84" s="1057">
        <f>$E$84*비용집행계획!G82</f>
        <v>0</v>
      </c>
      <c r="M84" s="1057">
        <f>$E$84*비용집행계획!H82</f>
        <v>0</v>
      </c>
      <c r="N84" s="1057">
        <f>$E$84*비용집행계획!I82</f>
        <v>593445.24520875013</v>
      </c>
      <c r="O84" s="1057">
        <f>$E$84*비용집행계획!J82</f>
        <v>0</v>
      </c>
      <c r="P84" s="1057">
        <f>$E$84*비용집행계획!K82</f>
        <v>0</v>
      </c>
      <c r="Q84" s="1057">
        <f>$E$84*비용집행계획!L82</f>
        <v>0</v>
      </c>
      <c r="R84" s="1057">
        <f>$E$84*비용집행계획!M82</f>
        <v>0</v>
      </c>
      <c r="S84" s="1057">
        <f>$E$84*비용집행계획!N82</f>
        <v>0</v>
      </c>
      <c r="T84" s="1057">
        <f>$E$84*비용집행계획!O82</f>
        <v>0</v>
      </c>
      <c r="U84" s="1057">
        <f>$E$84*비용집행계획!P82</f>
        <v>0</v>
      </c>
      <c r="V84" s="1057">
        <f>$E$84*비용집행계획!Q82</f>
        <v>0</v>
      </c>
      <c r="W84" s="1057">
        <f>$E$84*비용집행계획!R82</f>
        <v>0</v>
      </c>
      <c r="X84" s="1057">
        <f>$E$84*비용집행계획!S82</f>
        <v>0</v>
      </c>
      <c r="Y84" s="1057">
        <f>$E$84*비용집행계획!T82</f>
        <v>0</v>
      </c>
      <c r="Z84" s="1057">
        <f>$E$84*비용집행계획!U82</f>
        <v>0</v>
      </c>
      <c r="AA84" s="1057">
        <f>$E$84*비용집행계획!V82</f>
        <v>0</v>
      </c>
      <c r="AB84" s="1057">
        <f>$E$84*비용집행계획!W82</f>
        <v>0</v>
      </c>
      <c r="AC84" s="1057">
        <f>$E$84*비용집행계획!X82</f>
        <v>0</v>
      </c>
      <c r="AD84" s="1057">
        <f>$E$84*비용집행계획!Y82</f>
        <v>0</v>
      </c>
      <c r="AE84" s="1057">
        <f>$E$84*비용집행계획!Z82</f>
        <v>0</v>
      </c>
      <c r="AF84" s="1057">
        <f>$E$84*비용집행계획!AA82</f>
        <v>0</v>
      </c>
      <c r="AG84" s="1057">
        <f>$E$84*비용집행계획!AB82</f>
        <v>0</v>
      </c>
      <c r="AH84" s="1057">
        <f>$E$84*비용집행계획!AC82</f>
        <v>0</v>
      </c>
      <c r="AI84" s="1057">
        <f>$E$84*비용집행계획!AD82</f>
        <v>0</v>
      </c>
      <c r="AJ84" s="1057">
        <f>$E$84*비용집행계획!AE82</f>
        <v>0</v>
      </c>
      <c r="AK84" s="1057">
        <f>$E$84*비용집행계획!AF82</f>
        <v>0</v>
      </c>
      <c r="AL84" s="1057">
        <f>$E$84*비용집행계획!AG82</f>
        <v>0</v>
      </c>
      <c r="AM84" s="1057">
        <f>$E$84*비용집행계획!AH82</f>
        <v>0</v>
      </c>
      <c r="AN84" s="1057">
        <f>$E$84*비용집행계획!AI82</f>
        <v>0</v>
      </c>
      <c r="AO84" s="1057">
        <f>$E$84*비용집행계획!AJ82</f>
        <v>0</v>
      </c>
      <c r="AP84" s="1057">
        <f>$E$84*비용집행계획!AK82</f>
        <v>0</v>
      </c>
      <c r="AQ84" s="1057">
        <f>$E$84*비용집행계획!AL82</f>
        <v>0</v>
      </c>
      <c r="AR84" s="1057">
        <f>$E$84*비용집행계획!AM82</f>
        <v>0</v>
      </c>
      <c r="AS84" s="1057">
        <f>$E$84*비용집행계획!AN82</f>
        <v>0</v>
      </c>
      <c r="AT84" s="1057">
        <f>$E$84*비용집행계획!AO82</f>
        <v>0</v>
      </c>
      <c r="AU84" s="1057">
        <f>$E$84*비용집행계획!AP82</f>
        <v>0</v>
      </c>
      <c r="AV84" s="1057">
        <f>$E$84*비용집행계획!AQ82</f>
        <v>0</v>
      </c>
      <c r="AW84" s="1057">
        <f>$E$84*비용집행계획!AR82</f>
        <v>0</v>
      </c>
      <c r="AX84" s="1057">
        <f>$E$84*비용집행계획!AS82</f>
        <v>0</v>
      </c>
      <c r="AY84" s="1057">
        <f>$E$84*비용집행계획!AT82</f>
        <v>0</v>
      </c>
      <c r="AZ84" s="1057">
        <f>$E$84*비용집행계획!AU82</f>
        <v>0</v>
      </c>
      <c r="BA84" s="1057">
        <f>$E$84*비용집행계획!AV82</f>
        <v>0</v>
      </c>
      <c r="BB84" s="1057">
        <f>$E$84*비용집행계획!AW82</f>
        <v>0</v>
      </c>
      <c r="BC84" s="1057">
        <f>$E$84*비용집행계획!AX82</f>
        <v>0</v>
      </c>
      <c r="BD84" s="1057">
        <f>$E$84*비용집행계획!AY82</f>
        <v>0</v>
      </c>
      <c r="BE84" s="1057">
        <f>$E$84*비용집행계획!AZ82</f>
        <v>0</v>
      </c>
      <c r="BF84" s="1057">
        <f>$E$84*비용집행계획!BA82</f>
        <v>0</v>
      </c>
      <c r="BG84" s="1057">
        <f>$E$84*비용집행계획!BB82</f>
        <v>0</v>
      </c>
      <c r="BH84" s="1057">
        <f>$E$84*비용집행계획!BC82</f>
        <v>0</v>
      </c>
      <c r="BI84" s="1057">
        <f>$E$84*비용집행계획!BD82</f>
        <v>0</v>
      </c>
      <c r="BJ84" s="1057">
        <f>$E$84*비용집행계획!BE82</f>
        <v>0</v>
      </c>
      <c r="BK84" s="1057">
        <f>$E$84*비용집행계획!BF82</f>
        <v>0</v>
      </c>
      <c r="BL84" s="1057">
        <f>$E$84*비용집행계획!BG82</f>
        <v>0</v>
      </c>
      <c r="BM84" s="1057">
        <f>$E$84*비용집행계획!BH82</f>
        <v>0</v>
      </c>
      <c r="BN84" s="1057">
        <f>$E$84*비용집행계획!BI82</f>
        <v>0</v>
      </c>
      <c r="BO84" s="1057">
        <f>$E$84*비용집행계획!BJ82</f>
        <v>0</v>
      </c>
      <c r="BP84" s="1057">
        <f>$E$84*비용집행계획!BK82</f>
        <v>0</v>
      </c>
      <c r="BQ84" s="1057">
        <f>$E$84*비용집행계획!BL82</f>
        <v>0</v>
      </c>
      <c r="BR84" s="1057">
        <f>$E$84*비용집행계획!BM82</f>
        <v>0</v>
      </c>
      <c r="BS84" s="1057">
        <f>$E$84*비용집행계획!BN82</f>
        <v>0</v>
      </c>
      <c r="BT84" s="1057">
        <f>$E$84*비용집행계획!BO82</f>
        <v>0</v>
      </c>
      <c r="BU84" s="1057">
        <f>$E$84*비용집행계획!BP82</f>
        <v>0</v>
      </c>
      <c r="BV84" s="1057">
        <f>$E$84*비용집행계획!BQ82</f>
        <v>0</v>
      </c>
      <c r="BW84" s="1057">
        <f>$E$84*비용집행계획!BR82</f>
        <v>0</v>
      </c>
      <c r="BX84" s="1057">
        <f>$E$84*비용집행계획!BS82</f>
        <v>0</v>
      </c>
      <c r="BY84" s="1074" t="str">
        <f t="shared" si="98"/>
        <v>분양보증수수료</v>
      </c>
      <c r="BZ84" s="1106">
        <f t="shared" si="99"/>
        <v>593445.24520875013</v>
      </c>
      <c r="CA84" s="1111" t="b">
        <f t="shared" si="97"/>
        <v>1</v>
      </c>
    </row>
    <row r="85" spans="2:79" s="1038" customFormat="1" ht="15.6">
      <c r="B85" s="1103" t="str">
        <f>'사업수지표 '!C70</f>
        <v>광고비용</v>
      </c>
      <c r="C85" s="1892"/>
      <c r="D85" s="1125"/>
      <c r="E85" s="1105">
        <f>'사업수지표 '!E70:E70</f>
        <v>1582520.6538900004</v>
      </c>
      <c r="F85" s="1058" t="b">
        <f t="shared" si="87"/>
        <v>1</v>
      </c>
      <c r="G85" s="1056"/>
      <c r="H85" s="1057"/>
      <c r="I85" s="1057"/>
      <c r="J85" s="1057">
        <f>$E$85*비용집행계획!E83</f>
        <v>0</v>
      </c>
      <c r="K85" s="1057">
        <f>$E$85*비용집행계획!F83</f>
        <v>0</v>
      </c>
      <c r="L85" s="1057">
        <f>$E$85*비용집행계획!G83</f>
        <v>0</v>
      </c>
      <c r="M85" s="1057">
        <f>$E$85*비용집행계획!H83</f>
        <v>0</v>
      </c>
      <c r="N85" s="1057">
        <f>$E$85*비용집행계획!I83</f>
        <v>474756.1961670001</v>
      </c>
      <c r="O85" s="1057">
        <f>$E$85*비용집행계획!J83</f>
        <v>100705.85979300001</v>
      </c>
      <c r="P85" s="1057">
        <f>$E$85*비용집행계획!K83</f>
        <v>100705.85979300001</v>
      </c>
      <c r="Q85" s="1057">
        <f>$E$85*비용집행계획!L83</f>
        <v>100705.85979300001</v>
      </c>
      <c r="R85" s="1057">
        <f>$E$85*비용집행계획!M83</f>
        <v>100705.85979300001</v>
      </c>
      <c r="S85" s="1057">
        <f>$E$85*비용집행계획!N83</f>
        <v>100705.85979300001</v>
      </c>
      <c r="T85" s="1057">
        <f>$E$85*비용집행계획!O83</f>
        <v>100705.85979300001</v>
      </c>
      <c r="U85" s="1057">
        <f>$E$85*비용집행계획!P83</f>
        <v>100705.85979300001</v>
      </c>
      <c r="V85" s="1057">
        <f>$E$85*비용집행계획!Q83</f>
        <v>100705.85979300001</v>
      </c>
      <c r="W85" s="1057">
        <f>$E$85*비용집행계획!R83</f>
        <v>100705.85979300001</v>
      </c>
      <c r="X85" s="1057">
        <f>$E$85*비용집행계획!S83</f>
        <v>100705.85979300001</v>
      </c>
      <c r="Y85" s="1057">
        <f>$E$85*비용집행계획!T83</f>
        <v>100705.85979300001</v>
      </c>
      <c r="Z85" s="1057">
        <f>$E$85*비용집행계획!U83</f>
        <v>0</v>
      </c>
      <c r="AA85" s="1057">
        <f>$E$85*비용집행계획!V83</f>
        <v>0</v>
      </c>
      <c r="AB85" s="1057">
        <f>$E$85*비용집행계획!W83</f>
        <v>0</v>
      </c>
      <c r="AC85" s="1057">
        <f>$E$85*비용집행계획!X83</f>
        <v>0</v>
      </c>
      <c r="AD85" s="1057">
        <f>$E$85*비용집행계획!Y83</f>
        <v>0</v>
      </c>
      <c r="AE85" s="1057">
        <f>$E$85*비용집행계획!Z83</f>
        <v>0</v>
      </c>
      <c r="AF85" s="1057">
        <f>$E$85*비용집행계획!AA83</f>
        <v>0</v>
      </c>
      <c r="AG85" s="1057">
        <f>$E$85*비용집행계획!AB83</f>
        <v>0</v>
      </c>
      <c r="AH85" s="1057">
        <f>$E$85*비용집행계획!AC83</f>
        <v>0</v>
      </c>
      <c r="AI85" s="1057">
        <f>$E$85*비용집행계획!AD83</f>
        <v>0</v>
      </c>
      <c r="AJ85" s="1057">
        <f>$E$85*비용집행계획!AE83</f>
        <v>0</v>
      </c>
      <c r="AK85" s="1057">
        <f>$E$85*비용집행계획!AF83</f>
        <v>0</v>
      </c>
      <c r="AL85" s="1057">
        <f>$E$85*비용집행계획!AG83</f>
        <v>0</v>
      </c>
      <c r="AM85" s="1057">
        <f>$E$85*비용집행계획!AH83</f>
        <v>0</v>
      </c>
      <c r="AN85" s="1057">
        <f>$E$85*비용집행계획!AI83</f>
        <v>0</v>
      </c>
      <c r="AO85" s="1057">
        <f>$E$85*비용집행계획!AJ83</f>
        <v>0</v>
      </c>
      <c r="AP85" s="1057">
        <f>$E$85*비용집행계획!AK83</f>
        <v>0</v>
      </c>
      <c r="AQ85" s="1057">
        <f>$E$85*비용집행계획!AL83</f>
        <v>0</v>
      </c>
      <c r="AR85" s="1057">
        <f>$E$85*비용집행계획!AM83</f>
        <v>0</v>
      </c>
      <c r="AS85" s="1057">
        <f>$E$85*비용집행계획!AN83</f>
        <v>0</v>
      </c>
      <c r="AT85" s="1057">
        <f>$E$85*비용집행계획!AO83</f>
        <v>0</v>
      </c>
      <c r="AU85" s="1057">
        <f>$E$85*비용집행계획!AP83</f>
        <v>0</v>
      </c>
      <c r="AV85" s="1057">
        <f>$E$85*비용집행계획!AQ83</f>
        <v>0</v>
      </c>
      <c r="AW85" s="1057">
        <f>$E$85*비용집행계획!AR83</f>
        <v>0</v>
      </c>
      <c r="AX85" s="1057">
        <f>$E$85*비용집행계획!AS83</f>
        <v>0</v>
      </c>
      <c r="AY85" s="1057">
        <f>$E$85*비용집행계획!AT83</f>
        <v>0</v>
      </c>
      <c r="AZ85" s="1057">
        <f>$E$85*비용집행계획!AU83</f>
        <v>0</v>
      </c>
      <c r="BA85" s="1057">
        <f>$E$85*비용집행계획!AV83</f>
        <v>0</v>
      </c>
      <c r="BB85" s="1057">
        <f>$E$85*비용집행계획!AW83</f>
        <v>0</v>
      </c>
      <c r="BC85" s="1057">
        <f>$E$85*비용집행계획!AX83</f>
        <v>0</v>
      </c>
      <c r="BD85" s="1057">
        <f>$E$85*비용집행계획!AY83</f>
        <v>0</v>
      </c>
      <c r="BE85" s="1057">
        <f>$E$85*비용집행계획!AZ83</f>
        <v>0</v>
      </c>
      <c r="BF85" s="1057">
        <f>$E$85*비용집행계획!BA83</f>
        <v>0</v>
      </c>
      <c r="BG85" s="1057">
        <f>$E$85*비용집행계획!BB83</f>
        <v>0</v>
      </c>
      <c r="BH85" s="1057">
        <f>$E$85*비용집행계획!BC83</f>
        <v>0</v>
      </c>
      <c r="BI85" s="1057">
        <f>$E$85*비용집행계획!BD83</f>
        <v>0</v>
      </c>
      <c r="BJ85" s="1057">
        <f>$E$85*비용집행계획!BE83</f>
        <v>0</v>
      </c>
      <c r="BK85" s="1057">
        <f>$E$85*비용집행계획!BF83</f>
        <v>0</v>
      </c>
      <c r="BL85" s="1057">
        <f>$E$85*비용집행계획!BG83</f>
        <v>0</v>
      </c>
      <c r="BM85" s="1057">
        <f>$E$85*비용집행계획!BH83</f>
        <v>0</v>
      </c>
      <c r="BN85" s="1057">
        <f>$E$85*비용집행계획!BI83</f>
        <v>0</v>
      </c>
      <c r="BO85" s="1057">
        <f>$E$85*비용집행계획!BJ83</f>
        <v>0</v>
      </c>
      <c r="BP85" s="1057">
        <f>$E$85*비용집행계획!BK83</f>
        <v>0</v>
      </c>
      <c r="BQ85" s="1057">
        <f>$E$85*비용집행계획!BL83</f>
        <v>0</v>
      </c>
      <c r="BR85" s="1057">
        <f>$E$85*비용집행계획!BM83</f>
        <v>0</v>
      </c>
      <c r="BS85" s="1057">
        <f>$E$85*비용집행계획!BN83</f>
        <v>0</v>
      </c>
      <c r="BT85" s="1057">
        <f>$E$85*비용집행계획!BO83</f>
        <v>0</v>
      </c>
      <c r="BU85" s="1057">
        <f>$E$85*비용집행계획!BP83</f>
        <v>0</v>
      </c>
      <c r="BV85" s="1057">
        <f>$E$85*비용집행계획!BQ83</f>
        <v>0</v>
      </c>
      <c r="BW85" s="1057">
        <f>$E$85*비용집행계획!BR83</f>
        <v>0</v>
      </c>
      <c r="BX85" s="1057">
        <f>$E$85*비용집행계획!BS83</f>
        <v>0</v>
      </c>
      <c r="BY85" s="1074" t="str">
        <f t="shared" si="98"/>
        <v>광고비용</v>
      </c>
      <c r="BZ85" s="1106">
        <f t="shared" si="99"/>
        <v>1582520.65389</v>
      </c>
      <c r="CA85" s="1111" t="b">
        <f t="shared" si="97"/>
        <v>1</v>
      </c>
    </row>
    <row r="86" spans="2:79" s="1038" customFormat="1" ht="15.6">
      <c r="B86" s="1103">
        <f>'사업수지표 '!C71</f>
        <v>0</v>
      </c>
      <c r="C86" s="1892"/>
      <c r="D86" s="1125"/>
      <c r="E86" s="1105">
        <f>'사업수지표 '!E71:E71</f>
        <v>0</v>
      </c>
      <c r="F86" s="1058" t="b">
        <f t="shared" si="87"/>
        <v>1</v>
      </c>
      <c r="G86" s="1056"/>
      <c r="H86" s="1057"/>
      <c r="I86" s="1057"/>
      <c r="J86" s="1057">
        <f>$E$86*비용집행계획!E84</f>
        <v>0</v>
      </c>
      <c r="K86" s="1057">
        <f>$E$86*비용집행계획!F84</f>
        <v>0</v>
      </c>
      <c r="L86" s="1057">
        <f>$E$86*비용집행계획!G84</f>
        <v>0</v>
      </c>
      <c r="M86" s="1057">
        <f>$E$86*비용집행계획!H84</f>
        <v>0</v>
      </c>
      <c r="N86" s="1057">
        <f>$E$86*비용집행계획!I84</f>
        <v>0</v>
      </c>
      <c r="O86" s="1057">
        <f>$E$86*비용집행계획!J84</f>
        <v>0</v>
      </c>
      <c r="P86" s="1057">
        <f>$E$86*비용집행계획!K84</f>
        <v>0</v>
      </c>
      <c r="Q86" s="1057">
        <f>$E$86*비용집행계획!L84</f>
        <v>0</v>
      </c>
      <c r="R86" s="1057">
        <f>$E$86*비용집행계획!M84</f>
        <v>0</v>
      </c>
      <c r="S86" s="1057">
        <f>$E$86*비용집행계획!N84</f>
        <v>0</v>
      </c>
      <c r="T86" s="1057">
        <f>$E$86*비용집행계획!O84</f>
        <v>0</v>
      </c>
      <c r="U86" s="1057">
        <f>$E$86*비용집행계획!P84</f>
        <v>0</v>
      </c>
      <c r="V86" s="1057">
        <f>$E$86*비용집행계획!Q84</f>
        <v>0</v>
      </c>
      <c r="W86" s="1057">
        <f>$E$86*비용집행계획!R84</f>
        <v>0</v>
      </c>
      <c r="X86" s="1057">
        <f>$E$86*비용집행계획!S84</f>
        <v>0</v>
      </c>
      <c r="Y86" s="1057">
        <f>$E$86*비용집행계획!T84</f>
        <v>0</v>
      </c>
      <c r="Z86" s="1057">
        <f>$E$86*비용집행계획!U84</f>
        <v>0</v>
      </c>
      <c r="AA86" s="1057">
        <f>$E$86*비용집행계획!V84</f>
        <v>0</v>
      </c>
      <c r="AB86" s="1057">
        <f>$E$86*비용집행계획!W84</f>
        <v>0</v>
      </c>
      <c r="AC86" s="1057">
        <f>$E$86*비용집행계획!X84</f>
        <v>0</v>
      </c>
      <c r="AD86" s="1057">
        <f>$E$86*비용집행계획!Y84</f>
        <v>0</v>
      </c>
      <c r="AE86" s="1057">
        <f>$E$86*비용집행계획!Z84</f>
        <v>0</v>
      </c>
      <c r="AF86" s="1057">
        <f>$E$86*비용집행계획!AA84</f>
        <v>0</v>
      </c>
      <c r="AG86" s="1057">
        <f>$E$86*비용집행계획!AB84</f>
        <v>0</v>
      </c>
      <c r="AH86" s="1057">
        <f>$E$86*비용집행계획!AC84</f>
        <v>0</v>
      </c>
      <c r="AI86" s="1057">
        <f>$E$86*비용집행계획!AD84</f>
        <v>0</v>
      </c>
      <c r="AJ86" s="1057">
        <f>$E$86*비용집행계획!AE84</f>
        <v>0</v>
      </c>
      <c r="AK86" s="1057">
        <f>$E$86*비용집행계획!AF84</f>
        <v>0</v>
      </c>
      <c r="AL86" s="1057">
        <f>$E$86*비용집행계획!AG84</f>
        <v>0</v>
      </c>
      <c r="AM86" s="1057">
        <f>$E$86*비용집행계획!AH84</f>
        <v>0</v>
      </c>
      <c r="AN86" s="1057">
        <f>$E$86*비용집행계획!AI84</f>
        <v>0</v>
      </c>
      <c r="AO86" s="1057">
        <f>$E$86*비용집행계획!AJ84</f>
        <v>0</v>
      </c>
      <c r="AP86" s="1057">
        <f>$E$86*비용집행계획!AK84</f>
        <v>0</v>
      </c>
      <c r="AQ86" s="1057">
        <f>$E$86*비용집행계획!AL84</f>
        <v>0</v>
      </c>
      <c r="AR86" s="1057">
        <f>$E$86*비용집행계획!AM84</f>
        <v>0</v>
      </c>
      <c r="AS86" s="1057">
        <f>$E$86*비용집행계획!AN84</f>
        <v>0</v>
      </c>
      <c r="AT86" s="1057">
        <f>$E$86*비용집행계획!AO84</f>
        <v>0</v>
      </c>
      <c r="AU86" s="1057">
        <f>$E$86*비용집행계획!AP84</f>
        <v>0</v>
      </c>
      <c r="AV86" s="1057">
        <f>$E$86*비용집행계획!AQ84</f>
        <v>0</v>
      </c>
      <c r="AW86" s="1057">
        <f>$E$86*비용집행계획!AR84</f>
        <v>0</v>
      </c>
      <c r="AX86" s="1057">
        <f>$E$86*비용집행계획!AS84</f>
        <v>0</v>
      </c>
      <c r="AY86" s="1057">
        <f>$E$86*비용집행계획!AT84</f>
        <v>0</v>
      </c>
      <c r="AZ86" s="1057">
        <f>$E$86*비용집행계획!AU84</f>
        <v>0</v>
      </c>
      <c r="BA86" s="1057">
        <f>$E$86*비용집행계획!AV84</f>
        <v>0</v>
      </c>
      <c r="BB86" s="1057">
        <f>$E$86*비용집행계획!AW84</f>
        <v>0</v>
      </c>
      <c r="BC86" s="1057">
        <f>$E$86*비용집행계획!AX84</f>
        <v>0</v>
      </c>
      <c r="BD86" s="1057">
        <f>$E$86*비용집행계획!AY84</f>
        <v>0</v>
      </c>
      <c r="BE86" s="1057">
        <f>$E$86*비용집행계획!AZ84</f>
        <v>0</v>
      </c>
      <c r="BF86" s="1057">
        <f>$E$86*비용집행계획!BA84</f>
        <v>0</v>
      </c>
      <c r="BG86" s="1057">
        <f>$E$86*비용집행계획!BB84</f>
        <v>0</v>
      </c>
      <c r="BH86" s="1057">
        <f>$E$86*비용집행계획!BC84</f>
        <v>0</v>
      </c>
      <c r="BI86" s="1057">
        <f>$E$86*비용집행계획!BD84</f>
        <v>0</v>
      </c>
      <c r="BJ86" s="1057">
        <f>$E$86*비용집행계획!BE84</f>
        <v>0</v>
      </c>
      <c r="BK86" s="1057">
        <f>$E$86*비용집행계획!BF84</f>
        <v>0</v>
      </c>
      <c r="BL86" s="1057">
        <f>$E$86*비용집행계획!BG84</f>
        <v>0</v>
      </c>
      <c r="BM86" s="1057">
        <f>$E$86*비용집행계획!BH84</f>
        <v>0</v>
      </c>
      <c r="BN86" s="1057">
        <f>$E$86*비용집행계획!BI84</f>
        <v>0</v>
      </c>
      <c r="BO86" s="1057">
        <f>$E$86*비용집행계획!BJ84</f>
        <v>0</v>
      </c>
      <c r="BP86" s="1057">
        <f>$E$86*비용집행계획!BK84</f>
        <v>0</v>
      </c>
      <c r="BQ86" s="1057">
        <f>$E$86*비용집행계획!BL84</f>
        <v>0</v>
      </c>
      <c r="BR86" s="1057">
        <f>$E$86*비용집행계획!BM84</f>
        <v>0</v>
      </c>
      <c r="BS86" s="1057">
        <f>$E$86*비용집행계획!BN84</f>
        <v>0</v>
      </c>
      <c r="BT86" s="1057">
        <f>$E$86*비용집행계획!BO84</f>
        <v>0</v>
      </c>
      <c r="BU86" s="1057">
        <f>$E$86*비용집행계획!BP84</f>
        <v>0</v>
      </c>
      <c r="BV86" s="1057">
        <f t="shared" ref="BV86" si="100">E86-SUM(J86:BU86)</f>
        <v>0</v>
      </c>
      <c r="BW86" s="1057"/>
      <c r="BX86" s="1057">
        <f>IF(BX10="PF",$E$86,0)</f>
        <v>0</v>
      </c>
      <c r="BY86" s="1074">
        <f t="shared" si="98"/>
        <v>0</v>
      </c>
      <c r="BZ86" s="1106">
        <f t="shared" si="99"/>
        <v>0</v>
      </c>
      <c r="CA86" s="1111" t="b">
        <f t="shared" si="97"/>
        <v>1</v>
      </c>
    </row>
    <row r="87" spans="2:79" s="1038" customFormat="1" ht="15.6">
      <c r="B87" s="1103" t="str">
        <f>'사업수지표 '!C72</f>
        <v>기타비용</v>
      </c>
      <c r="C87" s="1892"/>
      <c r="D87" s="1125"/>
      <c r="E87" s="1105">
        <f>'사업수지표 '!E72:E72</f>
        <v>1464000</v>
      </c>
      <c r="F87" s="1058" t="b">
        <f t="shared" si="87"/>
        <v>1</v>
      </c>
      <c r="G87" s="1056"/>
      <c r="H87" s="1057"/>
      <c r="I87" s="1057"/>
      <c r="J87" s="1057">
        <f>$E$87*비용집행계획!E85</f>
        <v>0</v>
      </c>
      <c r="K87" s="1057">
        <f>$E$87*비용집행계획!F85</f>
        <v>0</v>
      </c>
      <c r="L87" s="1057">
        <f>$E$87*비용집행계획!G85</f>
        <v>0</v>
      </c>
      <c r="M87" s="1057">
        <f>$E$87*비용집행계획!H85</f>
        <v>0</v>
      </c>
      <c r="N87" s="1057">
        <f>$E$87*비용집행계획!I85</f>
        <v>732000</v>
      </c>
      <c r="O87" s="1057">
        <f>$E$87*비용집행계획!J85</f>
        <v>0</v>
      </c>
      <c r="P87" s="1057">
        <f>$E$87*비용집행계획!K85</f>
        <v>0</v>
      </c>
      <c r="Q87" s="1057">
        <f>$E$87*비용집행계획!L85</f>
        <v>0</v>
      </c>
      <c r="R87" s="1057">
        <f>$E$87*비용집행계획!M85</f>
        <v>0</v>
      </c>
      <c r="S87" s="1057">
        <f>$E$87*비용집행계획!N85</f>
        <v>0</v>
      </c>
      <c r="T87" s="1057">
        <f>$E$87*비용집행계획!O85</f>
        <v>0</v>
      </c>
      <c r="U87" s="1057">
        <f>$E$87*비용집행계획!P85</f>
        <v>0</v>
      </c>
      <c r="V87" s="1057">
        <f>$E$87*비용집행계획!Q85</f>
        <v>0</v>
      </c>
      <c r="W87" s="1057">
        <f>$E$87*비용집행계획!R85</f>
        <v>0</v>
      </c>
      <c r="X87" s="1057">
        <f>$E$87*비용집행계획!S85</f>
        <v>0</v>
      </c>
      <c r="Y87" s="1057">
        <f>$E$87*비용집행계획!T85</f>
        <v>0</v>
      </c>
      <c r="Z87" s="1057">
        <f>$E$87*비용집행계획!U85</f>
        <v>0</v>
      </c>
      <c r="AA87" s="1057">
        <f>$E$87*비용집행계획!V85</f>
        <v>0</v>
      </c>
      <c r="AB87" s="1057">
        <f>$E$87*비용집행계획!W85</f>
        <v>0</v>
      </c>
      <c r="AC87" s="1057">
        <f>$E$87*비용집행계획!X85</f>
        <v>0</v>
      </c>
      <c r="AD87" s="1057">
        <f>$E$87*비용집행계획!Y85</f>
        <v>0</v>
      </c>
      <c r="AE87" s="1057">
        <f>$E$87*비용집행계획!Z85</f>
        <v>0</v>
      </c>
      <c r="AF87" s="1057">
        <f>$E$87*비용집행계획!AA85</f>
        <v>0</v>
      </c>
      <c r="AG87" s="1057">
        <f>$E$87*비용집행계획!AB85</f>
        <v>0</v>
      </c>
      <c r="AH87" s="1057">
        <f>$E$87*비용집행계획!AC85</f>
        <v>0</v>
      </c>
      <c r="AI87" s="1057">
        <f>$E$87*비용집행계획!AD85</f>
        <v>0</v>
      </c>
      <c r="AJ87" s="1057">
        <f>$E$87*비용집행계획!AE85</f>
        <v>0</v>
      </c>
      <c r="AK87" s="1057">
        <f>$E$87*비용집행계획!AF85</f>
        <v>0</v>
      </c>
      <c r="AL87" s="1057">
        <f>$E$87*비용집행계획!AG85</f>
        <v>0</v>
      </c>
      <c r="AM87" s="1057">
        <f>$E$87*비용집행계획!AH85</f>
        <v>0</v>
      </c>
      <c r="AN87" s="1057">
        <f>$E$87*비용집행계획!AI85</f>
        <v>0</v>
      </c>
      <c r="AO87" s="1057">
        <f>$E$87*비용집행계획!AJ85</f>
        <v>0</v>
      </c>
      <c r="AP87" s="1057">
        <f>$E$87*비용집행계획!AK85</f>
        <v>0</v>
      </c>
      <c r="AQ87" s="1057">
        <f>$E$87*비용집행계획!AL85</f>
        <v>732000</v>
      </c>
      <c r="AR87" s="1057">
        <f>$E$87*비용집행계획!AM85</f>
        <v>0</v>
      </c>
      <c r="AS87" s="1057">
        <f>$E$87*비용집행계획!AN85</f>
        <v>0</v>
      </c>
      <c r="AT87" s="1057">
        <f>$E$87*비용집행계획!AO85</f>
        <v>0</v>
      </c>
      <c r="AU87" s="1057">
        <f>$E$87*비용집행계획!AP85</f>
        <v>0</v>
      </c>
      <c r="AV87" s="1057">
        <f>$E$87*비용집행계획!AQ85</f>
        <v>0</v>
      </c>
      <c r="AW87" s="1057">
        <f>$E$87*비용집행계획!AR85</f>
        <v>0</v>
      </c>
      <c r="AX87" s="1057">
        <f>$E$87*비용집행계획!AS85</f>
        <v>0</v>
      </c>
      <c r="AY87" s="1057">
        <f>$E$87*비용집행계획!AT85</f>
        <v>0</v>
      </c>
      <c r="AZ87" s="1057">
        <f>$E$87*비용집행계획!AU85</f>
        <v>0</v>
      </c>
      <c r="BA87" s="1057">
        <f>$E$87*비용집행계획!AV85</f>
        <v>0</v>
      </c>
      <c r="BB87" s="1057">
        <f>$E$87*비용집행계획!AW85</f>
        <v>0</v>
      </c>
      <c r="BC87" s="1057">
        <f>$E$87*비용집행계획!AX85</f>
        <v>0</v>
      </c>
      <c r="BD87" s="1057">
        <f>$E$87*비용집행계획!AY85</f>
        <v>0</v>
      </c>
      <c r="BE87" s="1057">
        <f>$E$87*비용집행계획!AZ85</f>
        <v>0</v>
      </c>
      <c r="BF87" s="1057">
        <f>$E$87*비용집행계획!BA85</f>
        <v>0</v>
      </c>
      <c r="BG87" s="1057">
        <f>$E$87*비용집행계획!BB85</f>
        <v>0</v>
      </c>
      <c r="BH87" s="1057">
        <f>$E$87*비용집행계획!BC85</f>
        <v>0</v>
      </c>
      <c r="BI87" s="1057">
        <f>$E$87*비용집행계획!BD85</f>
        <v>0</v>
      </c>
      <c r="BJ87" s="1057">
        <f>$E$87*비용집행계획!BE85</f>
        <v>0</v>
      </c>
      <c r="BK87" s="1057">
        <f>$E$87*비용집행계획!BF85</f>
        <v>0</v>
      </c>
      <c r="BL87" s="1057">
        <f>$E$87*비용집행계획!BG85</f>
        <v>0</v>
      </c>
      <c r="BM87" s="1057">
        <f>$E$87*비용집행계획!BH85</f>
        <v>0</v>
      </c>
      <c r="BN87" s="1057">
        <f>$E$87*비용집행계획!BI85</f>
        <v>0</v>
      </c>
      <c r="BO87" s="1057">
        <f>$E$87*비용집행계획!BJ85</f>
        <v>0</v>
      </c>
      <c r="BP87" s="1057">
        <f>$E$87*비용집행계획!BK85</f>
        <v>0</v>
      </c>
      <c r="BQ87" s="1057">
        <f>$E$87*비용집행계획!BL85</f>
        <v>0</v>
      </c>
      <c r="BR87" s="1057">
        <f>$E$87*비용집행계획!BM85</f>
        <v>0</v>
      </c>
      <c r="BS87" s="1057">
        <f>$E$87*비용집행계획!BN85</f>
        <v>0</v>
      </c>
      <c r="BT87" s="1057">
        <f>$E$87*비용집행계획!BO85</f>
        <v>0</v>
      </c>
      <c r="BU87" s="1057">
        <f>$E$87*비용집행계획!BP85</f>
        <v>0</v>
      </c>
      <c r="BV87" s="1057">
        <f>$E$87*비용집행계획!BQ85</f>
        <v>0</v>
      </c>
      <c r="BW87" s="1057">
        <f>$E$87*비용집행계획!BR85</f>
        <v>0</v>
      </c>
      <c r="BX87" s="1057">
        <f>$E$87*비용집행계획!BS85</f>
        <v>0</v>
      </c>
      <c r="BY87" s="1074" t="str">
        <f t="shared" si="98"/>
        <v>기타비용</v>
      </c>
      <c r="BZ87" s="1106">
        <f t="shared" si="99"/>
        <v>1464000</v>
      </c>
      <c r="CA87" s="1111" t="b">
        <f t="shared" si="97"/>
        <v>1</v>
      </c>
    </row>
    <row r="88" spans="2:79" s="1038" customFormat="1" ht="15.6">
      <c r="B88" s="1103"/>
      <c r="C88" s="1892"/>
      <c r="D88" s="1125"/>
      <c r="E88" s="1105"/>
      <c r="F88" s="1058" t="b">
        <f t="shared" si="87"/>
        <v>1</v>
      </c>
      <c r="G88" s="1056"/>
      <c r="H88" s="1057"/>
      <c r="I88" s="1057"/>
      <c r="J88" s="1057">
        <f>$E$88*비용집행계획!E86</f>
        <v>0</v>
      </c>
      <c r="K88" s="1057">
        <f>$E$88*비용집행계획!F86</f>
        <v>0</v>
      </c>
      <c r="L88" s="1057">
        <f>$E$88*비용집행계획!G86</f>
        <v>0</v>
      </c>
      <c r="M88" s="1057">
        <f>$E$88*비용집행계획!H86</f>
        <v>0</v>
      </c>
      <c r="N88" s="1057">
        <f>$E$88*비용집행계획!I86</f>
        <v>0</v>
      </c>
      <c r="O88" s="1057">
        <f>$E$88*비용집행계획!J86</f>
        <v>0</v>
      </c>
      <c r="P88" s="1057">
        <f>$E$88*비용집행계획!K86</f>
        <v>0</v>
      </c>
      <c r="Q88" s="1057">
        <f>$E$88*비용집행계획!L86</f>
        <v>0</v>
      </c>
      <c r="R88" s="1057">
        <f>$E$88*비용집행계획!M86</f>
        <v>0</v>
      </c>
      <c r="S88" s="1057">
        <f>$E$88*비용집행계획!N86</f>
        <v>0</v>
      </c>
      <c r="T88" s="1057">
        <f>$E$88*비용집행계획!O86</f>
        <v>0</v>
      </c>
      <c r="U88" s="1057">
        <f>$E$88*비용집행계획!P86</f>
        <v>0</v>
      </c>
      <c r="V88" s="1057">
        <f>$E$88*비용집행계획!Q86</f>
        <v>0</v>
      </c>
      <c r="W88" s="1057">
        <f>$E$88*비용집행계획!R86</f>
        <v>0</v>
      </c>
      <c r="X88" s="1057">
        <f>$E$88*비용집행계획!S86</f>
        <v>0</v>
      </c>
      <c r="Y88" s="1057">
        <f>$E$88*비용집행계획!T86</f>
        <v>0</v>
      </c>
      <c r="Z88" s="1057">
        <f>$E$88*비용집행계획!U86</f>
        <v>0</v>
      </c>
      <c r="AA88" s="1057">
        <f>$E$88*비용집행계획!V86</f>
        <v>0</v>
      </c>
      <c r="AB88" s="1057">
        <f>$E$88*비용집행계획!W86</f>
        <v>0</v>
      </c>
      <c r="AC88" s="1057">
        <f>$E$88*비용집행계획!X86</f>
        <v>0</v>
      </c>
      <c r="AD88" s="1057">
        <f>$E$88*비용집행계획!Y86</f>
        <v>0</v>
      </c>
      <c r="AE88" s="1057">
        <f>$E$88*비용집행계획!Z86</f>
        <v>0</v>
      </c>
      <c r="AF88" s="1057">
        <f>$E$88*비용집행계획!AA86</f>
        <v>0</v>
      </c>
      <c r="AG88" s="1057">
        <f>$E$88*비용집행계획!AB86</f>
        <v>0</v>
      </c>
      <c r="AH88" s="1057">
        <f>$E$88*비용집행계획!AC86</f>
        <v>0</v>
      </c>
      <c r="AI88" s="1057">
        <f>$E$88*비용집행계획!AD86</f>
        <v>0</v>
      </c>
      <c r="AJ88" s="1057">
        <f>$E$88*비용집행계획!AE86</f>
        <v>0</v>
      </c>
      <c r="AK88" s="1057">
        <f>$E$88*비용집행계획!AF86</f>
        <v>0</v>
      </c>
      <c r="AL88" s="1057">
        <f>$E$88*비용집행계획!AG86</f>
        <v>0</v>
      </c>
      <c r="AM88" s="1057">
        <f>$E$88*비용집행계획!AH86</f>
        <v>0</v>
      </c>
      <c r="AN88" s="1057">
        <f>$E$88*비용집행계획!AI86</f>
        <v>0</v>
      </c>
      <c r="AO88" s="1057">
        <f>$E$88*비용집행계획!AJ86</f>
        <v>0</v>
      </c>
      <c r="AP88" s="1057">
        <f>$E$88*비용집행계획!AK86</f>
        <v>0</v>
      </c>
      <c r="AQ88" s="1057">
        <f>$E$88*비용집행계획!AL86</f>
        <v>0</v>
      </c>
      <c r="AR88" s="1057">
        <f>$E$88*비용집행계획!AM86</f>
        <v>0</v>
      </c>
      <c r="AS88" s="1057">
        <f>$E$88*비용집행계획!AN86</f>
        <v>0</v>
      </c>
      <c r="AT88" s="1057">
        <f>$E$88*비용집행계획!AO86</f>
        <v>0</v>
      </c>
      <c r="AU88" s="1057">
        <f>$E$88*비용집행계획!AP86</f>
        <v>0</v>
      </c>
      <c r="AV88" s="1057">
        <f>$E$88*비용집행계획!AQ86</f>
        <v>0</v>
      </c>
      <c r="AW88" s="1057">
        <f>$E$88*비용집행계획!AR86</f>
        <v>0</v>
      </c>
      <c r="AX88" s="1057">
        <f>$E$88*비용집행계획!AS86</f>
        <v>0</v>
      </c>
      <c r="AY88" s="1057">
        <f>$E$88*비용집행계획!AT86</f>
        <v>0</v>
      </c>
      <c r="AZ88" s="1057">
        <f>$E$88*비용집행계획!AU86</f>
        <v>0</v>
      </c>
      <c r="BA88" s="1057">
        <f>$E$88*비용집행계획!AV86</f>
        <v>0</v>
      </c>
      <c r="BB88" s="1057">
        <f>$E$88*비용집행계획!AW86</f>
        <v>0</v>
      </c>
      <c r="BC88" s="1057">
        <f>$E$88*비용집행계획!AX86</f>
        <v>0</v>
      </c>
      <c r="BD88" s="1057">
        <f>$E$88*비용집행계획!AY86</f>
        <v>0</v>
      </c>
      <c r="BE88" s="1057">
        <f>$E$88*비용집행계획!AZ86</f>
        <v>0</v>
      </c>
      <c r="BF88" s="1057">
        <f>$E$88*비용집행계획!BA86</f>
        <v>0</v>
      </c>
      <c r="BG88" s="1057">
        <f>$E$88*비용집행계획!BB86</f>
        <v>0</v>
      </c>
      <c r="BH88" s="1057">
        <f>$E$88*비용집행계획!BC86</f>
        <v>0</v>
      </c>
      <c r="BI88" s="1057">
        <f>$E$88*비용집행계획!BD86</f>
        <v>0</v>
      </c>
      <c r="BJ88" s="1057">
        <f>$E$88*비용집행계획!BE86</f>
        <v>0</v>
      </c>
      <c r="BK88" s="1057">
        <f>$E$88*비용집행계획!BF86</f>
        <v>0</v>
      </c>
      <c r="BL88" s="1057">
        <f>$E$88*비용집행계획!BG86</f>
        <v>0</v>
      </c>
      <c r="BM88" s="1057">
        <f>$E$88*비용집행계획!BH86</f>
        <v>0</v>
      </c>
      <c r="BN88" s="1057">
        <f>$E$88*비용집행계획!BI86</f>
        <v>0</v>
      </c>
      <c r="BO88" s="1057">
        <f>$E$88*비용집행계획!BJ86</f>
        <v>0</v>
      </c>
      <c r="BP88" s="1057">
        <f>$E$88*비용집행계획!BK86</f>
        <v>0</v>
      </c>
      <c r="BQ88" s="1057">
        <f>$E$88*비용집행계획!BL86</f>
        <v>0</v>
      </c>
      <c r="BR88" s="1057">
        <f>$E$88*비용집행계획!BM86</f>
        <v>0</v>
      </c>
      <c r="BS88" s="1057">
        <f>$E$88*비용집행계획!BN86</f>
        <v>0</v>
      </c>
      <c r="BT88" s="1057">
        <f>$E$88*비용집행계획!BO86</f>
        <v>0</v>
      </c>
      <c r="BU88" s="1057">
        <f>$E$88*비용집행계획!BP86</f>
        <v>0</v>
      </c>
      <c r="BV88" s="1057">
        <f>$E$88*비용집행계획!BQ86</f>
        <v>0</v>
      </c>
      <c r="BW88" s="1057">
        <f>$E$88*비용집행계획!BR86</f>
        <v>0</v>
      </c>
      <c r="BX88" s="1057">
        <f>$E$88*비용집행계획!BS86</f>
        <v>0</v>
      </c>
      <c r="BY88" s="1074">
        <f t="shared" si="98"/>
        <v>0</v>
      </c>
      <c r="BZ88" s="1106"/>
      <c r="CA88" s="1111" t="b">
        <f t="shared" si="97"/>
        <v>1</v>
      </c>
    </row>
    <row r="89" spans="2:79" s="1038" customFormat="1" ht="15.6">
      <c r="B89" s="1103" t="str">
        <f>'사업수지표 '!C74</f>
        <v>신탁보수</v>
      </c>
      <c r="C89" s="1892"/>
      <c r="D89" s="1125"/>
      <c r="E89" s="1105">
        <f>'사업수지표 '!E74:E74</f>
        <v>400000</v>
      </c>
      <c r="F89" s="1058" t="b">
        <f t="shared" si="87"/>
        <v>1</v>
      </c>
      <c r="G89" s="1056"/>
      <c r="H89" s="1057"/>
      <c r="I89" s="1057"/>
      <c r="J89" s="1057">
        <f>$E$89*비용집행계획!E87</f>
        <v>0</v>
      </c>
      <c r="K89" s="1057">
        <f>$E$89*비용집행계획!F87</f>
        <v>0</v>
      </c>
      <c r="L89" s="1057">
        <f>$E$89*비용집행계획!G87</f>
        <v>0</v>
      </c>
      <c r="M89" s="1057">
        <f>$E$89*비용집행계획!H87</f>
        <v>0</v>
      </c>
      <c r="N89" s="1057">
        <f>$E$89*비용집행계획!I87</f>
        <v>40000</v>
      </c>
      <c r="O89" s="1057">
        <f>$E$89*비용집행계획!J87</f>
        <v>0</v>
      </c>
      <c r="P89" s="1057">
        <f>$E$89*비용집행계획!K87</f>
        <v>0</v>
      </c>
      <c r="Q89" s="1057">
        <f>$E$89*비용집행계획!L87</f>
        <v>40000</v>
      </c>
      <c r="R89" s="1057">
        <f>$E$89*비용집행계획!M87</f>
        <v>0</v>
      </c>
      <c r="S89" s="1057">
        <f>$E$89*비용집행계획!N87</f>
        <v>0</v>
      </c>
      <c r="T89" s="1057">
        <f>$E$89*비용집행계획!O87</f>
        <v>40000</v>
      </c>
      <c r="U89" s="1057">
        <f>$E$89*비용집행계획!P87</f>
        <v>0</v>
      </c>
      <c r="V89" s="1057">
        <f>$E$89*비용집행계획!Q87</f>
        <v>0</v>
      </c>
      <c r="W89" s="1057">
        <f>$E$89*비용집행계획!R87</f>
        <v>40000</v>
      </c>
      <c r="X89" s="1057">
        <f>$E$89*비용집행계획!S87</f>
        <v>0</v>
      </c>
      <c r="Y89" s="1057">
        <f>$E$89*비용집행계획!T87</f>
        <v>0</v>
      </c>
      <c r="Z89" s="1057">
        <f>$E$89*비용집행계획!U87</f>
        <v>40000</v>
      </c>
      <c r="AA89" s="1057">
        <f>$E$89*비용집행계획!V87</f>
        <v>0</v>
      </c>
      <c r="AB89" s="1057">
        <f>$E$89*비용집행계획!W87</f>
        <v>0</v>
      </c>
      <c r="AC89" s="1057">
        <f>$E$89*비용집행계획!X87</f>
        <v>40000</v>
      </c>
      <c r="AD89" s="1057">
        <f>$E$89*비용집행계획!Y87</f>
        <v>0</v>
      </c>
      <c r="AE89" s="1057">
        <f>$E$89*비용집행계획!Z87</f>
        <v>0</v>
      </c>
      <c r="AF89" s="1057">
        <f>$E$89*비용집행계획!AA87</f>
        <v>40000</v>
      </c>
      <c r="AG89" s="1057">
        <f>$E$89*비용집행계획!AB87</f>
        <v>0</v>
      </c>
      <c r="AH89" s="1057">
        <f>$E$89*비용집행계획!AC87</f>
        <v>0</v>
      </c>
      <c r="AI89" s="1057">
        <f>$E$89*비용집행계획!AD87</f>
        <v>40000</v>
      </c>
      <c r="AJ89" s="1057">
        <f>$E$89*비용집행계획!AE87</f>
        <v>0</v>
      </c>
      <c r="AK89" s="1057">
        <f>$E$89*비용집행계획!AF87</f>
        <v>0</v>
      </c>
      <c r="AL89" s="1057">
        <f>$E$89*비용집행계획!AG87</f>
        <v>40000</v>
      </c>
      <c r="AM89" s="1057">
        <f>$E$89*비용집행계획!AH87</f>
        <v>0</v>
      </c>
      <c r="AN89" s="1057">
        <f>$E$89*비용집행계획!AI87</f>
        <v>0</v>
      </c>
      <c r="AO89" s="1057">
        <f>$E$89*비용집행계획!AJ87</f>
        <v>0</v>
      </c>
      <c r="AP89" s="1057">
        <f>$E$89*비용집행계획!AK87</f>
        <v>0</v>
      </c>
      <c r="AQ89" s="1057">
        <f>$E$89*비용집행계획!AL87</f>
        <v>0</v>
      </c>
      <c r="AR89" s="1057">
        <f>$E$89*비용집행계획!AM87</f>
        <v>0</v>
      </c>
      <c r="AS89" s="1057">
        <f>$E$89*비용집행계획!AN87</f>
        <v>0</v>
      </c>
      <c r="AT89" s="1057">
        <f>$E$89*비용집행계획!AO87</f>
        <v>0</v>
      </c>
      <c r="AU89" s="1057">
        <f>$E$89*비용집행계획!AP87</f>
        <v>0</v>
      </c>
      <c r="AV89" s="1057">
        <f>$E$89*비용집행계획!AQ87</f>
        <v>0</v>
      </c>
      <c r="AW89" s="1057">
        <f>$E$89*비용집행계획!AR87</f>
        <v>0</v>
      </c>
      <c r="AX89" s="1057">
        <f>$E$89*비용집행계획!AS87</f>
        <v>0</v>
      </c>
      <c r="AY89" s="1057">
        <f>$E$89*비용집행계획!AT87</f>
        <v>0</v>
      </c>
      <c r="AZ89" s="1057">
        <f>$E$89*비용집행계획!AU87</f>
        <v>0</v>
      </c>
      <c r="BA89" s="1057">
        <f>$E$89*비용집행계획!AV87</f>
        <v>0</v>
      </c>
      <c r="BB89" s="1057">
        <f>$E$89*비용집행계획!AW87</f>
        <v>0</v>
      </c>
      <c r="BC89" s="1057">
        <f>$E$89*비용집행계획!AX87</f>
        <v>0</v>
      </c>
      <c r="BD89" s="1057">
        <f>$E$89*비용집행계획!AY87</f>
        <v>0</v>
      </c>
      <c r="BE89" s="1057">
        <f>$E$89*비용집행계획!AZ87</f>
        <v>0</v>
      </c>
      <c r="BF89" s="1057">
        <f>$E$89*비용집행계획!BA87</f>
        <v>0</v>
      </c>
      <c r="BG89" s="1057">
        <f>$E$89*비용집행계획!BB87</f>
        <v>0</v>
      </c>
      <c r="BH89" s="1057">
        <f>$E$89*비용집행계획!BC87</f>
        <v>0</v>
      </c>
      <c r="BI89" s="1057">
        <f>$E$89*비용집행계획!BD87</f>
        <v>0</v>
      </c>
      <c r="BJ89" s="1057">
        <f>$E$89*비용집행계획!BE87</f>
        <v>0</v>
      </c>
      <c r="BK89" s="1057">
        <f>$E$89*비용집행계획!BF87</f>
        <v>0</v>
      </c>
      <c r="BL89" s="1057">
        <f>$E$89*비용집행계획!BG87</f>
        <v>0</v>
      </c>
      <c r="BM89" s="1057">
        <f>$E$89*비용집행계획!BH87</f>
        <v>0</v>
      </c>
      <c r="BN89" s="1057">
        <f>$E$89*비용집행계획!BI87</f>
        <v>0</v>
      </c>
      <c r="BO89" s="1057">
        <f>$E$89*비용집행계획!BJ87</f>
        <v>0</v>
      </c>
      <c r="BP89" s="1057">
        <f>$E$89*비용집행계획!BK87</f>
        <v>0</v>
      </c>
      <c r="BQ89" s="1057">
        <f>$E$89*비용집행계획!BL87</f>
        <v>0</v>
      </c>
      <c r="BR89" s="1057">
        <f>$E$89*비용집행계획!BM87</f>
        <v>0</v>
      </c>
      <c r="BS89" s="1057">
        <f>$E$89*비용집행계획!BN87</f>
        <v>0</v>
      </c>
      <c r="BT89" s="1057">
        <f>$E$89*비용집행계획!BO87</f>
        <v>0</v>
      </c>
      <c r="BU89" s="1057">
        <f>$E$89*비용집행계획!BP87</f>
        <v>0</v>
      </c>
      <c r="BV89" s="1057">
        <f>$E$89*비용집행계획!BQ87</f>
        <v>40000.000000000036</v>
      </c>
      <c r="BW89" s="1057">
        <f>$E$89*비용집행계획!BR87</f>
        <v>0</v>
      </c>
      <c r="BX89" s="1057">
        <f>$E$89*비용집행계획!BS87</f>
        <v>0</v>
      </c>
      <c r="BY89" s="1074" t="str">
        <f t="shared" si="98"/>
        <v>신탁보수</v>
      </c>
      <c r="BZ89" s="1106">
        <f t="shared" ref="BZ89:BZ95" si="101">SUM(G89:BX89)</f>
        <v>400000.00000000006</v>
      </c>
      <c r="CA89" s="1111" t="b">
        <f t="shared" si="97"/>
        <v>1</v>
      </c>
    </row>
    <row r="90" spans="2:79" s="1038" customFormat="1" ht="15.6">
      <c r="B90" s="1103" t="str">
        <f>'사업수지표 '!C75</f>
        <v>예비비</v>
      </c>
      <c r="C90" s="1892"/>
      <c r="D90" s="1104"/>
      <c r="E90" s="1105">
        <f>'사업수지표 '!E75:E75</f>
        <v>1582520.6538900004</v>
      </c>
      <c r="F90" s="1058" t="b">
        <f t="shared" si="87"/>
        <v>1</v>
      </c>
      <c r="G90" s="1056"/>
      <c r="H90" s="1057"/>
      <c r="I90" s="1057"/>
      <c r="J90" s="1057">
        <f>$E$90*비용집행계획!E88</f>
        <v>0</v>
      </c>
      <c r="K90" s="1057">
        <f>$E$90*비용집행계획!F88</f>
        <v>0</v>
      </c>
      <c r="L90" s="1057">
        <f>$E$90*비용집행계획!G88</f>
        <v>0</v>
      </c>
      <c r="M90" s="1057">
        <f>$E$90*비용집행계획!H88</f>
        <v>0</v>
      </c>
      <c r="N90" s="1057">
        <f>$E$90*비용집행계획!I88</f>
        <v>52750.688463000013</v>
      </c>
      <c r="O90" s="1057">
        <f>$E$90*비용집행계획!J88</f>
        <v>52750.688463000013</v>
      </c>
      <c r="P90" s="1057">
        <f>$E$90*비용집행계획!K88</f>
        <v>52750.688463000013</v>
      </c>
      <c r="Q90" s="1057">
        <f>$E$90*비용집행계획!L88</f>
        <v>52750.688463000013</v>
      </c>
      <c r="R90" s="1057">
        <f>$E$90*비용집행계획!M88</f>
        <v>52750.688463000013</v>
      </c>
      <c r="S90" s="1057">
        <f>$E$90*비용집행계획!N88</f>
        <v>52750.688463000013</v>
      </c>
      <c r="T90" s="1057">
        <f>$E$90*비용집행계획!O88</f>
        <v>52750.688463000013</v>
      </c>
      <c r="U90" s="1057">
        <f>$E$90*비용집행계획!P88</f>
        <v>52750.688463000013</v>
      </c>
      <c r="V90" s="1057">
        <f>$E$90*비용집행계획!Q88</f>
        <v>52750.688463000013</v>
      </c>
      <c r="W90" s="1057">
        <f>$E$90*비용집행계획!R88</f>
        <v>52750.688463000013</v>
      </c>
      <c r="X90" s="1057">
        <f>$E$90*비용집행계획!S88</f>
        <v>52750.688463000013</v>
      </c>
      <c r="Y90" s="1057">
        <f>$E$90*비용집행계획!T88</f>
        <v>52750.688463000013</v>
      </c>
      <c r="Z90" s="1057">
        <f>$E$90*비용집행계획!U88</f>
        <v>52750.688463000013</v>
      </c>
      <c r="AA90" s="1057">
        <f>$E$90*비용집행계획!V88</f>
        <v>52750.688463000013</v>
      </c>
      <c r="AB90" s="1057">
        <f>$E$90*비용집행계획!W88</f>
        <v>52750.688463000013</v>
      </c>
      <c r="AC90" s="1057">
        <f>$E$90*비용집행계획!X88</f>
        <v>52750.688463000013</v>
      </c>
      <c r="AD90" s="1057">
        <f>$E$90*비용집행계획!Y88</f>
        <v>52750.688463000013</v>
      </c>
      <c r="AE90" s="1057">
        <f>$E$90*비용집행계획!Z88</f>
        <v>52750.688463000013</v>
      </c>
      <c r="AF90" s="1057">
        <f>$E$90*비용집행계획!AA88</f>
        <v>52750.688463000013</v>
      </c>
      <c r="AG90" s="1057">
        <f>$E$90*비용집행계획!AB88</f>
        <v>52750.688463000013</v>
      </c>
      <c r="AH90" s="1057">
        <f>$E$90*비용집행계획!AC88</f>
        <v>52750.688463000013</v>
      </c>
      <c r="AI90" s="1057">
        <f>$E$90*비용집행계획!AD88</f>
        <v>52750.688463000013</v>
      </c>
      <c r="AJ90" s="1057">
        <f>$E$90*비용집행계획!AE88</f>
        <v>52750.688463000013</v>
      </c>
      <c r="AK90" s="1057">
        <f>$E$90*비용집행계획!AF88</f>
        <v>52750.688463000013</v>
      </c>
      <c r="AL90" s="1057">
        <f>$E$90*비용집행계획!AG88</f>
        <v>52750.688463000013</v>
      </c>
      <c r="AM90" s="1057">
        <f>$E$90*비용집행계획!AH88</f>
        <v>52750.688463000013</v>
      </c>
      <c r="AN90" s="1057">
        <f>$E$90*비용집행계획!AI88</f>
        <v>52750.688463000013</v>
      </c>
      <c r="AO90" s="1057">
        <f>$E$90*비용집행계획!AJ88</f>
        <v>52750.688463000013</v>
      </c>
      <c r="AP90" s="1057">
        <f>$E$90*비용집행계획!AK88</f>
        <v>52750.688463000013</v>
      </c>
      <c r="AQ90" s="1057">
        <f>$E$90*비용집행계획!AL88</f>
        <v>52750.688463000013</v>
      </c>
      <c r="AR90" s="1057">
        <f>$E$90*비용집행계획!AM88</f>
        <v>0</v>
      </c>
      <c r="AS90" s="1057">
        <f>$E$90*비용집행계획!AN88</f>
        <v>0</v>
      </c>
      <c r="AT90" s="1057">
        <f>$E$90*비용집행계획!AO88</f>
        <v>0</v>
      </c>
      <c r="AU90" s="1057">
        <f>$E$90*비용집행계획!AP88</f>
        <v>0</v>
      </c>
      <c r="AV90" s="1057">
        <f>$E$90*비용집행계획!AQ88</f>
        <v>0</v>
      </c>
      <c r="AW90" s="1057">
        <f>$E$90*비용집행계획!AR88</f>
        <v>0</v>
      </c>
      <c r="AX90" s="1057">
        <f>$E$90*비용집행계획!AS88</f>
        <v>0</v>
      </c>
      <c r="AY90" s="1057">
        <f>$E$90*비용집행계획!AT88</f>
        <v>0</v>
      </c>
      <c r="AZ90" s="1057">
        <f>$E$90*비용집행계획!AU88</f>
        <v>0</v>
      </c>
      <c r="BA90" s="1057">
        <f>$E$90*비용집행계획!AV88</f>
        <v>0</v>
      </c>
      <c r="BB90" s="1057">
        <f>$E$90*비용집행계획!AW88</f>
        <v>0</v>
      </c>
      <c r="BC90" s="1057">
        <f>$E$90*비용집행계획!AX88</f>
        <v>0</v>
      </c>
      <c r="BD90" s="1057">
        <f>$E$90*비용집행계획!AY88</f>
        <v>0</v>
      </c>
      <c r="BE90" s="1057">
        <f>$E$90*비용집행계획!AZ88</f>
        <v>0</v>
      </c>
      <c r="BF90" s="1057">
        <f>$E$90*비용집행계획!BA88</f>
        <v>0</v>
      </c>
      <c r="BG90" s="1057">
        <f>$E$90*비용집행계획!BB88</f>
        <v>0</v>
      </c>
      <c r="BH90" s="1057">
        <f>$E$90*비용집행계획!BC88</f>
        <v>0</v>
      </c>
      <c r="BI90" s="1057">
        <f>$E$90*비용집행계획!BD88</f>
        <v>0</v>
      </c>
      <c r="BJ90" s="1057">
        <f>$E$90*비용집행계획!BE88</f>
        <v>0</v>
      </c>
      <c r="BK90" s="1057">
        <f>$E$90*비용집행계획!BF88</f>
        <v>0</v>
      </c>
      <c r="BL90" s="1057">
        <f>$E$90*비용집행계획!BG88</f>
        <v>0</v>
      </c>
      <c r="BM90" s="1057">
        <f>$E$90*비용집행계획!BH88</f>
        <v>0</v>
      </c>
      <c r="BN90" s="1057">
        <f>$E$90*비용집행계획!BI88</f>
        <v>0</v>
      </c>
      <c r="BO90" s="1057">
        <f>$E$90*비용집행계획!BJ88</f>
        <v>0</v>
      </c>
      <c r="BP90" s="1057">
        <f>$E$90*비용집행계획!BK88</f>
        <v>0</v>
      </c>
      <c r="BQ90" s="1057">
        <f>$E$90*비용집행계획!BL88</f>
        <v>0</v>
      </c>
      <c r="BR90" s="1057">
        <f>$E$90*비용집행계획!BM88</f>
        <v>0</v>
      </c>
      <c r="BS90" s="1057">
        <f>$E$90*비용집행계획!BN88</f>
        <v>0</v>
      </c>
      <c r="BT90" s="1057">
        <f>$E$90*비용집행계획!BO88</f>
        <v>0</v>
      </c>
      <c r="BU90" s="1057">
        <f>$E$90*비용집행계획!BP88</f>
        <v>0</v>
      </c>
      <c r="BV90" s="1057">
        <f>$E$90*비용집행계획!BQ88</f>
        <v>0</v>
      </c>
      <c r="BW90" s="1057">
        <f>$E$90*비용집행계획!BR88</f>
        <v>0</v>
      </c>
      <c r="BX90" s="1057">
        <f>$E$90*비용집행계획!BS88</f>
        <v>0</v>
      </c>
      <c r="BY90" s="1074" t="str">
        <f t="shared" si="98"/>
        <v>예비비</v>
      </c>
      <c r="BZ90" s="1106">
        <f t="shared" si="101"/>
        <v>1582520.6538900014</v>
      </c>
      <c r="CA90" s="1111" t="b">
        <f t="shared" si="97"/>
        <v>1</v>
      </c>
    </row>
    <row r="91" spans="2:79" s="1038" customFormat="1" ht="15.6">
      <c r="B91" s="1103" t="str">
        <f>'사업수지표 '!C76</f>
        <v>시행사운영비</v>
      </c>
      <c r="C91" s="1931" t="s">
        <v>1615</v>
      </c>
      <c r="D91" s="1122">
        <f>'사업수지표 '!K76</f>
        <v>30000</v>
      </c>
      <c r="E91" s="1105">
        <f>'사업수지표 '!E76:E76</f>
        <v>1050000</v>
      </c>
      <c r="F91" s="1058" t="b">
        <f t="shared" si="87"/>
        <v>1</v>
      </c>
      <c r="G91" s="1056"/>
      <c r="H91" s="1057"/>
      <c r="I91" s="1057"/>
      <c r="J91" s="1057">
        <f>$D$91*비용집행계획!E89</f>
        <v>0</v>
      </c>
      <c r="K91" s="1057">
        <f>$D$91*비용집행계획!F89</f>
        <v>0</v>
      </c>
      <c r="L91" s="1057">
        <f>$D$91*비용집행계획!G89</f>
        <v>30000</v>
      </c>
      <c r="M91" s="1057">
        <f>$D$91*비용집행계획!H89</f>
        <v>30000</v>
      </c>
      <c r="N91" s="1057">
        <f>$D$91*비용집행계획!I89</f>
        <v>30000</v>
      </c>
      <c r="O91" s="1057">
        <f>$D$91*비용집행계획!J89</f>
        <v>30000</v>
      </c>
      <c r="P91" s="1057">
        <f>$D$91*비용집행계획!K89</f>
        <v>30000</v>
      </c>
      <c r="Q91" s="1057">
        <f>$D$91*비용집행계획!L89</f>
        <v>30000</v>
      </c>
      <c r="R91" s="1057">
        <f>$D$91*비용집행계획!M89</f>
        <v>30000</v>
      </c>
      <c r="S91" s="1057">
        <f>$D$91*비용집행계획!N89</f>
        <v>30000</v>
      </c>
      <c r="T91" s="1057">
        <f>$D$91*비용집행계획!O89</f>
        <v>30000</v>
      </c>
      <c r="U91" s="1057">
        <f>$D$91*비용집행계획!P89</f>
        <v>30000</v>
      </c>
      <c r="V91" s="1057">
        <f>$D$91*비용집행계획!Q89</f>
        <v>30000</v>
      </c>
      <c r="W91" s="1057">
        <f>$D$91*비용집행계획!R89</f>
        <v>30000</v>
      </c>
      <c r="X91" s="1057">
        <f>$D$91*비용집행계획!S89</f>
        <v>30000</v>
      </c>
      <c r="Y91" s="1057">
        <f>$D$91*비용집행계획!T89</f>
        <v>30000</v>
      </c>
      <c r="Z91" s="1057">
        <f>$D$91*비용집행계획!U89</f>
        <v>30000</v>
      </c>
      <c r="AA91" s="1057">
        <f>$D$91*비용집행계획!V89</f>
        <v>30000</v>
      </c>
      <c r="AB91" s="1057">
        <f>$D$91*비용집행계획!W89</f>
        <v>30000</v>
      </c>
      <c r="AC91" s="1057">
        <f>$D$91*비용집행계획!X89</f>
        <v>30000</v>
      </c>
      <c r="AD91" s="1057">
        <f>$D$91*비용집행계획!Y89</f>
        <v>30000</v>
      </c>
      <c r="AE91" s="1057">
        <f>$D$91*비용집행계획!Z89</f>
        <v>30000</v>
      </c>
      <c r="AF91" s="1057">
        <f>$D$91*비용집행계획!AA89</f>
        <v>30000</v>
      </c>
      <c r="AG91" s="1057">
        <f>$D$91*비용집행계획!AB89</f>
        <v>30000</v>
      </c>
      <c r="AH91" s="1057">
        <f>$D$91*비용집행계획!AC89</f>
        <v>30000</v>
      </c>
      <c r="AI91" s="1057">
        <f>$D$91*비용집행계획!AD89</f>
        <v>30000</v>
      </c>
      <c r="AJ91" s="1057">
        <f>$D$91*비용집행계획!AE89</f>
        <v>30000</v>
      </c>
      <c r="AK91" s="1057">
        <f>$D$91*비용집행계획!AF89</f>
        <v>30000</v>
      </c>
      <c r="AL91" s="1057">
        <f>$D$91*비용집행계획!AG89</f>
        <v>30000</v>
      </c>
      <c r="AM91" s="1057">
        <f>$D$91*비용집행계획!AH89</f>
        <v>30000</v>
      </c>
      <c r="AN91" s="1057">
        <f>$D$91*비용집행계획!AI89</f>
        <v>30000</v>
      </c>
      <c r="AO91" s="1057">
        <f>$D$91*비용집행계획!AJ89</f>
        <v>30000</v>
      </c>
      <c r="AP91" s="1057">
        <f>$D$91*비용집행계획!AK89</f>
        <v>30000</v>
      </c>
      <c r="AQ91" s="1057">
        <f>$D$91*비용집행계획!AL89</f>
        <v>30000</v>
      </c>
      <c r="AR91" s="1057">
        <f>$D$91*비용집행계획!AM89</f>
        <v>0</v>
      </c>
      <c r="AS91" s="1057">
        <f>$D$91*비용집행계획!AN89</f>
        <v>0</v>
      </c>
      <c r="AT91" s="1057">
        <f>$D$91*비용집행계획!AO89</f>
        <v>0</v>
      </c>
      <c r="AU91" s="1057">
        <f>$D$91*비용집행계획!AP89</f>
        <v>0</v>
      </c>
      <c r="AV91" s="1057">
        <f>$D$91*비용집행계획!AQ89</f>
        <v>0</v>
      </c>
      <c r="AW91" s="1057">
        <f>$D$91*비용집행계획!AR89</f>
        <v>0</v>
      </c>
      <c r="AX91" s="1057">
        <f>$D$91*비용집행계획!AS89</f>
        <v>0</v>
      </c>
      <c r="AY91" s="1057">
        <f>$D$91*비용집행계획!AT89</f>
        <v>0</v>
      </c>
      <c r="AZ91" s="1057">
        <f>$D$91*비용집행계획!AU89</f>
        <v>0</v>
      </c>
      <c r="BA91" s="1057">
        <f>$D$91*비용집행계획!AV89</f>
        <v>0</v>
      </c>
      <c r="BB91" s="1057">
        <f>$D$91*비용집행계획!AW89</f>
        <v>0</v>
      </c>
      <c r="BC91" s="1057">
        <f>$D$91*비용집행계획!AX89</f>
        <v>0</v>
      </c>
      <c r="BD91" s="1057">
        <f>$D$91*비용집행계획!AY89</f>
        <v>0</v>
      </c>
      <c r="BE91" s="1057">
        <f>$D$91*비용집행계획!AZ89</f>
        <v>0</v>
      </c>
      <c r="BF91" s="1057">
        <f>$D$91*비용집행계획!BA89</f>
        <v>0</v>
      </c>
      <c r="BG91" s="1057">
        <f>$D$91*비용집행계획!BB89</f>
        <v>0</v>
      </c>
      <c r="BH91" s="1057">
        <f>$D$91*비용집행계획!BC89</f>
        <v>0</v>
      </c>
      <c r="BI91" s="1057">
        <f>$D$91*비용집행계획!BD89</f>
        <v>0</v>
      </c>
      <c r="BJ91" s="1057">
        <f>$D$91*비용집행계획!BE89</f>
        <v>0</v>
      </c>
      <c r="BK91" s="1057">
        <f>$D$91*비용집행계획!BF89</f>
        <v>0</v>
      </c>
      <c r="BL91" s="1057">
        <f>$D$91*비용집행계획!BG89</f>
        <v>0</v>
      </c>
      <c r="BM91" s="1057">
        <f>$D$91*비용집행계획!BH89</f>
        <v>0</v>
      </c>
      <c r="BN91" s="1057">
        <f>$D$91*비용집행계획!BI89</f>
        <v>0</v>
      </c>
      <c r="BO91" s="1057">
        <f>$D$91*비용집행계획!BJ89</f>
        <v>0</v>
      </c>
      <c r="BP91" s="1057">
        <f>$D$91*비용집행계획!BK89</f>
        <v>0</v>
      </c>
      <c r="BQ91" s="1057">
        <f>$D$91*비용집행계획!BL89</f>
        <v>0</v>
      </c>
      <c r="BR91" s="1057">
        <f>$D$91*비용집행계획!BM89</f>
        <v>0</v>
      </c>
      <c r="BS91" s="1057">
        <f>$D$91*비용집행계획!BN89</f>
        <v>0</v>
      </c>
      <c r="BT91" s="1057">
        <f>$D$91*비용집행계획!BO89</f>
        <v>0</v>
      </c>
      <c r="BU91" s="1057">
        <f>$D$91*비용집행계획!BP89</f>
        <v>0</v>
      </c>
      <c r="BV91" s="1057">
        <f>$D$91*비용집행계획!BQ89</f>
        <v>30000</v>
      </c>
      <c r="BW91" s="1057">
        <f>$D$91*비용집행계획!BR89</f>
        <v>30000</v>
      </c>
      <c r="BX91" s="1057">
        <f>$D$91*비용집행계획!BS89</f>
        <v>30000</v>
      </c>
      <c r="BY91" s="1074" t="str">
        <f t="shared" si="98"/>
        <v>시행사운영비</v>
      </c>
      <c r="BZ91" s="1106">
        <f t="shared" si="101"/>
        <v>1050000</v>
      </c>
      <c r="CA91" s="1111" t="b">
        <f t="shared" si="97"/>
        <v>1</v>
      </c>
    </row>
    <row r="92" spans="2:79" s="1038" customFormat="1" ht="15.6">
      <c r="B92" s="1103" t="str">
        <f>'사업수지표 '!C77</f>
        <v>입주관리비</v>
      </c>
      <c r="C92" s="1892"/>
      <c r="D92" s="1125"/>
      <c r="E92" s="1105">
        <f>'사업수지표 '!E77:E77</f>
        <v>109800</v>
      </c>
      <c r="F92" s="1058" t="b">
        <f t="shared" si="87"/>
        <v>1</v>
      </c>
      <c r="G92" s="1056"/>
      <c r="H92" s="1057"/>
      <c r="I92" s="1057"/>
      <c r="J92" s="1057">
        <f>$E$92*비용집행계획!E90</f>
        <v>0</v>
      </c>
      <c r="K92" s="1057">
        <f>$E$92*비용집행계획!F90</f>
        <v>0</v>
      </c>
      <c r="L92" s="1057">
        <f>$E$92*비용집행계획!G90</f>
        <v>0</v>
      </c>
      <c r="M92" s="1057">
        <f>$E$92*비용집행계획!H90</f>
        <v>0</v>
      </c>
      <c r="N92" s="1057">
        <f>$E$92*비용집행계획!I90</f>
        <v>0</v>
      </c>
      <c r="O92" s="1057">
        <f>$E$92*비용집행계획!J90</f>
        <v>0</v>
      </c>
      <c r="P92" s="1057">
        <f>$E$92*비용집행계획!K90</f>
        <v>0</v>
      </c>
      <c r="Q92" s="1057">
        <f>$E$92*비용집행계획!L90</f>
        <v>0</v>
      </c>
      <c r="R92" s="1057">
        <f>$E$92*비용집행계획!M90</f>
        <v>0</v>
      </c>
      <c r="S92" s="1057">
        <f>$E$92*비용집행계획!N90</f>
        <v>0</v>
      </c>
      <c r="T92" s="1057">
        <f>$E$92*비용집행계획!O90</f>
        <v>0</v>
      </c>
      <c r="U92" s="1057">
        <f>$E$92*비용집행계획!P90</f>
        <v>0</v>
      </c>
      <c r="V92" s="1057">
        <f>$E$92*비용집행계획!Q90</f>
        <v>0</v>
      </c>
      <c r="W92" s="1057">
        <f>$E$92*비용집행계획!R90</f>
        <v>0</v>
      </c>
      <c r="X92" s="1057">
        <f>$E$92*비용집행계획!S90</f>
        <v>0</v>
      </c>
      <c r="Y92" s="1057">
        <f>$E$92*비용집행계획!T90</f>
        <v>0</v>
      </c>
      <c r="Z92" s="1057">
        <f>$E$92*비용집행계획!U90</f>
        <v>0</v>
      </c>
      <c r="AA92" s="1057">
        <f>$E$92*비용집행계획!V90</f>
        <v>0</v>
      </c>
      <c r="AB92" s="1057">
        <f>$E$92*비용집행계획!W90</f>
        <v>0</v>
      </c>
      <c r="AC92" s="1057">
        <f>$E$92*비용집행계획!X90</f>
        <v>0</v>
      </c>
      <c r="AD92" s="1057">
        <f>$E$92*비용집행계획!Y90</f>
        <v>0</v>
      </c>
      <c r="AE92" s="1057">
        <f>$E$92*비용집행계획!Z90</f>
        <v>0</v>
      </c>
      <c r="AF92" s="1057">
        <f>$E$92*비용집행계획!AA90</f>
        <v>0</v>
      </c>
      <c r="AG92" s="1057">
        <f>$E$92*비용집행계획!AB90</f>
        <v>0</v>
      </c>
      <c r="AH92" s="1057">
        <f>$E$92*비용집행계획!AC90</f>
        <v>0</v>
      </c>
      <c r="AI92" s="1057">
        <f>$E$92*비용집행계획!AD90</f>
        <v>0</v>
      </c>
      <c r="AJ92" s="1057">
        <f>$E$92*비용집행계획!AE90</f>
        <v>0</v>
      </c>
      <c r="AK92" s="1057">
        <f>$E$92*비용집행계획!AF90</f>
        <v>0</v>
      </c>
      <c r="AL92" s="1057">
        <f>$E$92*비용집행계획!AG90</f>
        <v>0</v>
      </c>
      <c r="AM92" s="1057">
        <f>$E$92*비용집행계획!AH90</f>
        <v>0</v>
      </c>
      <c r="AN92" s="1057">
        <f>$E$92*비용집행계획!AI90</f>
        <v>0</v>
      </c>
      <c r="AO92" s="1057">
        <f>$E$92*비용집행계획!AJ90</f>
        <v>0</v>
      </c>
      <c r="AP92" s="1057">
        <f>$E$92*비용집행계획!AK90</f>
        <v>0</v>
      </c>
      <c r="AQ92" s="1057">
        <f>$E$92*비용집행계획!AL90</f>
        <v>54900</v>
      </c>
      <c r="AR92" s="1057">
        <f>$E$92*비용집행계획!AM90</f>
        <v>0</v>
      </c>
      <c r="AS92" s="1057">
        <f>$E$92*비용집행계획!AN90</f>
        <v>0</v>
      </c>
      <c r="AT92" s="1057">
        <f>$E$92*비용집행계획!AO90</f>
        <v>0</v>
      </c>
      <c r="AU92" s="1057">
        <f>$E$92*비용집행계획!AP90</f>
        <v>0</v>
      </c>
      <c r="AV92" s="1057">
        <f>$E$92*비용집행계획!AQ90</f>
        <v>0</v>
      </c>
      <c r="AW92" s="1057">
        <f>$E$92*비용집행계획!AR90</f>
        <v>0</v>
      </c>
      <c r="AX92" s="1057">
        <f>$E$92*비용집행계획!AS90</f>
        <v>0</v>
      </c>
      <c r="AY92" s="1057">
        <f>$E$92*비용집행계획!AT90</f>
        <v>0</v>
      </c>
      <c r="AZ92" s="1057">
        <f>$E$92*비용집행계획!AU90</f>
        <v>0</v>
      </c>
      <c r="BA92" s="1057">
        <f>$E$92*비용집행계획!AV90</f>
        <v>0</v>
      </c>
      <c r="BB92" s="1057">
        <f>$E$92*비용집행계획!AW90</f>
        <v>0</v>
      </c>
      <c r="BC92" s="1057">
        <f>$E$92*비용집행계획!AX90</f>
        <v>0</v>
      </c>
      <c r="BD92" s="1057">
        <f>$E$92*비용집행계획!AY90</f>
        <v>0</v>
      </c>
      <c r="BE92" s="1057">
        <f>$E$92*비용집행계획!AZ90</f>
        <v>0</v>
      </c>
      <c r="BF92" s="1057">
        <f>$E$92*비용집행계획!BA90</f>
        <v>0</v>
      </c>
      <c r="BG92" s="1057">
        <f>$E$92*비용집행계획!BB90</f>
        <v>0</v>
      </c>
      <c r="BH92" s="1057">
        <f>$E$92*비용집행계획!BC90</f>
        <v>0</v>
      </c>
      <c r="BI92" s="1057">
        <f>$E$92*비용집행계획!BD90</f>
        <v>0</v>
      </c>
      <c r="BJ92" s="1057">
        <f>$E$92*비용집행계획!BE90</f>
        <v>0</v>
      </c>
      <c r="BK92" s="1057">
        <f>$E$92*비용집행계획!BF90</f>
        <v>0</v>
      </c>
      <c r="BL92" s="1057">
        <f>$E$92*비용집행계획!BG90</f>
        <v>0</v>
      </c>
      <c r="BM92" s="1057">
        <f>$E$92*비용집행계획!BH90</f>
        <v>0</v>
      </c>
      <c r="BN92" s="1057">
        <f>$E$92*비용집행계획!BI90</f>
        <v>0</v>
      </c>
      <c r="BO92" s="1057">
        <f>$E$92*비용집행계획!BJ90</f>
        <v>0</v>
      </c>
      <c r="BP92" s="1057">
        <f>$E$92*비용집행계획!BK90</f>
        <v>0</v>
      </c>
      <c r="BQ92" s="1057">
        <f>$E$92*비용집행계획!BL90</f>
        <v>0</v>
      </c>
      <c r="BR92" s="1057">
        <f>$E$92*비용집행계획!BM90</f>
        <v>0</v>
      </c>
      <c r="BS92" s="1057">
        <f>$E$92*비용집행계획!BN90</f>
        <v>0</v>
      </c>
      <c r="BT92" s="1057">
        <f>$E$92*비용집행계획!BO90</f>
        <v>0</v>
      </c>
      <c r="BU92" s="1057">
        <f>$E$92*비용집행계획!BP90</f>
        <v>0</v>
      </c>
      <c r="BV92" s="1057">
        <f>$E$92*비용집행계획!BQ90</f>
        <v>54900</v>
      </c>
      <c r="BW92" s="1057">
        <f>$E$92*비용집행계획!BR90</f>
        <v>0</v>
      </c>
      <c r="BX92" s="1057">
        <f>$E$92*비용집행계획!BS90</f>
        <v>0</v>
      </c>
      <c r="BY92" s="1074" t="str">
        <f t="shared" si="98"/>
        <v>입주관리비</v>
      </c>
      <c r="BZ92" s="1106">
        <f t="shared" si="101"/>
        <v>109800</v>
      </c>
      <c r="CA92" s="1111" t="b">
        <f t="shared" si="97"/>
        <v>1</v>
      </c>
    </row>
    <row r="93" spans="2:79" s="1038" customFormat="1" ht="15.6">
      <c r="B93" s="1103" t="str">
        <f>'사업수지표 '!C78</f>
        <v>법률자문료/사업성평가</v>
      </c>
      <c r="C93" s="1892"/>
      <c r="D93" s="1104"/>
      <c r="E93" s="1105">
        <f>'사업수지표 '!E78:E78</f>
        <v>100000</v>
      </c>
      <c r="F93" s="1058" t="b">
        <f t="shared" si="87"/>
        <v>1</v>
      </c>
      <c r="G93" s="1056"/>
      <c r="H93" s="1057"/>
      <c r="I93" s="1057"/>
      <c r="J93" s="1057">
        <f>$E$93*비용집행계획!E96</f>
        <v>0</v>
      </c>
      <c r="K93" s="1057">
        <f>$E$93*비용집행계획!F96</f>
        <v>100000</v>
      </c>
      <c r="L93" s="1057">
        <f>$E$93*비용집행계획!G96</f>
        <v>0</v>
      </c>
      <c r="M93" s="1057">
        <f>$E$93*비용집행계획!H96</f>
        <v>0</v>
      </c>
      <c r="N93" s="1057">
        <f>$E$93*비용집행계획!I96</f>
        <v>0</v>
      </c>
      <c r="O93" s="1057">
        <f>$E$93*비용집행계획!J96</f>
        <v>0</v>
      </c>
      <c r="P93" s="1057">
        <f>$E$93*비용집행계획!K96</f>
        <v>0</v>
      </c>
      <c r="Q93" s="1057">
        <f>$E$93*비용집행계획!L96</f>
        <v>0</v>
      </c>
      <c r="R93" s="1057">
        <f>$E$93*비용집행계획!M96</f>
        <v>0</v>
      </c>
      <c r="S93" s="1057">
        <f>$E$93*비용집행계획!N96</f>
        <v>0</v>
      </c>
      <c r="T93" s="1057">
        <f>$E$93*비용집행계획!O96</f>
        <v>0</v>
      </c>
      <c r="U93" s="1057">
        <f>$E$93*비용집행계획!P96</f>
        <v>0</v>
      </c>
      <c r="V93" s="1057">
        <f>$E$93*비용집행계획!Q96</f>
        <v>0</v>
      </c>
      <c r="W93" s="1057">
        <f>$E$93*비용집행계획!R96</f>
        <v>0</v>
      </c>
      <c r="X93" s="1057">
        <f>$E$93*비용집행계획!S96</f>
        <v>0</v>
      </c>
      <c r="Y93" s="1057">
        <f>$E$93*비용집행계획!T96</f>
        <v>0</v>
      </c>
      <c r="Z93" s="1057">
        <f>$E$93*비용집행계획!U96</f>
        <v>0</v>
      </c>
      <c r="AA93" s="1057">
        <f>$E$93*비용집행계획!V96</f>
        <v>0</v>
      </c>
      <c r="AB93" s="1057">
        <f>$E$93*비용집행계획!W96</f>
        <v>0</v>
      </c>
      <c r="AC93" s="1057">
        <f>$E$93*비용집행계획!X96</f>
        <v>0</v>
      </c>
      <c r="AD93" s="1057">
        <f>$E$93*비용집행계획!Y96</f>
        <v>0</v>
      </c>
      <c r="AE93" s="1057">
        <f>$E$93*비용집행계획!Z96</f>
        <v>0</v>
      </c>
      <c r="AF93" s="1057">
        <f>$E$93*비용집행계획!AA96</f>
        <v>0</v>
      </c>
      <c r="AG93" s="1057">
        <f>$E$93*비용집행계획!AB96</f>
        <v>0</v>
      </c>
      <c r="AH93" s="1057">
        <f>$E$93*비용집행계획!AC96</f>
        <v>0</v>
      </c>
      <c r="AI93" s="1057">
        <f>$E$93*비용집행계획!AD96</f>
        <v>0</v>
      </c>
      <c r="AJ93" s="1057">
        <f>$E$93*비용집행계획!AE96</f>
        <v>0</v>
      </c>
      <c r="AK93" s="1057">
        <f>$E$93*비용집행계획!AF96</f>
        <v>0</v>
      </c>
      <c r="AL93" s="1057">
        <f>$E$93*비용집행계획!AG96</f>
        <v>0</v>
      </c>
      <c r="AM93" s="1057">
        <f>$E$93*비용집행계획!AH96</f>
        <v>0</v>
      </c>
      <c r="AN93" s="1057">
        <f>$E$93*비용집행계획!AI96</f>
        <v>0</v>
      </c>
      <c r="AO93" s="1057">
        <f>$E$93*비용집행계획!AJ96</f>
        <v>0</v>
      </c>
      <c r="AP93" s="1057">
        <f>$E$93*비용집행계획!AK96</f>
        <v>0</v>
      </c>
      <c r="AQ93" s="1057">
        <f>$E$93*비용집행계획!AL96</f>
        <v>0</v>
      </c>
      <c r="AR93" s="1057">
        <f>$E$93*비용집행계획!AM96</f>
        <v>0</v>
      </c>
      <c r="AS93" s="1057">
        <f>$E$93*비용집행계획!AN96</f>
        <v>0</v>
      </c>
      <c r="AT93" s="1057">
        <f>$E$93*비용집행계획!AO96</f>
        <v>0</v>
      </c>
      <c r="AU93" s="1057">
        <f>$E$93*비용집행계획!AP96</f>
        <v>0</v>
      </c>
      <c r="AV93" s="1057">
        <f>$E$93*비용집행계획!AQ96</f>
        <v>0</v>
      </c>
      <c r="AW93" s="1057">
        <f>$E$93*비용집행계획!AR96</f>
        <v>0</v>
      </c>
      <c r="AX93" s="1057">
        <f>$E$93*비용집행계획!AS96</f>
        <v>0</v>
      </c>
      <c r="AY93" s="1057">
        <f>$E$93*비용집행계획!AT96</f>
        <v>0</v>
      </c>
      <c r="AZ93" s="1057">
        <f>$E$93*비용집행계획!AU96</f>
        <v>0</v>
      </c>
      <c r="BA93" s="1057">
        <f>$E$93*비용집행계획!AV96</f>
        <v>0</v>
      </c>
      <c r="BB93" s="1057">
        <f>$E$93*비용집행계획!AW96</f>
        <v>0</v>
      </c>
      <c r="BC93" s="1057">
        <f>$E$93*비용집행계획!AX96</f>
        <v>0</v>
      </c>
      <c r="BD93" s="1057">
        <f>$E$93*비용집행계획!AY96</f>
        <v>0</v>
      </c>
      <c r="BE93" s="1057">
        <f>$E$93*비용집행계획!AZ96</f>
        <v>0</v>
      </c>
      <c r="BF93" s="1057">
        <f>$E$93*비용집행계획!BA96</f>
        <v>0</v>
      </c>
      <c r="BG93" s="1057">
        <f>$E$93*비용집행계획!BB96</f>
        <v>0</v>
      </c>
      <c r="BH93" s="1057">
        <f>$E$93*비용집행계획!BC96</f>
        <v>0</v>
      </c>
      <c r="BI93" s="1057">
        <f>$E$93*비용집행계획!BD96</f>
        <v>0</v>
      </c>
      <c r="BJ93" s="1057">
        <f>$E$93*비용집행계획!BE96</f>
        <v>0</v>
      </c>
      <c r="BK93" s="1057">
        <f>$E$93*비용집행계획!BF96</f>
        <v>0</v>
      </c>
      <c r="BL93" s="1057">
        <f>$E$93*비용집행계획!BG96</f>
        <v>0</v>
      </c>
      <c r="BM93" s="1057">
        <f>$E$93*비용집행계획!BH96</f>
        <v>0</v>
      </c>
      <c r="BN93" s="1057">
        <f>$E$93*비용집행계획!BI96</f>
        <v>0</v>
      </c>
      <c r="BO93" s="1057">
        <f>$E$93*비용집행계획!BJ96</f>
        <v>0</v>
      </c>
      <c r="BP93" s="1057">
        <f>$E$93*비용집행계획!BK96</f>
        <v>0</v>
      </c>
      <c r="BQ93" s="1057">
        <f>$E$93*비용집행계획!BL96</f>
        <v>0</v>
      </c>
      <c r="BR93" s="1057">
        <f>$E$93*비용집행계획!BM96</f>
        <v>0</v>
      </c>
      <c r="BS93" s="1057">
        <f>$E$93*비용집행계획!BN96</f>
        <v>0</v>
      </c>
      <c r="BT93" s="1057">
        <f>$E$93*비용집행계획!BO96</f>
        <v>0</v>
      </c>
      <c r="BU93" s="1057">
        <f>$E$93*비용집행계획!BP96</f>
        <v>0</v>
      </c>
      <c r="BV93" s="1057">
        <f>$E$93*비용집행계획!BQ96</f>
        <v>0</v>
      </c>
      <c r="BW93" s="1057">
        <f>$E$93*비용집행계획!BR96</f>
        <v>0</v>
      </c>
      <c r="BX93" s="1057">
        <f>$E$93*비용집행계획!BS96</f>
        <v>0</v>
      </c>
      <c r="BY93" s="1074" t="str">
        <f t="shared" si="98"/>
        <v>법률자문료/사업성평가</v>
      </c>
      <c r="BZ93" s="1106">
        <f t="shared" si="101"/>
        <v>100000</v>
      </c>
      <c r="CA93" s="1111" t="b">
        <f t="shared" si="97"/>
        <v>1</v>
      </c>
    </row>
    <row r="94" spans="2:79" s="1038" customFormat="1" ht="15.6">
      <c r="B94" s="1103" t="str">
        <f>'사업수지표 '!C79</f>
        <v>PM용역비</v>
      </c>
      <c r="C94" s="1892"/>
      <c r="D94" s="1104"/>
      <c r="E94" s="1105">
        <f>'사업수지표 '!E79:E79</f>
        <v>0</v>
      </c>
      <c r="F94" s="1058" t="b">
        <f t="shared" si="87"/>
        <v>1</v>
      </c>
      <c r="G94" s="1056"/>
      <c r="H94" s="1057"/>
      <c r="I94" s="1057"/>
      <c r="J94" s="1057">
        <f>$E$94*비용집행계획!E84</f>
        <v>0</v>
      </c>
      <c r="K94" s="1057">
        <f>$E$94*비용집행계획!F84</f>
        <v>0</v>
      </c>
      <c r="L94" s="1057">
        <f>$E$94*비용집행계획!G84</f>
        <v>0</v>
      </c>
      <c r="M94" s="1057">
        <f>$E$94*비용집행계획!H84</f>
        <v>0</v>
      </c>
      <c r="N94" s="1057">
        <f>$E$94*비용집행계획!I84</f>
        <v>0</v>
      </c>
      <c r="O94" s="1057">
        <f>$E$94*비용집행계획!J84</f>
        <v>0</v>
      </c>
      <c r="P94" s="1057">
        <f>$E$94*비용집행계획!K84</f>
        <v>0</v>
      </c>
      <c r="Q94" s="1057">
        <f>$E$94*비용집행계획!L84</f>
        <v>0</v>
      </c>
      <c r="R94" s="1057">
        <f>$E$94*비용집행계획!M84</f>
        <v>0</v>
      </c>
      <c r="S94" s="1057">
        <f>$E$94*비용집행계획!N84</f>
        <v>0</v>
      </c>
      <c r="T94" s="1057">
        <f>$E$94*비용집행계획!O84</f>
        <v>0</v>
      </c>
      <c r="U94" s="1057">
        <f>$E$94*비용집행계획!P84</f>
        <v>0</v>
      </c>
      <c r="V94" s="1057">
        <f>$E$94*비용집행계획!Q84</f>
        <v>0</v>
      </c>
      <c r="W94" s="1057">
        <f>$E$94*비용집행계획!R84</f>
        <v>0</v>
      </c>
      <c r="X94" s="1057">
        <f>$E$94*비용집행계획!S84</f>
        <v>0</v>
      </c>
      <c r="Y94" s="1057">
        <f>$E$94*비용집행계획!T84</f>
        <v>0</v>
      </c>
      <c r="Z94" s="1057">
        <f>$E$94*비용집행계획!U84</f>
        <v>0</v>
      </c>
      <c r="AA94" s="1057">
        <f>$E$94*비용집행계획!V84</f>
        <v>0</v>
      </c>
      <c r="AB94" s="1057">
        <f>$E$94*비용집행계획!W84</f>
        <v>0</v>
      </c>
      <c r="AC94" s="1057">
        <f>$E$94*비용집행계획!X84</f>
        <v>0</v>
      </c>
      <c r="AD94" s="1057">
        <f>$E$94*비용집행계획!Y84</f>
        <v>0</v>
      </c>
      <c r="AE94" s="1057">
        <f>$E$94*비용집행계획!Z84</f>
        <v>0</v>
      </c>
      <c r="AF94" s="1057">
        <f>$E$94*비용집행계획!AA84</f>
        <v>0</v>
      </c>
      <c r="AG94" s="1057">
        <f>$E$94*비용집행계획!AB84</f>
        <v>0</v>
      </c>
      <c r="AH94" s="1057">
        <f>$E$94*비용집행계획!AC84</f>
        <v>0</v>
      </c>
      <c r="AI94" s="1057">
        <f>$E$94*비용집행계획!AD84</f>
        <v>0</v>
      </c>
      <c r="AJ94" s="1057">
        <f>$E$94*비용집행계획!AE84</f>
        <v>0</v>
      </c>
      <c r="AK94" s="1057">
        <f>$E$94*비용집행계획!AF84</f>
        <v>0</v>
      </c>
      <c r="AL94" s="1057">
        <f>$E$94*비용집행계획!AG84</f>
        <v>0</v>
      </c>
      <c r="AM94" s="1057">
        <f>$E$94*비용집행계획!AH84</f>
        <v>0</v>
      </c>
      <c r="AN94" s="1057">
        <f>$E$94*비용집행계획!AI84</f>
        <v>0</v>
      </c>
      <c r="AO94" s="1057">
        <f>$E$94*비용집행계획!AJ84</f>
        <v>0</v>
      </c>
      <c r="AP94" s="1057">
        <f>$E$94*비용집행계획!AK84</f>
        <v>0</v>
      </c>
      <c r="AQ94" s="1057">
        <f>$E$94*비용집행계획!AL84</f>
        <v>0</v>
      </c>
      <c r="AR94" s="1057">
        <f>$E$94*비용집행계획!AM84</f>
        <v>0</v>
      </c>
      <c r="AS94" s="1057">
        <f>$E$94*비용집행계획!AN84</f>
        <v>0</v>
      </c>
      <c r="AT94" s="1057">
        <f>$E$94*비용집행계획!AO84</f>
        <v>0</v>
      </c>
      <c r="AU94" s="1057">
        <f>$E$94*비용집행계획!AP84</f>
        <v>0</v>
      </c>
      <c r="AV94" s="1057">
        <f>$E$94*비용집행계획!AQ84</f>
        <v>0</v>
      </c>
      <c r="AW94" s="1057">
        <f>$E$94*비용집행계획!AR84</f>
        <v>0</v>
      </c>
      <c r="AX94" s="1057">
        <f>$E$94*비용집행계획!AS84</f>
        <v>0</v>
      </c>
      <c r="AY94" s="1057">
        <f>$E$94*비용집행계획!AT84</f>
        <v>0</v>
      </c>
      <c r="AZ94" s="1057">
        <f>$E$94*비용집행계획!AU84</f>
        <v>0</v>
      </c>
      <c r="BA94" s="1057">
        <f>$E$94*비용집행계획!AV84</f>
        <v>0</v>
      </c>
      <c r="BB94" s="1057">
        <f>$E$94*비용집행계획!AW84</f>
        <v>0</v>
      </c>
      <c r="BC94" s="1057">
        <f>$E$94*비용집행계획!AX84</f>
        <v>0</v>
      </c>
      <c r="BD94" s="1057">
        <f>$E$94*비용집행계획!AY84</f>
        <v>0</v>
      </c>
      <c r="BE94" s="1057">
        <f>$E$94*비용집행계획!AZ84</f>
        <v>0</v>
      </c>
      <c r="BF94" s="1057">
        <f>$E$94*비용집행계획!BA84</f>
        <v>0</v>
      </c>
      <c r="BG94" s="1057">
        <f>$E$94*비용집행계획!BB84</f>
        <v>0</v>
      </c>
      <c r="BH94" s="1057">
        <f>$E$94*비용집행계획!BC84</f>
        <v>0</v>
      </c>
      <c r="BI94" s="1057">
        <f>$E$94*비용집행계획!BD84</f>
        <v>0</v>
      </c>
      <c r="BJ94" s="1057">
        <f>$E$94*비용집행계획!BE84</f>
        <v>0</v>
      </c>
      <c r="BK94" s="1057">
        <f>$E$94*비용집행계획!BF84</f>
        <v>0</v>
      </c>
      <c r="BL94" s="1057">
        <f>$E$94*비용집행계획!BG84</f>
        <v>0</v>
      </c>
      <c r="BM94" s="1057">
        <f>$E$94*비용집행계획!BH84</f>
        <v>0</v>
      </c>
      <c r="BN94" s="1057">
        <f>$E$94*비용집행계획!BI84</f>
        <v>0</v>
      </c>
      <c r="BO94" s="1057">
        <f>$E$94*비용집행계획!BJ84</f>
        <v>0</v>
      </c>
      <c r="BP94" s="1057">
        <f>$E$94*비용집행계획!BK84</f>
        <v>0</v>
      </c>
      <c r="BQ94" s="1057">
        <f>$E$94*비용집행계획!BL84</f>
        <v>0</v>
      </c>
      <c r="BR94" s="1057">
        <f>$E$94*비용집행계획!BM84</f>
        <v>0</v>
      </c>
      <c r="BS94" s="1057">
        <f>$E$94*비용집행계획!BN84</f>
        <v>0</v>
      </c>
      <c r="BT94" s="1057">
        <f>$E$94*비용집행계획!BO84</f>
        <v>0</v>
      </c>
      <c r="BU94" s="1057">
        <f>$E$94*비용집행계획!BP84</f>
        <v>0</v>
      </c>
      <c r="BV94" s="1057">
        <f>$E$94*비용집행계획!BQ84</f>
        <v>0</v>
      </c>
      <c r="BW94" s="1057">
        <f>$E$94*비용집행계획!BR84</f>
        <v>0</v>
      </c>
      <c r="BX94" s="1057">
        <f>$E$94*비용집행계획!BS84</f>
        <v>0</v>
      </c>
      <c r="BY94" s="1074" t="str">
        <f t="shared" si="98"/>
        <v>PM용역비</v>
      </c>
      <c r="BZ94" s="1106">
        <f t="shared" si="101"/>
        <v>0</v>
      </c>
      <c r="CA94" s="1111" t="b">
        <f t="shared" si="97"/>
        <v>1</v>
      </c>
    </row>
    <row r="95" spans="2:79" s="1038" customFormat="1" ht="15.6">
      <c r="B95" s="1103" t="str">
        <f>'사업수지표 '!C80</f>
        <v>기타비용</v>
      </c>
      <c r="C95" s="1892"/>
      <c r="D95" s="1125"/>
      <c r="E95" s="1130">
        <f>'사업수지표 '!E80:E80</f>
        <v>300000</v>
      </c>
      <c r="F95" s="1058" t="b">
        <f t="shared" si="87"/>
        <v>1</v>
      </c>
      <c r="G95" s="1056"/>
      <c r="H95" s="1057"/>
      <c r="I95" s="1057"/>
      <c r="J95" s="1057">
        <f>$E$95*비용집행계획!E93</f>
        <v>0</v>
      </c>
      <c r="K95" s="1057">
        <f>$E$95*비용집행계획!F93</f>
        <v>0</v>
      </c>
      <c r="L95" s="1057">
        <f>$E$95*비용집행계획!G93</f>
        <v>0</v>
      </c>
      <c r="M95" s="1057">
        <f>$E$95*비용집행계획!H93</f>
        <v>0</v>
      </c>
      <c r="N95" s="1057">
        <f>$E$95*비용집행계획!I93</f>
        <v>150000</v>
      </c>
      <c r="O95" s="1057">
        <f>$E$95*비용집행계획!J93</f>
        <v>0</v>
      </c>
      <c r="P95" s="1057">
        <f>$E$95*비용집행계획!K93</f>
        <v>0</v>
      </c>
      <c r="Q95" s="1057">
        <f>$E$95*비용집행계획!L93</f>
        <v>0</v>
      </c>
      <c r="R95" s="1057">
        <f>$E$95*비용집행계획!M93</f>
        <v>0</v>
      </c>
      <c r="S95" s="1057">
        <f>$E$95*비용집행계획!N93</f>
        <v>0</v>
      </c>
      <c r="T95" s="1057">
        <f>$E$95*비용집행계획!O93</f>
        <v>0</v>
      </c>
      <c r="U95" s="1057">
        <f>$E$95*비용집행계획!P93</f>
        <v>0</v>
      </c>
      <c r="V95" s="1057">
        <f>$E$95*비용집행계획!Q93</f>
        <v>0</v>
      </c>
      <c r="W95" s="1057">
        <f>$E$95*비용집행계획!R93</f>
        <v>0</v>
      </c>
      <c r="X95" s="1057">
        <f>$E$95*비용집행계획!S93</f>
        <v>0</v>
      </c>
      <c r="Y95" s="1057">
        <f>$E$95*비용집행계획!T93</f>
        <v>0</v>
      </c>
      <c r="Z95" s="1057">
        <f>$E$95*비용집행계획!U93</f>
        <v>0</v>
      </c>
      <c r="AA95" s="1057">
        <f>$E$95*비용집행계획!V93</f>
        <v>0</v>
      </c>
      <c r="AB95" s="1057">
        <f>$E$95*비용집행계획!W93</f>
        <v>0</v>
      </c>
      <c r="AC95" s="1057">
        <f>$E$95*비용집행계획!X93</f>
        <v>0</v>
      </c>
      <c r="AD95" s="1057">
        <f>$E$95*비용집행계획!Y93</f>
        <v>0</v>
      </c>
      <c r="AE95" s="1057">
        <f>$E$95*비용집행계획!Z93</f>
        <v>0</v>
      </c>
      <c r="AF95" s="1057">
        <f>$E$95*비용집행계획!AA93</f>
        <v>0</v>
      </c>
      <c r="AG95" s="1057">
        <f>$E$95*비용집행계획!AB93</f>
        <v>0</v>
      </c>
      <c r="AH95" s="1057">
        <f>$E$95*비용집행계획!AC93</f>
        <v>0</v>
      </c>
      <c r="AI95" s="1057">
        <f>$E$95*비용집행계획!AD93</f>
        <v>0</v>
      </c>
      <c r="AJ95" s="1057">
        <f>$E$95*비용집행계획!AE93</f>
        <v>0</v>
      </c>
      <c r="AK95" s="1057">
        <f>$E$95*비용집행계획!AF93</f>
        <v>0</v>
      </c>
      <c r="AL95" s="1057">
        <f>$E$95*비용집행계획!AG93</f>
        <v>0</v>
      </c>
      <c r="AM95" s="1057">
        <f>$E$95*비용집행계획!AH93</f>
        <v>0</v>
      </c>
      <c r="AN95" s="1057">
        <f>$E$95*비용집행계획!AI93</f>
        <v>0</v>
      </c>
      <c r="AO95" s="1057">
        <f>$E$95*비용집행계획!AJ93</f>
        <v>0</v>
      </c>
      <c r="AP95" s="1057">
        <f>$E$95*비용집행계획!AK93</f>
        <v>0</v>
      </c>
      <c r="AQ95" s="1057">
        <f>$E$95*비용집행계획!AL93</f>
        <v>150000</v>
      </c>
      <c r="AR95" s="1057">
        <f>$E$95*비용집행계획!AM93</f>
        <v>0</v>
      </c>
      <c r="AS95" s="1057">
        <f>$E$95*비용집행계획!AN93</f>
        <v>0</v>
      </c>
      <c r="AT95" s="1057">
        <f>$E$95*비용집행계획!AO93</f>
        <v>0</v>
      </c>
      <c r="AU95" s="1057">
        <f>$E$95*비용집행계획!AP93</f>
        <v>0</v>
      </c>
      <c r="AV95" s="1057">
        <f>$E$95*비용집행계획!AQ93</f>
        <v>0</v>
      </c>
      <c r="AW95" s="1057">
        <f>$E$95*비용집행계획!AR93</f>
        <v>0</v>
      </c>
      <c r="AX95" s="1057">
        <f>$E$95*비용집행계획!AS93</f>
        <v>0</v>
      </c>
      <c r="AY95" s="1057">
        <f>$E$95*비용집행계획!AT93</f>
        <v>0</v>
      </c>
      <c r="AZ95" s="1057">
        <f>$E$95*비용집행계획!AU93</f>
        <v>0</v>
      </c>
      <c r="BA95" s="1057">
        <f>$E$95*비용집행계획!AV93</f>
        <v>0</v>
      </c>
      <c r="BB95" s="1057">
        <f>$E$95*비용집행계획!AW93</f>
        <v>0</v>
      </c>
      <c r="BC95" s="1057">
        <f>$E$95*비용집행계획!AX93</f>
        <v>0</v>
      </c>
      <c r="BD95" s="1057">
        <f>$E$95*비용집행계획!AY93</f>
        <v>0</v>
      </c>
      <c r="BE95" s="1057">
        <f>$E$95*비용집행계획!AZ93</f>
        <v>0</v>
      </c>
      <c r="BF95" s="1057">
        <f>$E$95*비용집행계획!BA93</f>
        <v>0</v>
      </c>
      <c r="BG95" s="1057">
        <f>$E$95*비용집행계획!BB93</f>
        <v>0</v>
      </c>
      <c r="BH95" s="1057">
        <f>$E$95*비용집행계획!BC93</f>
        <v>0</v>
      </c>
      <c r="BI95" s="1057">
        <f>$E$95*비용집행계획!BD93</f>
        <v>0</v>
      </c>
      <c r="BJ95" s="1057">
        <f>$E$95*비용집행계획!BE93</f>
        <v>0</v>
      </c>
      <c r="BK95" s="1057">
        <f>$E$95*비용집행계획!BF93</f>
        <v>0</v>
      </c>
      <c r="BL95" s="1057">
        <f>$E$95*비용집행계획!BG93</f>
        <v>0</v>
      </c>
      <c r="BM95" s="1057">
        <f>$E$95*비용집행계획!BH93</f>
        <v>0</v>
      </c>
      <c r="BN95" s="1057">
        <f>$E$95*비용집행계획!BI93</f>
        <v>0</v>
      </c>
      <c r="BO95" s="1057">
        <f>$E$95*비용집행계획!BJ93</f>
        <v>0</v>
      </c>
      <c r="BP95" s="1057">
        <f>$E$95*비용집행계획!BK93</f>
        <v>0</v>
      </c>
      <c r="BQ95" s="1057">
        <f>$E$95*비용집행계획!BL93</f>
        <v>0</v>
      </c>
      <c r="BR95" s="1057">
        <f>$E$95*비용집행계획!BM93</f>
        <v>0</v>
      </c>
      <c r="BS95" s="1057">
        <f>$E$95*비용집행계획!BN93</f>
        <v>0</v>
      </c>
      <c r="BT95" s="1057">
        <f>$E$95*비용집행계획!BO93</f>
        <v>0</v>
      </c>
      <c r="BU95" s="1057">
        <f>$E$95*비용집행계획!BP93</f>
        <v>0</v>
      </c>
      <c r="BV95" s="1057">
        <f>$E$95*비용집행계획!BQ93</f>
        <v>0</v>
      </c>
      <c r="BW95" s="1057">
        <f>$E$95*비용집행계획!BR93</f>
        <v>0</v>
      </c>
      <c r="BX95" s="1057">
        <f>$E$95*비용집행계획!BS93</f>
        <v>0</v>
      </c>
      <c r="BY95" s="1074" t="str">
        <f t="shared" si="98"/>
        <v>기타비용</v>
      </c>
      <c r="BZ95" s="1106">
        <f t="shared" si="101"/>
        <v>300000</v>
      </c>
      <c r="CA95" s="1111" t="b">
        <f t="shared" si="97"/>
        <v>1</v>
      </c>
    </row>
    <row r="96" spans="2:79" s="1038" customFormat="1" ht="15.6">
      <c r="B96" s="1103"/>
      <c r="C96" s="1892"/>
      <c r="D96" s="1125"/>
      <c r="E96" s="1130"/>
      <c r="F96" s="1058" t="b">
        <f t="shared" si="87"/>
        <v>1</v>
      </c>
      <c r="G96" s="1056"/>
      <c r="H96" s="1057"/>
      <c r="I96" s="1057"/>
      <c r="J96" s="1057">
        <f>$E$96*비용집행계획!E94</f>
        <v>0</v>
      </c>
      <c r="K96" s="1057">
        <f>$E$96*비용집행계획!F94</f>
        <v>0</v>
      </c>
      <c r="L96" s="1057">
        <f>$E$96*비용집행계획!G94</f>
        <v>0</v>
      </c>
      <c r="M96" s="1057">
        <f>$E$96*비용집행계획!H94</f>
        <v>0</v>
      </c>
      <c r="N96" s="1057">
        <f>$E$96*비용집행계획!I94</f>
        <v>0</v>
      </c>
      <c r="O96" s="1057">
        <f>$E$96*비용집행계획!J94</f>
        <v>0</v>
      </c>
      <c r="P96" s="1057">
        <f>$E$96*비용집행계획!K94</f>
        <v>0</v>
      </c>
      <c r="Q96" s="1057">
        <f>$E$96*비용집행계획!L94</f>
        <v>0</v>
      </c>
      <c r="R96" s="1057">
        <f>$E$96*비용집행계획!M94</f>
        <v>0</v>
      </c>
      <c r="S96" s="1057">
        <f>$E$96*비용집행계획!N94</f>
        <v>0</v>
      </c>
      <c r="T96" s="1057">
        <f>$E$96*비용집행계획!O94</f>
        <v>0</v>
      </c>
      <c r="U96" s="1057">
        <f>$E$96*비용집행계획!P94</f>
        <v>0</v>
      </c>
      <c r="V96" s="1057">
        <f>$E$96*비용집행계획!Q94</f>
        <v>0</v>
      </c>
      <c r="W96" s="1057">
        <f>$E$96*비용집행계획!R94</f>
        <v>0</v>
      </c>
      <c r="X96" s="1057">
        <f>$E$96*비용집행계획!S94</f>
        <v>0</v>
      </c>
      <c r="Y96" s="1057">
        <f>$E$96*비용집행계획!T94</f>
        <v>0</v>
      </c>
      <c r="Z96" s="1057">
        <f>$E$96*비용집행계획!U94</f>
        <v>0</v>
      </c>
      <c r="AA96" s="1057">
        <f>$E$96*비용집행계획!V94</f>
        <v>0</v>
      </c>
      <c r="AB96" s="1057">
        <f>$E$96*비용집행계획!W94</f>
        <v>0</v>
      </c>
      <c r="AC96" s="1057">
        <f>$E$96*비용집행계획!X94</f>
        <v>0</v>
      </c>
      <c r="AD96" s="1057">
        <f>$E$96*비용집행계획!Y94</f>
        <v>0</v>
      </c>
      <c r="AE96" s="1057">
        <f>$E$96*비용집행계획!Z94</f>
        <v>0</v>
      </c>
      <c r="AF96" s="1057">
        <f>$E$96*비용집행계획!AA94</f>
        <v>0</v>
      </c>
      <c r="AG96" s="1057">
        <f>$E$96*비용집행계획!AB94</f>
        <v>0</v>
      </c>
      <c r="AH96" s="1057">
        <f>$E$96*비용집행계획!AC94</f>
        <v>0</v>
      </c>
      <c r="AI96" s="1057">
        <f>$E$96*비용집행계획!AD94</f>
        <v>0</v>
      </c>
      <c r="AJ96" s="1057">
        <f>$E$96*비용집행계획!AE94</f>
        <v>0</v>
      </c>
      <c r="AK96" s="1057">
        <f>$E$96*비용집행계획!AF94</f>
        <v>0</v>
      </c>
      <c r="AL96" s="1057">
        <f>$E$96*비용집행계획!AG94</f>
        <v>0</v>
      </c>
      <c r="AM96" s="1057">
        <f>$E$96*비용집행계획!AH94</f>
        <v>0</v>
      </c>
      <c r="AN96" s="1057">
        <f>$E$96*비용집행계획!AI94</f>
        <v>0</v>
      </c>
      <c r="AO96" s="1057">
        <f>$E$96*비용집행계획!AJ94</f>
        <v>0</v>
      </c>
      <c r="AP96" s="1057">
        <f>$E$96*비용집행계획!AK94</f>
        <v>0</v>
      </c>
      <c r="AQ96" s="1057">
        <f>$E$96*비용집행계획!AL94</f>
        <v>0</v>
      </c>
      <c r="AR96" s="1057">
        <f>$E$96*비용집행계획!AM94</f>
        <v>0</v>
      </c>
      <c r="AS96" s="1057">
        <f>$E$96*비용집행계획!AN94</f>
        <v>0</v>
      </c>
      <c r="AT96" s="1057">
        <f>$E$96*비용집행계획!AO94</f>
        <v>0</v>
      </c>
      <c r="AU96" s="1057">
        <f>$E$96*비용집행계획!AP94</f>
        <v>0</v>
      </c>
      <c r="AV96" s="1057">
        <f>$E$96*비용집행계획!AQ94</f>
        <v>0</v>
      </c>
      <c r="AW96" s="1057">
        <f>$E$96*비용집행계획!AR94</f>
        <v>0</v>
      </c>
      <c r="AX96" s="1057">
        <f>$E$96*비용집행계획!AS94</f>
        <v>0</v>
      </c>
      <c r="AY96" s="1057">
        <f>$E$96*비용집행계획!AT94</f>
        <v>0</v>
      </c>
      <c r="AZ96" s="1057">
        <f>$E$96*비용집행계획!AU94</f>
        <v>0</v>
      </c>
      <c r="BA96" s="1057">
        <f>$E$96*비용집행계획!AV94</f>
        <v>0</v>
      </c>
      <c r="BB96" s="1057">
        <f>$E$96*비용집행계획!AW94</f>
        <v>0</v>
      </c>
      <c r="BC96" s="1057">
        <f>$E$96*비용집행계획!AX94</f>
        <v>0</v>
      </c>
      <c r="BD96" s="1057">
        <f>$E$96*비용집행계획!AY94</f>
        <v>0</v>
      </c>
      <c r="BE96" s="1057">
        <f>$E$96*비용집행계획!AZ94</f>
        <v>0</v>
      </c>
      <c r="BF96" s="1057">
        <f>$E$96*비용집행계획!BA94</f>
        <v>0</v>
      </c>
      <c r="BG96" s="1057">
        <f>$E$96*비용집행계획!BB94</f>
        <v>0</v>
      </c>
      <c r="BH96" s="1057">
        <f>$E$96*비용집행계획!BC94</f>
        <v>0</v>
      </c>
      <c r="BI96" s="1057">
        <f>$E$96*비용집행계획!BD94</f>
        <v>0</v>
      </c>
      <c r="BJ96" s="1057">
        <f>$E$96*비용집행계획!BE94</f>
        <v>0</v>
      </c>
      <c r="BK96" s="1057">
        <f>$E$96*비용집행계획!BF94</f>
        <v>0</v>
      </c>
      <c r="BL96" s="1057">
        <f>$E$96*비용집행계획!BG94</f>
        <v>0</v>
      </c>
      <c r="BM96" s="1057">
        <f>$E$96*비용집행계획!BH94</f>
        <v>0</v>
      </c>
      <c r="BN96" s="1057">
        <f>$E$96*비용집행계획!BI94</f>
        <v>0</v>
      </c>
      <c r="BO96" s="1057">
        <f>$E$96*비용집행계획!BJ94</f>
        <v>0</v>
      </c>
      <c r="BP96" s="1057">
        <f>$E$96*비용집행계획!BK94</f>
        <v>0</v>
      </c>
      <c r="BQ96" s="1057">
        <f>$E$96*비용집행계획!BL94</f>
        <v>0</v>
      </c>
      <c r="BR96" s="1057">
        <f>$E$96*비용집행계획!BM94</f>
        <v>0</v>
      </c>
      <c r="BS96" s="1057">
        <f>$E$96*비용집행계획!BN94</f>
        <v>0</v>
      </c>
      <c r="BT96" s="1057">
        <f>$E$96*비용집행계획!BO94</f>
        <v>0</v>
      </c>
      <c r="BU96" s="1057">
        <f>$E$96*비용집행계획!BP94</f>
        <v>0</v>
      </c>
      <c r="BV96" s="1057">
        <f>$E$96*비용집행계획!BQ94</f>
        <v>0</v>
      </c>
      <c r="BW96" s="1057">
        <f>$E$96*비용집행계획!BR94</f>
        <v>0</v>
      </c>
      <c r="BX96" s="1057">
        <f>$E$96*비용집행계획!BS94</f>
        <v>0</v>
      </c>
      <c r="BY96" s="1074"/>
      <c r="BZ96" s="1106"/>
      <c r="CA96" s="1111" t="b">
        <f t="shared" si="97"/>
        <v>1</v>
      </c>
    </row>
    <row r="97" spans="2:80" s="1038" customFormat="1" ht="12.75" customHeight="1">
      <c r="B97" s="1103" t="str">
        <f>'사업수지표 '!C82</f>
        <v>주간수수료</v>
      </c>
      <c r="C97" s="1892"/>
      <c r="D97" s="1125">
        <f>'사업수지표 '!K82</f>
        <v>1.4999999999999999E-2</v>
      </c>
      <c r="E97" s="1130">
        <f>'사업수지표 '!E82:E82</f>
        <v>540000</v>
      </c>
      <c r="F97" s="1058" t="b">
        <f t="shared" si="87"/>
        <v>1</v>
      </c>
      <c r="G97" s="1056"/>
      <c r="H97" s="1057"/>
      <c r="I97" s="1057"/>
      <c r="J97" s="1057">
        <f>$E$97*비용집행계획!E95</f>
        <v>0</v>
      </c>
      <c r="K97" s="1057">
        <f>$E$97*비용집행계획!F95</f>
        <v>540000</v>
      </c>
      <c r="L97" s="1057">
        <f>$E$97*비용집행계획!G95</f>
        <v>0</v>
      </c>
      <c r="M97" s="1057">
        <f>$E$97*비용집행계획!H95</f>
        <v>0</v>
      </c>
      <c r="N97" s="1057">
        <f>$E$97*비용집행계획!I95</f>
        <v>0</v>
      </c>
      <c r="O97" s="1057">
        <f>$E$97*비용집행계획!J95</f>
        <v>0</v>
      </c>
      <c r="P97" s="1057">
        <f>$E$97*비용집행계획!K95</f>
        <v>0</v>
      </c>
      <c r="Q97" s="1057">
        <f>$E$97*비용집행계획!L95</f>
        <v>0</v>
      </c>
      <c r="R97" s="1057">
        <f>$E$97*비용집행계획!M95</f>
        <v>0</v>
      </c>
      <c r="S97" s="1057">
        <f>$E$97*비용집행계획!N95</f>
        <v>0</v>
      </c>
      <c r="T97" s="1057">
        <f>$E$97*비용집행계획!O95</f>
        <v>0</v>
      </c>
      <c r="U97" s="1057">
        <f>$E$97*비용집행계획!P95</f>
        <v>0</v>
      </c>
      <c r="V97" s="1057">
        <f>$E$97*비용집행계획!Q95</f>
        <v>0</v>
      </c>
      <c r="W97" s="1057">
        <f>$E$97*비용집행계획!R95</f>
        <v>0</v>
      </c>
      <c r="X97" s="1057">
        <f>$E$97*비용집행계획!S95</f>
        <v>0</v>
      </c>
      <c r="Y97" s="1057">
        <f>$E$97*비용집행계획!T95</f>
        <v>0</v>
      </c>
      <c r="Z97" s="1057">
        <f>$E$97*비용집행계획!U95</f>
        <v>0</v>
      </c>
      <c r="AA97" s="1057">
        <f>$E$97*비용집행계획!V95</f>
        <v>0</v>
      </c>
      <c r="AB97" s="1057">
        <f>$E$97*비용집행계획!W95</f>
        <v>0</v>
      </c>
      <c r="AC97" s="1057">
        <f>$E$97*비용집행계획!X95</f>
        <v>0</v>
      </c>
      <c r="AD97" s="1057">
        <f>$E$97*비용집행계획!Y95</f>
        <v>0</v>
      </c>
      <c r="AE97" s="1057">
        <f>$E$97*비용집행계획!Z95</f>
        <v>0</v>
      </c>
      <c r="AF97" s="1057">
        <f>$E$97*비용집행계획!AA95</f>
        <v>0</v>
      </c>
      <c r="AG97" s="1057">
        <f>$E$97*비용집행계획!AB95</f>
        <v>0</v>
      </c>
      <c r="AH97" s="1057">
        <f>$E$97*비용집행계획!AC95</f>
        <v>0</v>
      </c>
      <c r="AI97" s="1057">
        <f>$E$97*비용집행계획!AD95</f>
        <v>0</v>
      </c>
      <c r="AJ97" s="1057">
        <f>$E$97*비용집행계획!AE95</f>
        <v>0</v>
      </c>
      <c r="AK97" s="1057">
        <f>$E$97*비용집행계획!AF95</f>
        <v>0</v>
      </c>
      <c r="AL97" s="1057">
        <f>$E$97*비용집행계획!AG95</f>
        <v>0</v>
      </c>
      <c r="AM97" s="1057">
        <f>$E$97*비용집행계획!AH95</f>
        <v>0</v>
      </c>
      <c r="AN97" s="1057">
        <f>$E$97*비용집행계획!AI95</f>
        <v>0</v>
      </c>
      <c r="AO97" s="1057">
        <f>$E$97*비용집행계획!AJ95</f>
        <v>0</v>
      </c>
      <c r="AP97" s="1057">
        <f>$E$97*비용집행계획!AK95</f>
        <v>0</v>
      </c>
      <c r="AQ97" s="1057">
        <f>$E$97*비용집행계획!AL95</f>
        <v>0</v>
      </c>
      <c r="AR97" s="1057">
        <f>$E$97*비용집행계획!AM95</f>
        <v>0</v>
      </c>
      <c r="AS97" s="1057">
        <f>$E$97*비용집행계획!AN95</f>
        <v>0</v>
      </c>
      <c r="AT97" s="1057">
        <f>$E$97*비용집행계획!AO95</f>
        <v>0</v>
      </c>
      <c r="AU97" s="1057">
        <f>$E$97*비용집행계획!AP95</f>
        <v>0</v>
      </c>
      <c r="AV97" s="1057">
        <f>$E$97*비용집행계획!AQ95</f>
        <v>0</v>
      </c>
      <c r="AW97" s="1057">
        <f>$E$97*비용집행계획!AR95</f>
        <v>0</v>
      </c>
      <c r="AX97" s="1057">
        <f>$E$97*비용집행계획!AS95</f>
        <v>0</v>
      </c>
      <c r="AY97" s="1057">
        <f>$E$97*비용집행계획!AT95</f>
        <v>0</v>
      </c>
      <c r="AZ97" s="1057">
        <f>$E$97*비용집행계획!AU95</f>
        <v>0</v>
      </c>
      <c r="BA97" s="1057">
        <f>$E$97*비용집행계획!AV95</f>
        <v>0</v>
      </c>
      <c r="BB97" s="1057">
        <f>$E$97*비용집행계획!AW95</f>
        <v>0</v>
      </c>
      <c r="BC97" s="1057">
        <f>$E$97*비용집행계획!AX95</f>
        <v>0</v>
      </c>
      <c r="BD97" s="1057">
        <f>$E$97*비용집행계획!AY95</f>
        <v>0</v>
      </c>
      <c r="BE97" s="1057">
        <f>$E$97*비용집행계획!AZ95</f>
        <v>0</v>
      </c>
      <c r="BF97" s="1057">
        <f>$E$97*비용집행계획!BA95</f>
        <v>0</v>
      </c>
      <c r="BG97" s="1057">
        <f>$E$97*비용집행계획!BB95</f>
        <v>0</v>
      </c>
      <c r="BH97" s="1057">
        <f>$E$97*비용집행계획!BC95</f>
        <v>0</v>
      </c>
      <c r="BI97" s="1057">
        <f>$E$97*비용집행계획!BD95</f>
        <v>0</v>
      </c>
      <c r="BJ97" s="1057">
        <f>$E$97*비용집행계획!BE95</f>
        <v>0</v>
      </c>
      <c r="BK97" s="1057">
        <f>$E$97*비용집행계획!BF95</f>
        <v>0</v>
      </c>
      <c r="BL97" s="1057">
        <f>$E$97*비용집행계획!BG95</f>
        <v>0</v>
      </c>
      <c r="BM97" s="1057">
        <f>$E$97*비용집행계획!BH95</f>
        <v>0</v>
      </c>
      <c r="BN97" s="1057">
        <f>$E$97*비용집행계획!BI95</f>
        <v>0</v>
      </c>
      <c r="BO97" s="1057">
        <f>$E$97*비용집행계획!BJ95</f>
        <v>0</v>
      </c>
      <c r="BP97" s="1057">
        <f>$E$97*비용집행계획!BK95</f>
        <v>0</v>
      </c>
      <c r="BQ97" s="1057">
        <f>$E$97*비용집행계획!BL95</f>
        <v>0</v>
      </c>
      <c r="BR97" s="1057">
        <f>$E$97*비용집행계획!BM95</f>
        <v>0</v>
      </c>
      <c r="BS97" s="1057">
        <f>$E$97*비용집행계획!BN95</f>
        <v>0</v>
      </c>
      <c r="BT97" s="1057">
        <f>$E$97*비용집행계획!BO95</f>
        <v>0</v>
      </c>
      <c r="BU97" s="1057">
        <f>$E$97*비용집행계획!BP95</f>
        <v>0</v>
      </c>
      <c r="BV97" s="1057">
        <f>$E$97*비용집행계획!BQ95</f>
        <v>0</v>
      </c>
      <c r="BW97" s="1057">
        <f>$E$97*비용집행계획!BR95</f>
        <v>0</v>
      </c>
      <c r="BX97" s="1057">
        <f>$E$97*비용집행계획!BS95</f>
        <v>0</v>
      </c>
      <c r="BY97" s="1074" t="str">
        <f t="shared" ref="BY97:BY135" si="102">B97</f>
        <v>주간수수료</v>
      </c>
      <c r="BZ97" s="1106">
        <f t="shared" ref="BZ97:BZ110" si="103">SUM(G97:BX97)</f>
        <v>540000</v>
      </c>
      <c r="CA97" s="1111" t="b">
        <f t="shared" si="97"/>
        <v>1</v>
      </c>
    </row>
    <row r="98" spans="2:80" s="1038" customFormat="1" ht="15.6">
      <c r="B98" s="1103" t="str">
        <f>'사업수지표 '!C83</f>
        <v>PI 금액</v>
      </c>
      <c r="C98" s="1892"/>
      <c r="D98" s="1125"/>
      <c r="E98" s="1130">
        <f>'사업수지표 '!E83:E83</f>
        <v>0</v>
      </c>
      <c r="F98" s="1058" t="b">
        <f t="shared" si="87"/>
        <v>1</v>
      </c>
      <c r="G98" s="1056"/>
      <c r="H98" s="1057"/>
      <c r="I98" s="1057"/>
      <c r="J98" s="1057">
        <f>$E$98*비용집행계획!E96</f>
        <v>0</v>
      </c>
      <c r="K98" s="1057">
        <f>$E$98*비용집행계획!F96</f>
        <v>0</v>
      </c>
      <c r="L98" s="1057">
        <f>$E$98*비용집행계획!G96</f>
        <v>0</v>
      </c>
      <c r="M98" s="1057">
        <f>$E$98*비용집행계획!H96</f>
        <v>0</v>
      </c>
      <c r="N98" s="1057">
        <f>$E$98*비용집행계획!I96</f>
        <v>0</v>
      </c>
      <c r="O98" s="1057">
        <f>$E$98*비용집행계획!J96</f>
        <v>0</v>
      </c>
      <c r="P98" s="1057">
        <f>$E$98*비용집행계획!K96</f>
        <v>0</v>
      </c>
      <c r="Q98" s="1057">
        <f>$E$98*비용집행계획!L96</f>
        <v>0</v>
      </c>
      <c r="R98" s="1057">
        <f>$E$98*비용집행계획!M96</f>
        <v>0</v>
      </c>
      <c r="S98" s="1057">
        <f>$E$98*비용집행계획!N96</f>
        <v>0</v>
      </c>
      <c r="T98" s="1057">
        <f>$E$98*비용집행계획!O96</f>
        <v>0</v>
      </c>
      <c r="U98" s="1057">
        <f>$E$98*비용집행계획!P96</f>
        <v>0</v>
      </c>
      <c r="V98" s="1057">
        <f>$E$98*비용집행계획!Q96</f>
        <v>0</v>
      </c>
      <c r="W98" s="1057">
        <f>$E$98*비용집행계획!R96</f>
        <v>0</v>
      </c>
      <c r="X98" s="1057">
        <f>$E$98*비용집행계획!S96</f>
        <v>0</v>
      </c>
      <c r="Y98" s="1057">
        <f>$E$98*비용집행계획!T96</f>
        <v>0</v>
      </c>
      <c r="Z98" s="1057">
        <f>$E$98*비용집행계획!U96</f>
        <v>0</v>
      </c>
      <c r="AA98" s="1057">
        <f>$E$98*비용집행계획!V96</f>
        <v>0</v>
      </c>
      <c r="AB98" s="1057">
        <f>$E$98*비용집행계획!W96</f>
        <v>0</v>
      </c>
      <c r="AC98" s="1057">
        <f>$E$98*비용집행계획!X96</f>
        <v>0</v>
      </c>
      <c r="AD98" s="1057">
        <f>$E$98*비용집행계획!Y96</f>
        <v>0</v>
      </c>
      <c r="AE98" s="1057">
        <f>$E$98*비용집행계획!Z96</f>
        <v>0</v>
      </c>
      <c r="AF98" s="1057">
        <f>$E$98*비용집행계획!AA96</f>
        <v>0</v>
      </c>
      <c r="AG98" s="1057">
        <f>$E$98*비용집행계획!AB96</f>
        <v>0</v>
      </c>
      <c r="AH98" s="1057">
        <f>$E$98*비용집행계획!AC96</f>
        <v>0</v>
      </c>
      <c r="AI98" s="1057">
        <f>$E$98*비용집행계획!AD96</f>
        <v>0</v>
      </c>
      <c r="AJ98" s="1057">
        <f>$E$98*비용집행계획!AE96</f>
        <v>0</v>
      </c>
      <c r="AK98" s="1057">
        <f>$E$98*비용집행계획!AF96</f>
        <v>0</v>
      </c>
      <c r="AL98" s="1057">
        <f>$E$98*비용집행계획!AG96</f>
        <v>0</v>
      </c>
      <c r="AM98" s="1057">
        <f>$E$98*비용집행계획!AH96</f>
        <v>0</v>
      </c>
      <c r="AN98" s="1057">
        <f>$E$98*비용집행계획!AI96</f>
        <v>0</v>
      </c>
      <c r="AO98" s="1057">
        <f>$E$98*비용집행계획!AJ96</f>
        <v>0</v>
      </c>
      <c r="AP98" s="1057">
        <f>$E$98*비용집행계획!AK96</f>
        <v>0</v>
      </c>
      <c r="AQ98" s="1057">
        <f>$E$98*비용집행계획!AL96</f>
        <v>0</v>
      </c>
      <c r="AR98" s="1057">
        <f>$E$98*비용집행계획!AM96</f>
        <v>0</v>
      </c>
      <c r="AS98" s="1057">
        <f>$E$98*비용집행계획!AN96</f>
        <v>0</v>
      </c>
      <c r="AT98" s="1057">
        <f>$E$98*비용집행계획!AO96</f>
        <v>0</v>
      </c>
      <c r="AU98" s="1057">
        <f>$E$98*비용집행계획!AP96</f>
        <v>0</v>
      </c>
      <c r="AV98" s="1057">
        <f>$E$98*비용집행계획!AQ96</f>
        <v>0</v>
      </c>
      <c r="AW98" s="1057">
        <f>$E$98*비용집행계획!AR96</f>
        <v>0</v>
      </c>
      <c r="AX98" s="1057">
        <f>$E$98*비용집행계획!AS96</f>
        <v>0</v>
      </c>
      <c r="AY98" s="1057">
        <f>$E$98*비용집행계획!AT96</f>
        <v>0</v>
      </c>
      <c r="AZ98" s="1057">
        <f>$E$98*비용집행계획!AU96</f>
        <v>0</v>
      </c>
      <c r="BA98" s="1057">
        <f>$E$98*비용집행계획!AV96</f>
        <v>0</v>
      </c>
      <c r="BB98" s="1057">
        <f>$E$98*비용집행계획!AW96</f>
        <v>0</v>
      </c>
      <c r="BC98" s="1057">
        <f>$E$98*비용집행계획!AX96</f>
        <v>0</v>
      </c>
      <c r="BD98" s="1057">
        <f>$E$98*비용집행계획!AY96</f>
        <v>0</v>
      </c>
      <c r="BE98" s="1057">
        <f>$E$98*비용집행계획!AZ96</f>
        <v>0</v>
      </c>
      <c r="BF98" s="1057">
        <f>$E$98*비용집행계획!BA96</f>
        <v>0</v>
      </c>
      <c r="BG98" s="1057">
        <f>$E$98*비용집행계획!BB96</f>
        <v>0</v>
      </c>
      <c r="BH98" s="1057">
        <f>$E$98*비용집행계획!BC96</f>
        <v>0</v>
      </c>
      <c r="BI98" s="1057">
        <f>$E$98*비용집행계획!BD96</f>
        <v>0</v>
      </c>
      <c r="BJ98" s="1057">
        <f>$E$98*비용집행계획!BE96</f>
        <v>0</v>
      </c>
      <c r="BK98" s="1057">
        <f>$E$98*비용집행계획!BF96</f>
        <v>0</v>
      </c>
      <c r="BL98" s="1057">
        <f>$E$98*비용집행계획!BG96</f>
        <v>0</v>
      </c>
      <c r="BM98" s="1057">
        <f>$E$98*비용집행계획!BH96</f>
        <v>0</v>
      </c>
      <c r="BN98" s="1057">
        <f>$E$98*비용집행계획!BI96</f>
        <v>0</v>
      </c>
      <c r="BO98" s="1057">
        <f>$E$98*비용집행계획!BJ96</f>
        <v>0</v>
      </c>
      <c r="BP98" s="1057">
        <f>$E$98*비용집행계획!BK96</f>
        <v>0</v>
      </c>
      <c r="BQ98" s="1057">
        <f>$E$98*비용집행계획!BL96</f>
        <v>0</v>
      </c>
      <c r="BR98" s="1057">
        <f>$E$98*비용집행계획!BM96</f>
        <v>0</v>
      </c>
      <c r="BS98" s="1057">
        <f>$E$98*비용집행계획!BN96</f>
        <v>0</v>
      </c>
      <c r="BT98" s="1057">
        <f>$E$98*비용집행계획!BO96</f>
        <v>0</v>
      </c>
      <c r="BU98" s="1057">
        <f>$E$98*비용집행계획!BP96</f>
        <v>0</v>
      </c>
      <c r="BV98" s="1057">
        <f>$E$98*비용집행계획!BQ96</f>
        <v>0</v>
      </c>
      <c r="BW98" s="1057">
        <f>$E$98*비용집행계획!BR96</f>
        <v>0</v>
      </c>
      <c r="BX98" s="1057">
        <f>$E$98*비용집행계획!BS96</f>
        <v>0</v>
      </c>
      <c r="BY98" s="1074" t="str">
        <f t="shared" si="102"/>
        <v>PI 금액</v>
      </c>
      <c r="BZ98" s="1106">
        <f t="shared" si="103"/>
        <v>0</v>
      </c>
      <c r="CA98" s="1111" t="b">
        <f t="shared" si="97"/>
        <v>1</v>
      </c>
    </row>
    <row r="99" spans="2:80" s="1038" customFormat="1" ht="15.6">
      <c r="B99" s="1131" t="str">
        <f>'사업수지표 '!C84</f>
        <v>본PF Tr-A(자문)</v>
      </c>
      <c r="C99" s="1894"/>
      <c r="D99" s="1125">
        <f>'사업수지표 '!K84</f>
        <v>0.02</v>
      </c>
      <c r="E99" s="1130">
        <f>'사업수지표 '!E84:E84</f>
        <v>720000</v>
      </c>
      <c r="F99" s="1058" t="b">
        <f t="shared" si="87"/>
        <v>1</v>
      </c>
      <c r="G99" s="1056"/>
      <c r="H99" s="1057"/>
      <c r="I99" s="1057"/>
      <c r="J99" s="1057">
        <f>$E$99*비용집행계획!E97</f>
        <v>0</v>
      </c>
      <c r="K99" s="1057">
        <f>$E$99*비용집행계획!F97</f>
        <v>720000</v>
      </c>
      <c r="L99" s="1057">
        <f>$E$99*비용집행계획!G97</f>
        <v>0</v>
      </c>
      <c r="M99" s="1057">
        <f>$E$99*비용집행계획!H97</f>
        <v>0</v>
      </c>
      <c r="N99" s="1057">
        <f>$E$99*비용집행계획!I97</f>
        <v>0</v>
      </c>
      <c r="O99" s="1057">
        <f>$E$99*비용집행계획!J97</f>
        <v>0</v>
      </c>
      <c r="P99" s="1057">
        <f>$E$99*비용집행계획!K97</f>
        <v>0</v>
      </c>
      <c r="Q99" s="1057">
        <f>$E$99*비용집행계획!L97</f>
        <v>0</v>
      </c>
      <c r="R99" s="1057">
        <f>$E$99*비용집행계획!M97</f>
        <v>0</v>
      </c>
      <c r="S99" s="1057">
        <f>$E$99*비용집행계획!N97</f>
        <v>0</v>
      </c>
      <c r="T99" s="1057">
        <f>$E$99*비용집행계획!O97</f>
        <v>0</v>
      </c>
      <c r="U99" s="1057">
        <f>$E$99*비용집행계획!P97</f>
        <v>0</v>
      </c>
      <c r="V99" s="1057">
        <f>$E$99*비용집행계획!Q97</f>
        <v>0</v>
      </c>
      <c r="W99" s="1057">
        <f>$E$99*비용집행계획!R97</f>
        <v>0</v>
      </c>
      <c r="X99" s="1057">
        <f>$E$99*비용집행계획!S97</f>
        <v>0</v>
      </c>
      <c r="Y99" s="1057">
        <f>$E$99*비용집행계획!T97</f>
        <v>0</v>
      </c>
      <c r="Z99" s="1057">
        <f>$E$99*비용집행계획!U97</f>
        <v>0</v>
      </c>
      <c r="AA99" s="1057">
        <f>$E$99*비용집행계획!V97</f>
        <v>0</v>
      </c>
      <c r="AB99" s="1057">
        <f>$E$99*비용집행계획!W97</f>
        <v>0</v>
      </c>
      <c r="AC99" s="1057">
        <f>$E$99*비용집행계획!X97</f>
        <v>0</v>
      </c>
      <c r="AD99" s="1057">
        <f>$E$99*비용집행계획!Y97</f>
        <v>0</v>
      </c>
      <c r="AE99" s="1057">
        <f>$E$99*비용집행계획!Z97</f>
        <v>0</v>
      </c>
      <c r="AF99" s="1057">
        <f>$E$99*비용집행계획!AA97</f>
        <v>0</v>
      </c>
      <c r="AG99" s="1057">
        <f>$E$99*비용집행계획!AB97</f>
        <v>0</v>
      </c>
      <c r="AH99" s="1057">
        <f>$E$99*비용집행계획!AC97</f>
        <v>0</v>
      </c>
      <c r="AI99" s="1057">
        <f>$E$99*비용집행계획!AD97</f>
        <v>0</v>
      </c>
      <c r="AJ99" s="1057">
        <f>$E$99*비용집행계획!AE97</f>
        <v>0</v>
      </c>
      <c r="AK99" s="1057">
        <f>$E$99*비용집행계획!AF97</f>
        <v>0</v>
      </c>
      <c r="AL99" s="1057">
        <f>$E$99*비용집행계획!AG97</f>
        <v>0</v>
      </c>
      <c r="AM99" s="1057">
        <f>$E$99*비용집행계획!AH97</f>
        <v>0</v>
      </c>
      <c r="AN99" s="1057">
        <f>$E$99*비용집행계획!AI97</f>
        <v>0</v>
      </c>
      <c r="AO99" s="1057">
        <f>$E$99*비용집행계획!AJ97</f>
        <v>0</v>
      </c>
      <c r="AP99" s="1057">
        <f>$E$99*비용집행계획!AK97</f>
        <v>0</v>
      </c>
      <c r="AQ99" s="1057">
        <f>$E$99*비용집행계획!AL97</f>
        <v>0</v>
      </c>
      <c r="AR99" s="1057">
        <f>$E$99*비용집행계획!AM97</f>
        <v>0</v>
      </c>
      <c r="AS99" s="1057">
        <f>$E$99*비용집행계획!AN97</f>
        <v>0</v>
      </c>
      <c r="AT99" s="1057">
        <f>$E$99*비용집행계획!AO97</f>
        <v>0</v>
      </c>
      <c r="AU99" s="1057">
        <f>$E$99*비용집행계획!AP97</f>
        <v>0</v>
      </c>
      <c r="AV99" s="1057">
        <f>$E$99*비용집행계획!AQ97</f>
        <v>0</v>
      </c>
      <c r="AW99" s="1057">
        <f>$E$99*비용집행계획!AR97</f>
        <v>0</v>
      </c>
      <c r="AX99" s="1057">
        <f>$E$99*비용집행계획!AS97</f>
        <v>0</v>
      </c>
      <c r="AY99" s="1057">
        <f>$E$99*비용집행계획!AT97</f>
        <v>0</v>
      </c>
      <c r="AZ99" s="1057">
        <f>$E$99*비용집행계획!AU97</f>
        <v>0</v>
      </c>
      <c r="BA99" s="1057">
        <f>$E$99*비용집행계획!AV97</f>
        <v>0</v>
      </c>
      <c r="BB99" s="1057">
        <f>$E$99*비용집행계획!AW97</f>
        <v>0</v>
      </c>
      <c r="BC99" s="1057">
        <f>$E$99*비용집행계획!AX97</f>
        <v>0</v>
      </c>
      <c r="BD99" s="1057">
        <f>$E$99*비용집행계획!AY97</f>
        <v>0</v>
      </c>
      <c r="BE99" s="1057">
        <f>$E$99*비용집행계획!AZ97</f>
        <v>0</v>
      </c>
      <c r="BF99" s="1057">
        <f>$E$99*비용집행계획!BA97</f>
        <v>0</v>
      </c>
      <c r="BG99" s="1057">
        <f>$E$99*비용집행계획!BB97</f>
        <v>0</v>
      </c>
      <c r="BH99" s="1057">
        <f>$E$99*비용집행계획!BC97</f>
        <v>0</v>
      </c>
      <c r="BI99" s="1057">
        <f>$E$99*비용집행계획!BD97</f>
        <v>0</v>
      </c>
      <c r="BJ99" s="1057">
        <f>$E$99*비용집행계획!BE97</f>
        <v>0</v>
      </c>
      <c r="BK99" s="1057">
        <f>$E$99*비용집행계획!BF97</f>
        <v>0</v>
      </c>
      <c r="BL99" s="1057">
        <f>$E$99*비용집행계획!BG97</f>
        <v>0</v>
      </c>
      <c r="BM99" s="1057">
        <f>$E$99*비용집행계획!BH97</f>
        <v>0</v>
      </c>
      <c r="BN99" s="1057">
        <f>$E$99*비용집행계획!BI97</f>
        <v>0</v>
      </c>
      <c r="BO99" s="1057">
        <f>$E$99*비용집행계획!BJ97</f>
        <v>0</v>
      </c>
      <c r="BP99" s="1057">
        <f>$E$99*비용집행계획!BK97</f>
        <v>0</v>
      </c>
      <c r="BQ99" s="1057">
        <f>$E$99*비용집행계획!BL97</f>
        <v>0</v>
      </c>
      <c r="BR99" s="1057">
        <f>$E$99*비용집행계획!BM97</f>
        <v>0</v>
      </c>
      <c r="BS99" s="1057">
        <f>$E$99*비용집행계획!BN97</f>
        <v>0</v>
      </c>
      <c r="BT99" s="1057">
        <f>$E$99*비용집행계획!BO97</f>
        <v>0</v>
      </c>
      <c r="BU99" s="1057">
        <f>$E$99*비용집행계획!BP97</f>
        <v>0</v>
      </c>
      <c r="BV99" s="1057">
        <f>$E$99*비용집행계획!BQ97</f>
        <v>0</v>
      </c>
      <c r="BW99" s="1057">
        <f>$E$99*비용집행계획!BR97</f>
        <v>0</v>
      </c>
      <c r="BX99" s="1057">
        <f>$E$99*비용집행계획!BS97</f>
        <v>0</v>
      </c>
      <c r="BY99" s="1074" t="str">
        <f t="shared" si="102"/>
        <v>본PF Tr-A(자문)</v>
      </c>
      <c r="BZ99" s="1106">
        <f t="shared" si="103"/>
        <v>720000</v>
      </c>
      <c r="CA99" s="1111" t="b">
        <f t="shared" si="97"/>
        <v>1</v>
      </c>
    </row>
    <row r="100" spans="2:80" s="1038" customFormat="1" ht="15.6">
      <c r="B100" s="1131" t="str">
        <f>'사업수지표 '!C85</f>
        <v>본PF Tr-A(이자)</v>
      </c>
      <c r="C100" s="1894"/>
      <c r="D100" s="1125">
        <f>'사업수지표 '!K85</f>
        <v>0.09</v>
      </c>
      <c r="E100" s="1130">
        <f>E155</f>
        <v>5518090.7186698383</v>
      </c>
      <c r="F100" s="1058" t="b">
        <f t="shared" si="87"/>
        <v>1</v>
      </c>
      <c r="G100" s="1056"/>
      <c r="H100" s="1057"/>
      <c r="I100" s="1057"/>
      <c r="J100" s="1057">
        <f>J155</f>
        <v>0</v>
      </c>
      <c r="K100" s="1057">
        <f t="shared" ref="K100:BE100" si="104">K155</f>
        <v>330904.10958904109</v>
      </c>
      <c r="L100" s="1057">
        <f t="shared" si="104"/>
        <v>0</v>
      </c>
      <c r="M100" s="1057">
        <f t="shared" si="104"/>
        <v>336328.76712328766</v>
      </c>
      <c r="N100" s="1057">
        <f t="shared" si="104"/>
        <v>0</v>
      </c>
      <c r="O100" s="1057">
        <f t="shared" si="104"/>
        <v>325479.45205479453</v>
      </c>
      <c r="P100" s="1057">
        <f t="shared" si="104"/>
        <v>0</v>
      </c>
      <c r="Q100" s="1057">
        <f t="shared" si="104"/>
        <v>330904.10958904109</v>
      </c>
      <c r="R100" s="1057">
        <f t="shared" si="104"/>
        <v>0</v>
      </c>
      <c r="S100" s="1057">
        <f t="shared" si="104"/>
        <v>330904.10958904109</v>
      </c>
      <c r="T100" s="1057">
        <f>T155</f>
        <v>0</v>
      </c>
      <c r="U100" s="1057">
        <f t="shared" si="104"/>
        <v>330904.10958904109</v>
      </c>
      <c r="V100" s="1057">
        <f t="shared" si="104"/>
        <v>0</v>
      </c>
      <c r="W100" s="1057">
        <f t="shared" si="104"/>
        <v>330904.10958904109</v>
      </c>
      <c r="X100" s="1057">
        <f t="shared" si="104"/>
        <v>0</v>
      </c>
      <c r="Y100" s="1057">
        <f t="shared" si="104"/>
        <v>336328.76712328766</v>
      </c>
      <c r="Z100" s="1057">
        <f t="shared" si="104"/>
        <v>0</v>
      </c>
      <c r="AA100" s="1057">
        <f t="shared" si="104"/>
        <v>320054.79452054796</v>
      </c>
      <c r="AB100" s="1057">
        <f t="shared" si="104"/>
        <v>0</v>
      </c>
      <c r="AC100" s="1057">
        <f t="shared" si="104"/>
        <v>330904.10958904109</v>
      </c>
      <c r="AD100" s="1057">
        <f t="shared" si="104"/>
        <v>0</v>
      </c>
      <c r="AE100" s="1057">
        <f t="shared" si="104"/>
        <v>330904.10958904109</v>
      </c>
      <c r="AF100" s="1057">
        <f t="shared" si="104"/>
        <v>0</v>
      </c>
      <c r="AG100" s="1057">
        <f t="shared" si="104"/>
        <v>330904.10958904109</v>
      </c>
      <c r="AH100" s="1057">
        <f t="shared" si="104"/>
        <v>0</v>
      </c>
      <c r="AI100" s="1057">
        <f t="shared" si="104"/>
        <v>330904.10958904109</v>
      </c>
      <c r="AJ100" s="1057">
        <f t="shared" si="104"/>
        <v>0</v>
      </c>
      <c r="AK100" s="1057">
        <f t="shared" si="104"/>
        <v>336328.76712328766</v>
      </c>
      <c r="AL100" s="1057">
        <f t="shared" si="104"/>
        <v>0</v>
      </c>
      <c r="AM100" s="1057">
        <f t="shared" si="104"/>
        <v>320054.79452054796</v>
      </c>
      <c r="AN100" s="1057">
        <f t="shared" si="104"/>
        <v>0</v>
      </c>
      <c r="AO100" s="1057">
        <f t="shared" si="104"/>
        <v>330904.10958904109</v>
      </c>
      <c r="AP100" s="1057">
        <f t="shared" si="104"/>
        <v>0</v>
      </c>
      <c r="AQ100" s="1057">
        <f t="shared" si="104"/>
        <v>162739.72602739726</v>
      </c>
      <c r="AR100" s="1057">
        <f t="shared" si="104"/>
        <v>0</v>
      </c>
      <c r="AS100" s="1057">
        <f t="shared" si="104"/>
        <v>0</v>
      </c>
      <c r="AT100" s="1057">
        <f t="shared" si="104"/>
        <v>0</v>
      </c>
      <c r="AU100" s="1057">
        <f t="shared" si="104"/>
        <v>0</v>
      </c>
      <c r="AV100" s="1057">
        <f t="shared" si="104"/>
        <v>0</v>
      </c>
      <c r="AW100" s="1057">
        <f t="shared" si="104"/>
        <v>0</v>
      </c>
      <c r="AX100" s="1057">
        <f t="shared" si="104"/>
        <v>0</v>
      </c>
      <c r="AY100" s="1057">
        <f t="shared" si="104"/>
        <v>0</v>
      </c>
      <c r="AZ100" s="1057">
        <f t="shared" si="104"/>
        <v>0</v>
      </c>
      <c r="BA100" s="1057">
        <f t="shared" si="104"/>
        <v>0</v>
      </c>
      <c r="BB100" s="1057">
        <f t="shared" si="104"/>
        <v>0</v>
      </c>
      <c r="BC100" s="1057">
        <f t="shared" si="104"/>
        <v>0</v>
      </c>
      <c r="BD100" s="1057">
        <f t="shared" si="104"/>
        <v>0</v>
      </c>
      <c r="BE100" s="1057">
        <f t="shared" si="104"/>
        <v>0</v>
      </c>
      <c r="BF100" s="1057">
        <f t="shared" ref="BF100:BT100" si="105">BF155</f>
        <v>0</v>
      </c>
      <c r="BG100" s="1057">
        <f t="shared" si="105"/>
        <v>0</v>
      </c>
      <c r="BH100" s="1057">
        <f t="shared" si="105"/>
        <v>0</v>
      </c>
      <c r="BI100" s="1057">
        <f t="shared" si="105"/>
        <v>0</v>
      </c>
      <c r="BJ100" s="1057">
        <f t="shared" si="105"/>
        <v>0</v>
      </c>
      <c r="BK100" s="1057">
        <f t="shared" si="105"/>
        <v>0</v>
      </c>
      <c r="BL100" s="1057">
        <f t="shared" si="105"/>
        <v>0</v>
      </c>
      <c r="BM100" s="1057">
        <f t="shared" si="105"/>
        <v>0</v>
      </c>
      <c r="BN100" s="1057">
        <f t="shared" si="105"/>
        <v>0</v>
      </c>
      <c r="BO100" s="1057">
        <f t="shared" si="105"/>
        <v>0</v>
      </c>
      <c r="BP100" s="1057">
        <f t="shared" si="105"/>
        <v>0</v>
      </c>
      <c r="BQ100" s="1057">
        <f t="shared" si="105"/>
        <v>0</v>
      </c>
      <c r="BR100" s="1057">
        <f t="shared" si="105"/>
        <v>0</v>
      </c>
      <c r="BS100" s="1057">
        <f t="shared" si="105"/>
        <v>0</v>
      </c>
      <c r="BT100" s="1057">
        <f t="shared" si="105"/>
        <v>0</v>
      </c>
      <c r="BU100" s="1057">
        <f>BU155</f>
        <v>0</v>
      </c>
      <c r="BV100" s="1057">
        <f t="shared" ref="BV100:BX100" si="106">BV155</f>
        <v>71734.554286276412</v>
      </c>
      <c r="BW100" s="1057">
        <f t="shared" si="106"/>
        <v>0</v>
      </c>
      <c r="BX100" s="1057">
        <f t="shared" si="106"/>
        <v>0</v>
      </c>
      <c r="BY100" s="1074" t="str">
        <f t="shared" si="102"/>
        <v>본PF Tr-A(이자)</v>
      </c>
      <c r="BZ100" s="1106">
        <f t="shared" si="103"/>
        <v>5518090.7186698383</v>
      </c>
      <c r="CA100" s="1111" t="b">
        <f t="shared" si="97"/>
        <v>1</v>
      </c>
    </row>
    <row r="101" spans="2:80" s="1038" customFormat="1" ht="15.6">
      <c r="B101" s="1131" t="str">
        <f>'사업수지표 '!C86</f>
        <v>본PF Tr-B(자문)</v>
      </c>
      <c r="C101" s="1894"/>
      <c r="D101" s="1125">
        <f>'사업수지표 '!K86</f>
        <v>0.04</v>
      </c>
      <c r="E101" s="1130">
        <f>'사업수지표 '!E86:E86</f>
        <v>0</v>
      </c>
      <c r="F101" s="1058" t="b">
        <f t="shared" si="87"/>
        <v>1</v>
      </c>
      <c r="G101" s="1056"/>
      <c r="H101" s="1057"/>
      <c r="I101" s="1057"/>
      <c r="J101" s="1057">
        <f>$E$101*비용집행계획!E99</f>
        <v>0</v>
      </c>
      <c r="K101" s="1057">
        <f>$E$101*비용집행계획!F99</f>
        <v>0</v>
      </c>
      <c r="L101" s="1057">
        <f>$E$101*비용집행계획!G99</f>
        <v>0</v>
      </c>
      <c r="M101" s="1057">
        <f>$E$101*비용집행계획!H99</f>
        <v>0</v>
      </c>
      <c r="N101" s="1057">
        <f>$E$101*비용집행계획!I99</f>
        <v>0</v>
      </c>
      <c r="O101" s="1057">
        <f>$E$101*비용집행계획!J99</f>
        <v>0</v>
      </c>
      <c r="P101" s="1057">
        <f>$E$101*비용집행계획!K99</f>
        <v>0</v>
      </c>
      <c r="Q101" s="1057">
        <f>$E$101*비용집행계획!L99</f>
        <v>0</v>
      </c>
      <c r="R101" s="1057">
        <f>$E$101*비용집행계획!M99</f>
        <v>0</v>
      </c>
      <c r="S101" s="1057">
        <f>$E$101*비용집행계획!N99</f>
        <v>0</v>
      </c>
      <c r="T101" s="1057">
        <f>$E$101*비용집행계획!O99</f>
        <v>0</v>
      </c>
      <c r="U101" s="1057">
        <f>$E$101*비용집행계획!P99</f>
        <v>0</v>
      </c>
      <c r="V101" s="1057">
        <f>$E$101*비용집행계획!Q99</f>
        <v>0</v>
      </c>
      <c r="W101" s="1057">
        <f>$E$101*비용집행계획!R99</f>
        <v>0</v>
      </c>
      <c r="X101" s="1057">
        <f>$E$101*비용집행계획!S99</f>
        <v>0</v>
      </c>
      <c r="Y101" s="1057">
        <f>$E$101*비용집행계획!T99</f>
        <v>0</v>
      </c>
      <c r="Z101" s="1057">
        <f>$E$101*비용집행계획!U99</f>
        <v>0</v>
      </c>
      <c r="AA101" s="1057">
        <f>$E$101*비용집행계획!V99</f>
        <v>0</v>
      </c>
      <c r="AB101" s="1057">
        <f>$E$101*비용집행계획!W99</f>
        <v>0</v>
      </c>
      <c r="AC101" s="1057">
        <f>$E$101*비용집행계획!X99</f>
        <v>0</v>
      </c>
      <c r="AD101" s="1057">
        <f>$E$101*비용집행계획!Y99</f>
        <v>0</v>
      </c>
      <c r="AE101" s="1057">
        <f>$E$101*비용집행계획!Z99</f>
        <v>0</v>
      </c>
      <c r="AF101" s="1057">
        <f>$E$101*비용집행계획!AA99</f>
        <v>0</v>
      </c>
      <c r="AG101" s="1057">
        <f>$E$101*비용집행계획!AB99</f>
        <v>0</v>
      </c>
      <c r="AH101" s="1057">
        <f>$E$101*비용집행계획!AC99</f>
        <v>0</v>
      </c>
      <c r="AI101" s="1057">
        <f>$E$101*비용집행계획!AD99</f>
        <v>0</v>
      </c>
      <c r="AJ101" s="1057">
        <f>$E$101*비용집행계획!AE99</f>
        <v>0</v>
      </c>
      <c r="AK101" s="1057">
        <f>$E$101*비용집행계획!AF99</f>
        <v>0</v>
      </c>
      <c r="AL101" s="1057">
        <f>$E$101*비용집행계획!AG99</f>
        <v>0</v>
      </c>
      <c r="AM101" s="1057">
        <f>$E$101*비용집행계획!AH99</f>
        <v>0</v>
      </c>
      <c r="AN101" s="1057">
        <f>$E$101*비용집행계획!AI99</f>
        <v>0</v>
      </c>
      <c r="AO101" s="1057">
        <f>$E$101*비용집행계획!AJ99</f>
        <v>0</v>
      </c>
      <c r="AP101" s="1057">
        <f>$E$101*비용집행계획!AK99</f>
        <v>0</v>
      </c>
      <c r="AQ101" s="1057">
        <f>$E$101*비용집행계획!AL99</f>
        <v>0</v>
      </c>
      <c r="AR101" s="1057">
        <f>$E$101*비용집행계획!AM99</f>
        <v>0</v>
      </c>
      <c r="AS101" s="1057">
        <f>$E$101*비용집행계획!AN99</f>
        <v>0</v>
      </c>
      <c r="AT101" s="1057">
        <f>$E$101*비용집행계획!AO99</f>
        <v>0</v>
      </c>
      <c r="AU101" s="1057">
        <f>$E$101*비용집행계획!AP99</f>
        <v>0</v>
      </c>
      <c r="AV101" s="1057">
        <f>$E$101*비용집행계획!AQ99</f>
        <v>0</v>
      </c>
      <c r="AW101" s="1057">
        <f>$E$101*비용집행계획!AR99</f>
        <v>0</v>
      </c>
      <c r="AX101" s="1057">
        <f>$E$101*비용집행계획!AS99</f>
        <v>0</v>
      </c>
      <c r="AY101" s="1057">
        <f>$E$101*비용집행계획!AT99</f>
        <v>0</v>
      </c>
      <c r="AZ101" s="1057">
        <f>$E$101*비용집행계획!AU99</f>
        <v>0</v>
      </c>
      <c r="BA101" s="1057">
        <f>$E$101*비용집행계획!AV99</f>
        <v>0</v>
      </c>
      <c r="BB101" s="1057">
        <f>$E$101*비용집행계획!AW99</f>
        <v>0</v>
      </c>
      <c r="BC101" s="1057">
        <f>$E$101*비용집행계획!AX99</f>
        <v>0</v>
      </c>
      <c r="BD101" s="1057">
        <f>$E$101*비용집행계획!AY99</f>
        <v>0</v>
      </c>
      <c r="BE101" s="1057">
        <f>$E$101*비용집행계획!AZ99</f>
        <v>0</v>
      </c>
      <c r="BF101" s="1057">
        <f>$E$101*비용집행계획!BA99</f>
        <v>0</v>
      </c>
      <c r="BG101" s="1057">
        <f>$E$101*비용집행계획!BB99</f>
        <v>0</v>
      </c>
      <c r="BH101" s="1057">
        <f>$E$101*비용집행계획!BC99</f>
        <v>0</v>
      </c>
      <c r="BI101" s="1057">
        <f>$E$101*비용집행계획!BD99</f>
        <v>0</v>
      </c>
      <c r="BJ101" s="1057">
        <f>$E$101*비용집행계획!BE99</f>
        <v>0</v>
      </c>
      <c r="BK101" s="1057">
        <f>$E$101*비용집행계획!BF99</f>
        <v>0</v>
      </c>
      <c r="BL101" s="1057">
        <f>$E$101*비용집행계획!BG99</f>
        <v>0</v>
      </c>
      <c r="BM101" s="1057">
        <f>$E$101*비용집행계획!BH99</f>
        <v>0</v>
      </c>
      <c r="BN101" s="1057">
        <f>$E$101*비용집행계획!BI99</f>
        <v>0</v>
      </c>
      <c r="BO101" s="1057">
        <f>$E$101*비용집행계획!BJ99</f>
        <v>0</v>
      </c>
      <c r="BP101" s="1057">
        <f>$E$101*비용집행계획!BK99</f>
        <v>0</v>
      </c>
      <c r="BQ101" s="1057">
        <f>$E$101*비용집행계획!BL99</f>
        <v>0</v>
      </c>
      <c r="BR101" s="1057">
        <f>$E$101*비용집행계획!BM99</f>
        <v>0</v>
      </c>
      <c r="BS101" s="1057">
        <f>$E$101*비용집행계획!BN99</f>
        <v>0</v>
      </c>
      <c r="BT101" s="1057">
        <f>$E$101*비용집행계획!BO99</f>
        <v>0</v>
      </c>
      <c r="BU101" s="1057">
        <f>$E$101*비용집행계획!BP99</f>
        <v>0</v>
      </c>
      <c r="BV101" s="1057">
        <f>$E$101*비용집행계획!BQ99</f>
        <v>0</v>
      </c>
      <c r="BW101" s="1057">
        <f>$E$101*비용집행계획!BR99</f>
        <v>0</v>
      </c>
      <c r="BX101" s="1057">
        <f>$E$101*비용집행계획!BS99</f>
        <v>0</v>
      </c>
      <c r="BY101" s="1074" t="str">
        <f t="shared" si="102"/>
        <v>본PF Tr-B(자문)</v>
      </c>
      <c r="BZ101" s="1106">
        <f t="shared" si="103"/>
        <v>0</v>
      </c>
      <c r="CA101" s="1111" t="b">
        <f t="shared" si="97"/>
        <v>1</v>
      </c>
    </row>
    <row r="102" spans="2:80" s="1038" customFormat="1" ht="15.6">
      <c r="B102" s="1131" t="str">
        <f>'사업수지표 '!C87</f>
        <v>본PF Tr-B(이자)</v>
      </c>
      <c r="C102" s="1894"/>
      <c r="D102" s="1125">
        <f>'사업수지표 '!K87</f>
        <v>0.12</v>
      </c>
      <c r="E102" s="1130">
        <f>E156</f>
        <v>0</v>
      </c>
      <c r="F102" s="1058" t="b">
        <f t="shared" si="87"/>
        <v>1</v>
      </c>
      <c r="G102" s="1056"/>
      <c r="H102" s="1057"/>
      <c r="I102" s="1057"/>
      <c r="J102" s="1057">
        <f>J156</f>
        <v>0</v>
      </c>
      <c r="K102" s="1057">
        <f t="shared" ref="K102:BE102" si="107">K156</f>
        <v>0</v>
      </c>
      <c r="L102" s="1057">
        <f t="shared" si="107"/>
        <v>0</v>
      </c>
      <c r="M102" s="1057">
        <f t="shared" si="107"/>
        <v>0</v>
      </c>
      <c r="N102" s="1057">
        <f t="shared" si="107"/>
        <v>0</v>
      </c>
      <c r="O102" s="1057">
        <f t="shared" si="107"/>
        <v>0</v>
      </c>
      <c r="P102" s="1057">
        <f t="shared" si="107"/>
        <v>0</v>
      </c>
      <c r="Q102" s="1057">
        <f t="shared" si="107"/>
        <v>0</v>
      </c>
      <c r="R102" s="1057">
        <f t="shared" si="107"/>
        <v>0</v>
      </c>
      <c r="S102" s="1057">
        <f t="shared" si="107"/>
        <v>0</v>
      </c>
      <c r="T102" s="1057">
        <f t="shared" si="107"/>
        <v>0</v>
      </c>
      <c r="U102" s="1057">
        <f t="shared" si="107"/>
        <v>0</v>
      </c>
      <c r="V102" s="1057">
        <f t="shared" si="107"/>
        <v>0</v>
      </c>
      <c r="W102" s="1057">
        <f t="shared" si="107"/>
        <v>0</v>
      </c>
      <c r="X102" s="1057">
        <f t="shared" si="107"/>
        <v>0</v>
      </c>
      <c r="Y102" s="1057">
        <f t="shared" si="107"/>
        <v>0</v>
      </c>
      <c r="Z102" s="1057">
        <f t="shared" si="107"/>
        <v>0</v>
      </c>
      <c r="AA102" s="1057">
        <f t="shared" si="107"/>
        <v>0</v>
      </c>
      <c r="AB102" s="1057">
        <f t="shared" si="107"/>
        <v>0</v>
      </c>
      <c r="AC102" s="1057">
        <f t="shared" si="107"/>
        <v>0</v>
      </c>
      <c r="AD102" s="1057">
        <f t="shared" si="107"/>
        <v>0</v>
      </c>
      <c r="AE102" s="1057">
        <f t="shared" si="107"/>
        <v>0</v>
      </c>
      <c r="AF102" s="1057">
        <f t="shared" si="107"/>
        <v>0</v>
      </c>
      <c r="AG102" s="1057">
        <f t="shared" si="107"/>
        <v>0</v>
      </c>
      <c r="AH102" s="1057">
        <f t="shared" si="107"/>
        <v>0</v>
      </c>
      <c r="AI102" s="1057">
        <f t="shared" si="107"/>
        <v>0</v>
      </c>
      <c r="AJ102" s="1057">
        <f t="shared" si="107"/>
        <v>0</v>
      </c>
      <c r="AK102" s="1057">
        <f t="shared" si="107"/>
        <v>0</v>
      </c>
      <c r="AL102" s="1057">
        <f t="shared" si="107"/>
        <v>0</v>
      </c>
      <c r="AM102" s="1057">
        <f t="shared" si="107"/>
        <v>0</v>
      </c>
      <c r="AN102" s="1057">
        <f t="shared" si="107"/>
        <v>0</v>
      </c>
      <c r="AO102" s="1057">
        <f t="shared" si="107"/>
        <v>0</v>
      </c>
      <c r="AP102" s="1057">
        <f t="shared" si="107"/>
        <v>0</v>
      </c>
      <c r="AQ102" s="1057">
        <f t="shared" si="107"/>
        <v>0</v>
      </c>
      <c r="AR102" s="1057">
        <f t="shared" si="107"/>
        <v>0</v>
      </c>
      <c r="AS102" s="1057">
        <f t="shared" si="107"/>
        <v>0</v>
      </c>
      <c r="AT102" s="1057">
        <f t="shared" si="107"/>
        <v>0</v>
      </c>
      <c r="AU102" s="1057">
        <f t="shared" si="107"/>
        <v>0</v>
      </c>
      <c r="AV102" s="1057">
        <f t="shared" si="107"/>
        <v>0</v>
      </c>
      <c r="AW102" s="1057">
        <f t="shared" si="107"/>
        <v>0</v>
      </c>
      <c r="AX102" s="1057">
        <f t="shared" si="107"/>
        <v>0</v>
      </c>
      <c r="AY102" s="1057">
        <f t="shared" si="107"/>
        <v>0</v>
      </c>
      <c r="AZ102" s="1057">
        <f t="shared" si="107"/>
        <v>0</v>
      </c>
      <c r="BA102" s="1057">
        <f t="shared" si="107"/>
        <v>0</v>
      </c>
      <c r="BB102" s="1057">
        <f t="shared" si="107"/>
        <v>0</v>
      </c>
      <c r="BC102" s="1057">
        <f t="shared" si="107"/>
        <v>0</v>
      </c>
      <c r="BD102" s="1057">
        <f t="shared" si="107"/>
        <v>0</v>
      </c>
      <c r="BE102" s="1057">
        <f t="shared" si="107"/>
        <v>0</v>
      </c>
      <c r="BF102" s="1057">
        <f t="shared" ref="BF102:BU102" si="108">BF156</f>
        <v>0</v>
      </c>
      <c r="BG102" s="1057">
        <f t="shared" si="108"/>
        <v>0</v>
      </c>
      <c r="BH102" s="1057">
        <f t="shared" si="108"/>
        <v>0</v>
      </c>
      <c r="BI102" s="1057">
        <f t="shared" si="108"/>
        <v>0</v>
      </c>
      <c r="BJ102" s="1057">
        <f t="shared" si="108"/>
        <v>0</v>
      </c>
      <c r="BK102" s="1057">
        <f t="shared" si="108"/>
        <v>0</v>
      </c>
      <c r="BL102" s="1057">
        <f t="shared" si="108"/>
        <v>0</v>
      </c>
      <c r="BM102" s="1057">
        <f t="shared" si="108"/>
        <v>0</v>
      </c>
      <c r="BN102" s="1057">
        <f t="shared" si="108"/>
        <v>0</v>
      </c>
      <c r="BO102" s="1057">
        <f t="shared" si="108"/>
        <v>0</v>
      </c>
      <c r="BP102" s="1057">
        <f t="shared" si="108"/>
        <v>0</v>
      </c>
      <c r="BQ102" s="1057">
        <f t="shared" si="108"/>
        <v>0</v>
      </c>
      <c r="BR102" s="1057">
        <f t="shared" si="108"/>
        <v>0</v>
      </c>
      <c r="BS102" s="1057">
        <f t="shared" si="108"/>
        <v>0</v>
      </c>
      <c r="BT102" s="1057">
        <f t="shared" si="108"/>
        <v>0</v>
      </c>
      <c r="BU102" s="1057">
        <f t="shared" si="108"/>
        <v>0</v>
      </c>
      <c r="BV102" s="1057">
        <f t="shared" ref="BV102:BX102" si="109">BV156</f>
        <v>0</v>
      </c>
      <c r="BW102" s="1057">
        <f t="shared" si="109"/>
        <v>0</v>
      </c>
      <c r="BX102" s="1057">
        <f t="shared" si="109"/>
        <v>0</v>
      </c>
      <c r="BY102" s="1074" t="str">
        <f t="shared" si="102"/>
        <v>본PF Tr-B(이자)</v>
      </c>
      <c r="BZ102" s="1106">
        <f t="shared" si="103"/>
        <v>0</v>
      </c>
      <c r="CA102" s="1111" t="b">
        <f t="shared" si="97"/>
        <v>1</v>
      </c>
    </row>
    <row r="103" spans="2:80" s="1038" customFormat="1" ht="15.6">
      <c r="B103" s="1131" t="str">
        <f>'사업수지표 '!C88</f>
        <v>본PF Tr-C(자문)</v>
      </c>
      <c r="C103" s="1894"/>
      <c r="D103" s="1125">
        <f>'사업수지표 '!K88</f>
        <v>0.08</v>
      </c>
      <c r="E103" s="1130">
        <f>'사업수지표 '!E88:E88</f>
        <v>0</v>
      </c>
      <c r="F103" s="1058" t="b">
        <f t="shared" si="87"/>
        <v>1</v>
      </c>
      <c r="G103" s="1056"/>
      <c r="H103" s="1057"/>
      <c r="I103" s="1057"/>
      <c r="J103" s="1057">
        <f>$E$103*비용집행계획!E101</f>
        <v>0</v>
      </c>
      <c r="K103" s="1057">
        <f>$E$103*비용집행계획!F101</f>
        <v>0</v>
      </c>
      <c r="L103" s="1057">
        <f>$E$103*비용집행계획!G101</f>
        <v>0</v>
      </c>
      <c r="M103" s="1057">
        <f>$E$103*비용집행계획!H101</f>
        <v>0</v>
      </c>
      <c r="N103" s="1057">
        <f>$E$103*비용집행계획!I101</f>
        <v>0</v>
      </c>
      <c r="O103" s="1057">
        <f>$E$103*비용집행계획!J101</f>
        <v>0</v>
      </c>
      <c r="P103" s="1057">
        <f>$E$103*비용집행계획!K101</f>
        <v>0</v>
      </c>
      <c r="Q103" s="1057">
        <f>$E$103*비용집행계획!L101</f>
        <v>0</v>
      </c>
      <c r="R103" s="1057">
        <f>$E$103*비용집행계획!M101</f>
        <v>0</v>
      </c>
      <c r="S103" s="1057">
        <f>$E$103*비용집행계획!N101</f>
        <v>0</v>
      </c>
      <c r="T103" s="1057">
        <f>$E$103*비용집행계획!O101</f>
        <v>0</v>
      </c>
      <c r="U103" s="1057">
        <f>$E$103*비용집행계획!P101</f>
        <v>0</v>
      </c>
      <c r="V103" s="1057">
        <f>$E$103*비용집행계획!Q101</f>
        <v>0</v>
      </c>
      <c r="W103" s="1057">
        <f>$E$103*비용집행계획!R101</f>
        <v>0</v>
      </c>
      <c r="X103" s="1057">
        <f>$E$103*비용집행계획!S101</f>
        <v>0</v>
      </c>
      <c r="Y103" s="1057">
        <f>$E$103*비용집행계획!T101</f>
        <v>0</v>
      </c>
      <c r="Z103" s="1057">
        <f>$E$103*비용집행계획!U101</f>
        <v>0</v>
      </c>
      <c r="AA103" s="1057">
        <f>$E$103*비용집행계획!V101</f>
        <v>0</v>
      </c>
      <c r="AB103" s="1057">
        <f>$E$103*비용집행계획!W101</f>
        <v>0</v>
      </c>
      <c r="AC103" s="1057">
        <f>$E$103*비용집행계획!X101</f>
        <v>0</v>
      </c>
      <c r="AD103" s="1057">
        <f>$E$103*비용집행계획!Y101</f>
        <v>0</v>
      </c>
      <c r="AE103" s="1057">
        <f>$E$103*비용집행계획!Z101</f>
        <v>0</v>
      </c>
      <c r="AF103" s="1057">
        <f>$E$103*비용집행계획!AA101</f>
        <v>0</v>
      </c>
      <c r="AG103" s="1057">
        <f>$E$103*비용집행계획!AB101</f>
        <v>0</v>
      </c>
      <c r="AH103" s="1057">
        <f>$E$103*비용집행계획!AC101</f>
        <v>0</v>
      </c>
      <c r="AI103" s="1057">
        <f>$E$103*비용집행계획!AD101</f>
        <v>0</v>
      </c>
      <c r="AJ103" s="1057">
        <f>$E$103*비용집행계획!AE101</f>
        <v>0</v>
      </c>
      <c r="AK103" s="1057">
        <f>$E$103*비용집행계획!AF101</f>
        <v>0</v>
      </c>
      <c r="AL103" s="1057">
        <f>$E$103*비용집행계획!AG101</f>
        <v>0</v>
      </c>
      <c r="AM103" s="1057">
        <f>$E$103*비용집행계획!AH101</f>
        <v>0</v>
      </c>
      <c r="AN103" s="1057">
        <f>$E$103*비용집행계획!AI101</f>
        <v>0</v>
      </c>
      <c r="AO103" s="1057">
        <f>$E$103*비용집행계획!AJ101</f>
        <v>0</v>
      </c>
      <c r="AP103" s="1057">
        <f>$E$103*비용집행계획!AK101</f>
        <v>0</v>
      </c>
      <c r="AQ103" s="1057">
        <f>$E$103*비용집행계획!AL101</f>
        <v>0</v>
      </c>
      <c r="AR103" s="1057">
        <f>$E$103*비용집행계획!AM101</f>
        <v>0</v>
      </c>
      <c r="AS103" s="1057">
        <f>$E$103*비용집행계획!AN101</f>
        <v>0</v>
      </c>
      <c r="AT103" s="1057">
        <f>$E$103*비용집행계획!AO101</f>
        <v>0</v>
      </c>
      <c r="AU103" s="1057">
        <f>$E$103*비용집행계획!AP101</f>
        <v>0</v>
      </c>
      <c r="AV103" s="1057">
        <f>$E$103*비용집행계획!AQ101</f>
        <v>0</v>
      </c>
      <c r="AW103" s="1057">
        <f>$E$103*비용집행계획!AR101</f>
        <v>0</v>
      </c>
      <c r="AX103" s="1057">
        <f>$E$103*비용집행계획!AS101</f>
        <v>0</v>
      </c>
      <c r="AY103" s="1057">
        <f>$E$103*비용집행계획!AT101</f>
        <v>0</v>
      </c>
      <c r="AZ103" s="1057">
        <f>$E$103*비용집행계획!AU101</f>
        <v>0</v>
      </c>
      <c r="BA103" s="1057">
        <f>$E$103*비용집행계획!AV101</f>
        <v>0</v>
      </c>
      <c r="BB103" s="1057">
        <f>$E$103*비용집행계획!AW101</f>
        <v>0</v>
      </c>
      <c r="BC103" s="1057">
        <f>$E$103*비용집행계획!AX101</f>
        <v>0</v>
      </c>
      <c r="BD103" s="1057">
        <f>$E$103*비용집행계획!AY101</f>
        <v>0</v>
      </c>
      <c r="BE103" s="1057">
        <f>$E$103*비용집행계획!AZ101</f>
        <v>0</v>
      </c>
      <c r="BF103" s="1057">
        <f>$E$103*비용집행계획!BA101</f>
        <v>0</v>
      </c>
      <c r="BG103" s="1057">
        <f>$E$103*비용집행계획!BB101</f>
        <v>0</v>
      </c>
      <c r="BH103" s="1057">
        <f>$E$103*비용집행계획!BC101</f>
        <v>0</v>
      </c>
      <c r="BI103" s="1057">
        <f>$E$103*비용집행계획!BD101</f>
        <v>0</v>
      </c>
      <c r="BJ103" s="1057">
        <f>$E$103*비용집행계획!BE101</f>
        <v>0</v>
      </c>
      <c r="BK103" s="1057">
        <f>$E$103*비용집행계획!BF101</f>
        <v>0</v>
      </c>
      <c r="BL103" s="1057">
        <f>$E$103*비용집행계획!BG101</f>
        <v>0</v>
      </c>
      <c r="BM103" s="1057">
        <f>$E$103*비용집행계획!BH101</f>
        <v>0</v>
      </c>
      <c r="BN103" s="1057">
        <f>$E$103*비용집행계획!BI101</f>
        <v>0</v>
      </c>
      <c r="BO103" s="1057">
        <f>$E$103*비용집행계획!BJ101</f>
        <v>0</v>
      </c>
      <c r="BP103" s="1057">
        <f>$E$103*비용집행계획!BK101</f>
        <v>0</v>
      </c>
      <c r="BQ103" s="1057">
        <f>$E$103*비용집행계획!BL101</f>
        <v>0</v>
      </c>
      <c r="BR103" s="1057">
        <f>$E$103*비용집행계획!BM101</f>
        <v>0</v>
      </c>
      <c r="BS103" s="1057">
        <f>$E$103*비용집행계획!BN101</f>
        <v>0</v>
      </c>
      <c r="BT103" s="1057">
        <f>$E$103*비용집행계획!BO101</f>
        <v>0</v>
      </c>
      <c r="BU103" s="1057">
        <f>$E$103*비용집행계획!BP101</f>
        <v>0</v>
      </c>
      <c r="BV103" s="1057">
        <f>$E$103*비용집행계획!BQ101</f>
        <v>0</v>
      </c>
      <c r="BW103" s="1057">
        <f>$E$103*비용집행계획!BR101</f>
        <v>0</v>
      </c>
      <c r="BX103" s="1057">
        <f>$E$103*비용집행계획!BS101</f>
        <v>0</v>
      </c>
      <c r="BY103" s="1074" t="str">
        <f t="shared" si="102"/>
        <v>본PF Tr-C(자문)</v>
      </c>
      <c r="BZ103" s="1106">
        <f t="shared" si="103"/>
        <v>0</v>
      </c>
      <c r="CA103" s="1111" t="b">
        <f t="shared" ref="CA103:CA110" si="110">ROUND(BZ103,0)=ROUND(E103,0)</f>
        <v>1</v>
      </c>
    </row>
    <row r="104" spans="2:80" s="1038" customFormat="1" ht="15.6">
      <c r="B104" s="1131" t="str">
        <f>'사업수지표 '!C89</f>
        <v>본PF Tr-C(이자)</v>
      </c>
      <c r="C104" s="1894"/>
      <c r="D104" s="1125">
        <f>'사업수지표 '!K89</f>
        <v>0.15</v>
      </c>
      <c r="E104" s="1130">
        <f>E157</f>
        <v>0</v>
      </c>
      <c r="F104" s="1058" t="b">
        <f t="shared" si="87"/>
        <v>1</v>
      </c>
      <c r="G104" s="1056"/>
      <c r="H104" s="1057"/>
      <c r="I104" s="1057"/>
      <c r="J104" s="1057">
        <f>J157</f>
        <v>0</v>
      </c>
      <c r="K104" s="1057">
        <f t="shared" ref="K104:BE104" si="111">K157</f>
        <v>0</v>
      </c>
      <c r="L104" s="1057">
        <f t="shared" si="111"/>
        <v>0</v>
      </c>
      <c r="M104" s="1057">
        <f t="shared" si="111"/>
        <v>0</v>
      </c>
      <c r="N104" s="1057">
        <f t="shared" si="111"/>
        <v>0</v>
      </c>
      <c r="O104" s="1057">
        <f t="shared" si="111"/>
        <v>0</v>
      </c>
      <c r="P104" s="1057">
        <f t="shared" si="111"/>
        <v>0</v>
      </c>
      <c r="Q104" s="1057">
        <f t="shared" si="111"/>
        <v>0</v>
      </c>
      <c r="R104" s="1057">
        <f t="shared" si="111"/>
        <v>0</v>
      </c>
      <c r="S104" s="1057">
        <f t="shared" si="111"/>
        <v>0</v>
      </c>
      <c r="T104" s="1057">
        <f t="shared" si="111"/>
        <v>0</v>
      </c>
      <c r="U104" s="1057">
        <f t="shared" si="111"/>
        <v>0</v>
      </c>
      <c r="V104" s="1057">
        <f t="shared" si="111"/>
        <v>0</v>
      </c>
      <c r="W104" s="1057">
        <f t="shared" si="111"/>
        <v>0</v>
      </c>
      <c r="X104" s="1057">
        <f t="shared" si="111"/>
        <v>0</v>
      </c>
      <c r="Y104" s="1057">
        <f t="shared" si="111"/>
        <v>0</v>
      </c>
      <c r="Z104" s="1057">
        <f t="shared" si="111"/>
        <v>0</v>
      </c>
      <c r="AA104" s="1057">
        <f t="shared" si="111"/>
        <v>0</v>
      </c>
      <c r="AB104" s="1057">
        <f t="shared" si="111"/>
        <v>0</v>
      </c>
      <c r="AC104" s="1057">
        <f t="shared" si="111"/>
        <v>0</v>
      </c>
      <c r="AD104" s="1057">
        <f t="shared" si="111"/>
        <v>0</v>
      </c>
      <c r="AE104" s="1057">
        <f t="shared" si="111"/>
        <v>0</v>
      </c>
      <c r="AF104" s="1057">
        <f t="shared" si="111"/>
        <v>0</v>
      </c>
      <c r="AG104" s="1057">
        <f t="shared" si="111"/>
        <v>0</v>
      </c>
      <c r="AH104" s="1057">
        <f t="shared" si="111"/>
        <v>0</v>
      </c>
      <c r="AI104" s="1057">
        <f t="shared" si="111"/>
        <v>0</v>
      </c>
      <c r="AJ104" s="1057">
        <f t="shared" si="111"/>
        <v>0</v>
      </c>
      <c r="AK104" s="1057">
        <f t="shared" si="111"/>
        <v>0</v>
      </c>
      <c r="AL104" s="1057">
        <f t="shared" si="111"/>
        <v>0</v>
      </c>
      <c r="AM104" s="1057">
        <f t="shared" si="111"/>
        <v>0</v>
      </c>
      <c r="AN104" s="1057">
        <f t="shared" si="111"/>
        <v>0</v>
      </c>
      <c r="AO104" s="1057">
        <f t="shared" si="111"/>
        <v>0</v>
      </c>
      <c r="AP104" s="1057">
        <f t="shared" si="111"/>
        <v>0</v>
      </c>
      <c r="AQ104" s="1057">
        <f t="shared" si="111"/>
        <v>0</v>
      </c>
      <c r="AR104" s="1057">
        <f t="shared" si="111"/>
        <v>0</v>
      </c>
      <c r="AS104" s="1057">
        <f t="shared" si="111"/>
        <v>0</v>
      </c>
      <c r="AT104" s="1057">
        <f t="shared" si="111"/>
        <v>0</v>
      </c>
      <c r="AU104" s="1057">
        <f t="shared" si="111"/>
        <v>0</v>
      </c>
      <c r="AV104" s="1057">
        <f t="shared" si="111"/>
        <v>0</v>
      </c>
      <c r="AW104" s="1057">
        <f t="shared" si="111"/>
        <v>0</v>
      </c>
      <c r="AX104" s="1057">
        <f t="shared" si="111"/>
        <v>0</v>
      </c>
      <c r="AY104" s="1057">
        <f t="shared" si="111"/>
        <v>0</v>
      </c>
      <c r="AZ104" s="1057">
        <f t="shared" si="111"/>
        <v>0</v>
      </c>
      <c r="BA104" s="1057">
        <f t="shared" si="111"/>
        <v>0</v>
      </c>
      <c r="BB104" s="1057">
        <f t="shared" si="111"/>
        <v>0</v>
      </c>
      <c r="BC104" s="1057">
        <f t="shared" si="111"/>
        <v>0</v>
      </c>
      <c r="BD104" s="1057">
        <f t="shared" si="111"/>
        <v>0</v>
      </c>
      <c r="BE104" s="1057">
        <f t="shared" si="111"/>
        <v>0</v>
      </c>
      <c r="BF104" s="1057">
        <f t="shared" ref="BF104:BU104" si="112">BF157</f>
        <v>0</v>
      </c>
      <c r="BG104" s="1057">
        <f t="shared" si="112"/>
        <v>0</v>
      </c>
      <c r="BH104" s="1057">
        <f t="shared" si="112"/>
        <v>0</v>
      </c>
      <c r="BI104" s="1057">
        <f t="shared" si="112"/>
        <v>0</v>
      </c>
      <c r="BJ104" s="1057">
        <f t="shared" si="112"/>
        <v>0</v>
      </c>
      <c r="BK104" s="1057">
        <f t="shared" si="112"/>
        <v>0</v>
      </c>
      <c r="BL104" s="1057">
        <f t="shared" si="112"/>
        <v>0</v>
      </c>
      <c r="BM104" s="1057">
        <f t="shared" si="112"/>
        <v>0</v>
      </c>
      <c r="BN104" s="1057">
        <f t="shared" si="112"/>
        <v>0</v>
      </c>
      <c r="BO104" s="1057">
        <f t="shared" si="112"/>
        <v>0</v>
      </c>
      <c r="BP104" s="1057">
        <f t="shared" si="112"/>
        <v>0</v>
      </c>
      <c r="BQ104" s="1057">
        <f t="shared" si="112"/>
        <v>0</v>
      </c>
      <c r="BR104" s="1057">
        <f t="shared" si="112"/>
        <v>0</v>
      </c>
      <c r="BS104" s="1057">
        <f t="shared" si="112"/>
        <v>0</v>
      </c>
      <c r="BT104" s="1057">
        <f t="shared" si="112"/>
        <v>0</v>
      </c>
      <c r="BU104" s="1057">
        <f t="shared" si="112"/>
        <v>0</v>
      </c>
      <c r="BV104" s="1057">
        <f t="shared" ref="BV104:BX104" si="113">BV157</f>
        <v>0</v>
      </c>
      <c r="BW104" s="1057">
        <f t="shared" si="113"/>
        <v>0</v>
      </c>
      <c r="BX104" s="1057">
        <f t="shared" si="113"/>
        <v>0</v>
      </c>
      <c r="BY104" s="1079" t="str">
        <f t="shared" si="102"/>
        <v>본PF Tr-C(이자)</v>
      </c>
      <c r="BZ104" s="1132">
        <f t="shared" si="103"/>
        <v>0</v>
      </c>
      <c r="CA104" s="1133" t="b">
        <f t="shared" si="110"/>
        <v>1</v>
      </c>
    </row>
    <row r="105" spans="2:80" s="1038" customFormat="1" ht="15.6">
      <c r="B105" s="1131" t="s">
        <v>1447</v>
      </c>
      <c r="C105" s="1894"/>
      <c r="D105" s="1125">
        <f>D158</f>
        <v>5.0000000000000001E-3</v>
      </c>
      <c r="E105" s="1130">
        <f>E158</f>
        <v>68863.013698630122</v>
      </c>
      <c r="F105" s="1058" t="b">
        <f t="shared" si="87"/>
        <v>1</v>
      </c>
      <c r="G105" s="1056"/>
      <c r="H105" s="1057"/>
      <c r="I105" s="1057"/>
      <c r="J105" s="1057">
        <f>J158</f>
        <v>0</v>
      </c>
      <c r="K105" s="1057">
        <f t="shared" ref="K105:BU105" si="114">K158</f>
        <v>0</v>
      </c>
      <c r="L105" s="1057">
        <f t="shared" si="114"/>
        <v>5753.4246575342468</v>
      </c>
      <c r="M105" s="1057">
        <f>M158</f>
        <v>5945.2054794520545</v>
      </c>
      <c r="N105" s="1057">
        <f t="shared" si="114"/>
        <v>5945.2054794520545</v>
      </c>
      <c r="O105" s="1057">
        <f t="shared" si="114"/>
        <v>5561.6438356164381</v>
      </c>
      <c r="P105" s="1057">
        <f t="shared" si="114"/>
        <v>5520.5479452054797</v>
      </c>
      <c r="Q105" s="1057">
        <f t="shared" si="114"/>
        <v>5342.4657534246571</v>
      </c>
      <c r="R105" s="1057">
        <f t="shared" si="114"/>
        <v>5520.5479452054797</v>
      </c>
      <c r="S105" s="1057">
        <f t="shared" si="114"/>
        <v>4109.58904109589</v>
      </c>
      <c r="T105" s="1057">
        <f t="shared" si="114"/>
        <v>4246.5753424657532</v>
      </c>
      <c r="U105" s="1057">
        <f t="shared" si="114"/>
        <v>4246.5753424657532</v>
      </c>
      <c r="V105" s="1057">
        <f t="shared" si="114"/>
        <v>3698.6301369863013</v>
      </c>
      <c r="W105" s="1057">
        <f t="shared" si="114"/>
        <v>2547.9452054794519</v>
      </c>
      <c r="X105" s="1057">
        <f t="shared" si="114"/>
        <v>2465.7534246575342</v>
      </c>
      <c r="Y105" s="1057">
        <f t="shared" si="114"/>
        <v>2547.9452054794519</v>
      </c>
      <c r="Z105" s="1057">
        <f t="shared" si="114"/>
        <v>2123.2876712328766</v>
      </c>
      <c r="AA105" s="1057">
        <f t="shared" si="114"/>
        <v>767.1232876712329</v>
      </c>
      <c r="AB105" s="1057">
        <f t="shared" si="114"/>
        <v>849.31506849315065</v>
      </c>
      <c r="AC105" s="1057">
        <f t="shared" si="114"/>
        <v>821.91780821917803</v>
      </c>
      <c r="AD105" s="1057">
        <f t="shared" si="114"/>
        <v>849.31506849315065</v>
      </c>
      <c r="AE105" s="1057">
        <f t="shared" si="114"/>
        <v>0</v>
      </c>
      <c r="AF105" s="1057">
        <f t="shared" si="114"/>
        <v>0</v>
      </c>
      <c r="AG105" s="1057">
        <f t="shared" si="114"/>
        <v>0</v>
      </c>
      <c r="AH105" s="1057">
        <f t="shared" si="114"/>
        <v>0</v>
      </c>
      <c r="AI105" s="1057">
        <f t="shared" si="114"/>
        <v>0</v>
      </c>
      <c r="AJ105" s="1057">
        <f t="shared" si="114"/>
        <v>0</v>
      </c>
      <c r="AK105" s="1057">
        <f t="shared" si="114"/>
        <v>0</v>
      </c>
      <c r="AL105" s="1057">
        <f t="shared" si="114"/>
        <v>0</v>
      </c>
      <c r="AM105" s="1057">
        <f t="shared" si="114"/>
        <v>0</v>
      </c>
      <c r="AN105" s="1057">
        <f t="shared" si="114"/>
        <v>0</v>
      </c>
      <c r="AO105" s="1057">
        <f t="shared" si="114"/>
        <v>0</v>
      </c>
      <c r="AP105" s="1057">
        <f t="shared" si="114"/>
        <v>0</v>
      </c>
      <c r="AQ105" s="1057">
        <f t="shared" si="114"/>
        <v>0</v>
      </c>
      <c r="AR105" s="1057">
        <f t="shared" si="114"/>
        <v>0</v>
      </c>
      <c r="AS105" s="1057">
        <f t="shared" si="114"/>
        <v>0</v>
      </c>
      <c r="AT105" s="1057">
        <f t="shared" si="114"/>
        <v>0</v>
      </c>
      <c r="AU105" s="1057">
        <f t="shared" si="114"/>
        <v>0</v>
      </c>
      <c r="AV105" s="1057">
        <f t="shared" si="114"/>
        <v>0</v>
      </c>
      <c r="AW105" s="1057">
        <f t="shared" si="114"/>
        <v>0</v>
      </c>
      <c r="AX105" s="1057">
        <f t="shared" si="114"/>
        <v>0</v>
      </c>
      <c r="AY105" s="1057">
        <f t="shared" si="114"/>
        <v>0</v>
      </c>
      <c r="AZ105" s="1057">
        <f t="shared" si="114"/>
        <v>0</v>
      </c>
      <c r="BA105" s="1057">
        <f t="shared" si="114"/>
        <v>0</v>
      </c>
      <c r="BB105" s="1057">
        <f t="shared" si="114"/>
        <v>0</v>
      </c>
      <c r="BC105" s="1057">
        <f t="shared" si="114"/>
        <v>0</v>
      </c>
      <c r="BD105" s="1057">
        <f t="shared" si="114"/>
        <v>0</v>
      </c>
      <c r="BE105" s="1057">
        <f t="shared" si="114"/>
        <v>0</v>
      </c>
      <c r="BF105" s="1057">
        <f t="shared" si="114"/>
        <v>0</v>
      </c>
      <c r="BG105" s="1057">
        <f t="shared" si="114"/>
        <v>0</v>
      </c>
      <c r="BH105" s="1057">
        <f t="shared" si="114"/>
        <v>0</v>
      </c>
      <c r="BI105" s="1057">
        <f t="shared" si="114"/>
        <v>0</v>
      </c>
      <c r="BJ105" s="1057">
        <f t="shared" si="114"/>
        <v>0</v>
      </c>
      <c r="BK105" s="1057">
        <f t="shared" si="114"/>
        <v>0</v>
      </c>
      <c r="BL105" s="1057">
        <f t="shared" si="114"/>
        <v>0</v>
      </c>
      <c r="BM105" s="1057">
        <f t="shared" si="114"/>
        <v>0</v>
      </c>
      <c r="BN105" s="1057">
        <f t="shared" si="114"/>
        <v>0</v>
      </c>
      <c r="BO105" s="1057">
        <f t="shared" si="114"/>
        <v>0</v>
      </c>
      <c r="BP105" s="1057">
        <f t="shared" si="114"/>
        <v>0</v>
      </c>
      <c r="BQ105" s="1057">
        <f t="shared" si="114"/>
        <v>0</v>
      </c>
      <c r="BR105" s="1057">
        <f t="shared" si="114"/>
        <v>0</v>
      </c>
      <c r="BS105" s="1057">
        <f t="shared" si="114"/>
        <v>0</v>
      </c>
      <c r="BT105" s="1057">
        <f>BT158</f>
        <v>0</v>
      </c>
      <c r="BU105" s="1057">
        <f t="shared" si="114"/>
        <v>0</v>
      </c>
      <c r="BV105" s="1057">
        <f t="shared" ref="BV105:BX105" si="115">BV158</f>
        <v>0</v>
      </c>
      <c r="BW105" s="1057">
        <f t="shared" si="115"/>
        <v>0</v>
      </c>
      <c r="BX105" s="1057">
        <f t="shared" si="115"/>
        <v>0</v>
      </c>
      <c r="BY105" s="1079" t="str">
        <f t="shared" si="102"/>
        <v>미인출수수료</v>
      </c>
      <c r="BZ105" s="1132">
        <f t="shared" si="103"/>
        <v>68863.013698630122</v>
      </c>
      <c r="CA105" s="1133" t="b">
        <f t="shared" si="110"/>
        <v>1</v>
      </c>
    </row>
    <row r="106" spans="2:80" s="1129" customFormat="1" ht="12.75" customHeight="1">
      <c r="B106" s="1126" t="str">
        <f>'사업수지표 '!C91</f>
        <v>중도금무이자 (주택)</v>
      </c>
      <c r="C106" s="1128"/>
      <c r="D106" s="1127">
        <f>'사업수지표 '!K91</f>
        <v>0.06</v>
      </c>
      <c r="E106" s="1128">
        <f>SUM(G106:BX106)</f>
        <v>7210412.9864238678</v>
      </c>
      <c r="F106" s="1058" t="b">
        <f>CA106</f>
        <v>1</v>
      </c>
      <c r="G106" s="1063"/>
      <c r="H106" s="1063"/>
      <c r="I106" s="1063"/>
      <c r="J106" s="1063"/>
      <c r="K106" s="1063"/>
      <c r="L106" s="1063"/>
      <c r="M106" s="1063"/>
      <c r="N106" s="1063"/>
      <c r="O106" s="1063">
        <f>IF(O8&lt;(총괄장!$P$6+1),SUM($K$195:O200)*$D$106*N6/365,0)*'사업수지표 '!$L$91</f>
        <v>0</v>
      </c>
      <c r="P106" s="1063">
        <f>IF(P8&lt;(총괄장!$P$6+1),SUM($K$195:P200)*$D$106*O6/365,0)*'사업수지표 '!$L$91</f>
        <v>0</v>
      </c>
      <c r="Q106" s="1063">
        <f>IF(Q8&lt;(총괄장!$P$6+1),SUM($K$195:Q200)*$D$106*P6/365,0)*'사업수지표 '!$L$91</f>
        <v>0</v>
      </c>
      <c r="R106" s="1063">
        <f>IF(R8&lt;(총괄장!$P$6+1),SUM($K$195:R200)*$D$106*Q6/365,0)*'사업수지표 '!$L$91</f>
        <v>48935.537090753409</v>
      </c>
      <c r="S106" s="1063">
        <f>IF(S8&lt;(총괄장!$P$6+1),SUM($K$195:S200)*$D$106*R6/365,0)*'사업수지표 '!$L$91</f>
        <v>56012.368608493147</v>
      </c>
      <c r="T106" s="1063">
        <f>IF(T8&lt;(총괄장!$P$6+1),SUM($K$195:T200)*$D$106*S6/365,0)*'사업수지표 '!$L$91</f>
        <v>58722.644508904108</v>
      </c>
      <c r="U106" s="1063">
        <f>IF(U8&lt;(총괄장!$P$6+1),SUM($K$195:U200)*$D$106*T6/365,0)*'사업수지표 '!$L$91</f>
        <v>64569.813812568485</v>
      </c>
      <c r="V106" s="1063">
        <f>IF(V8&lt;(총괄장!$P$6+1),SUM($K$195:V200)*$D$106*U6/365,0)*'사업수지표 '!$L$91</f>
        <v>136919.12326520548</v>
      </c>
      <c r="W106" s="1063">
        <f>IF(W8&lt;(총괄장!$P$6+1),SUM($K$195:W200)*$D$106*V6/365,0)*'사업수지표 '!$L$91</f>
        <v>138525.21268767121</v>
      </c>
      <c r="X106" s="1063">
        <f>IF(X8&lt;(총괄장!$P$6+1),SUM($K$195:X200)*$D$106*W6/365,0)*'사업수지표 '!$L$91</f>
        <v>149366.31628931509</v>
      </c>
      <c r="Y106" s="1063">
        <f>IF(Y8&lt;(총괄장!$P$6+1),SUM($K$195:Y200)*$D$106*X6/365,0)*'사업수지표 '!$L$91</f>
        <v>150570.88335616438</v>
      </c>
      <c r="Z106" s="1063">
        <f>IF(Z8&lt;(총괄장!$P$6+1),SUM($K$195:Z200)*$D$106*Y6/365,0)*'사업수지표 '!$L$91</f>
        <v>233384.86920205478</v>
      </c>
      <c r="AA106" s="1063">
        <f>IF(AA8&lt;(총괄장!$P$6+1),SUM($K$195:AA200)*$D$106*Z6/365,0)*'사업수지표 '!$L$91</f>
        <v>233384.86920205478</v>
      </c>
      <c r="AB106" s="1063">
        <f>IF(AB8&lt;(총괄장!$P$6+1),SUM($K$195:AB200)*$D$106*AA6/365,0)*'사업수지표 '!$L$91</f>
        <v>210799.23669863012</v>
      </c>
      <c r="AC106" s="1063">
        <f>IF(AC8&lt;(총괄장!$P$6+1),SUM($K$195:AC200)*$D$106*AB6/365,0)*'사업수지표 '!$L$91</f>
        <v>233384.86920205478</v>
      </c>
      <c r="AD106" s="1063">
        <f>IF(AD8&lt;(총괄장!$P$6+1),SUM($K$195:AD200)*$D$106*AC6/365,0)*'사업수지표 '!$L$91</f>
        <v>301141.76671232877</v>
      </c>
      <c r="AE106" s="1063">
        <f>IF(AE8&lt;(총괄장!$P$6+1),SUM($K$195:AE200)*$D$106*AD6/365,0)*'사업수지표 '!$L$91</f>
        <v>311179.8256027397</v>
      </c>
      <c r="AF106" s="1063">
        <f>IF(AF8&lt;(총괄장!$P$6+1),SUM($K$195:AF200)*$D$106*AE6/365,0)*'사업수지표 '!$L$91</f>
        <v>301141.76671232877</v>
      </c>
      <c r="AG106" s="1063">
        <f>IF(AG8&lt;(총괄장!$P$6+1),SUM($K$195:AG200)*$D$106*AF6/365,0)*'사업수지표 '!$L$91</f>
        <v>311179.8256027397</v>
      </c>
      <c r="AH106" s="1063">
        <f>IF(AH8&lt;(총괄장!$P$6+1),SUM($K$195:AH200)*$D$106*AG6/365,0)*'사업수지표 '!$L$91</f>
        <v>388974.7820034246</v>
      </c>
      <c r="AI106" s="1063">
        <f>IF(AI8&lt;(총괄장!$P$6+1),SUM($K$195:AI200)*$D$106*AH6/365,0)*'사업수지표 '!$L$91</f>
        <v>376427.20839041087</v>
      </c>
      <c r="AJ106" s="1063">
        <f>IF(AJ8&lt;(총괄장!$P$6+1),SUM($K$195:AJ200)*$D$106*AI6/365,0)*'사업수지표 '!$L$91</f>
        <v>388974.7820034246</v>
      </c>
      <c r="AK106" s="1063">
        <f>IF(AK8&lt;(총괄장!$P$6+1),SUM($K$195:AK200)*$D$106*AJ6/365,0)*'사업수지표 '!$L$91</f>
        <v>376427.20839041087</v>
      </c>
      <c r="AL106" s="1063">
        <f>IF(AL8&lt;(총괄장!$P$6+1),SUM($K$195:AL200)*$D$106*AK6/365,0)*'사업수지표 '!$L$91</f>
        <v>466769.73840410955</v>
      </c>
      <c r="AM106" s="1063">
        <f>IF(AM8&lt;(총괄장!$P$6+1),SUM($K$195:AM200)*$D$106*AL6/365,0)*'사업수지표 '!$L$91</f>
        <v>466769.73840410955</v>
      </c>
      <c r="AN106" s="1063">
        <f>IF(AN8&lt;(총괄장!$P$6+1),SUM($K$195:AN200)*$D$106*AM6/365,0)*'사업수지표 '!$L$91</f>
        <v>421598.47339726024</v>
      </c>
      <c r="AO106" s="1063">
        <f>IF(AO8&lt;(총괄장!$P$6+1),SUM($K$195:AO200)*$D$106*AN6/365,0)*'사업수지표 '!$L$91</f>
        <v>466769.73840410955</v>
      </c>
      <c r="AP106" s="1063">
        <f>IF(AP8&lt;(총괄장!$P$6+1),SUM($K$195:AP200)*$D$106*AO6/365,0)*'사업수지표 '!$L$91</f>
        <v>451712.65006849309</v>
      </c>
      <c r="AQ106" s="1063">
        <f>IF(AQ8&lt;(총괄장!$P$6+1),SUM($K$195:AQ200)*$D$106*AP6/365,0)*'사업수지표 '!$L$91</f>
        <v>466769.73840410955</v>
      </c>
      <c r="AR106" s="1063">
        <f>IF(AR8&lt;(총괄장!$P$6+1),SUM($K$195:AR200)*$D$106*AQ6/365,0)*'사업수지표 '!$L$91</f>
        <v>0</v>
      </c>
      <c r="AS106" s="1063">
        <f>IF(AS8&lt;(총괄장!$P$6+1),SUM($K$195:AS200)*$D$106*AR6/365,0)*'사업수지표 '!$L$91</f>
        <v>0</v>
      </c>
      <c r="AT106" s="1063">
        <f>IF(AT8&lt;(총괄장!$P$6+1),SUM($K$195:AT200)*$D$106*AS6/365,0)*'사업수지표 '!$L$91</f>
        <v>0</v>
      </c>
      <c r="AU106" s="1063">
        <f>IF(AU8&lt;(총괄장!$P$6+1),SUM($K$195:AU200)*$D$106*AT6/365,0)*'사업수지표 '!$L$91</f>
        <v>0</v>
      </c>
      <c r="AV106" s="1063">
        <f>IF(AV8&lt;(총괄장!$P$6+1),SUM($K$195:AV200)*$D$106*AU6/365,0)*'사업수지표 '!$L$91</f>
        <v>0</v>
      </c>
      <c r="AW106" s="1063">
        <f>IF(AW8&lt;(총괄장!$P$6+1),SUM($K$195:AW200)*$D$106*AV6/365,0)*'사업수지표 '!$L$91</f>
        <v>0</v>
      </c>
      <c r="AX106" s="1063">
        <f>IF(AX8&lt;(총괄장!$P$6+1),SUM($K$195:AX200)*$D$106*AW6/365,0)*'사업수지표 '!$L$91</f>
        <v>0</v>
      </c>
      <c r="AY106" s="1063">
        <f>IF(AY8&lt;(총괄장!$P$6+1),SUM($K$195:AY200)*$D$106*AX6/365,0)*'사업수지표 '!$L$91</f>
        <v>0</v>
      </c>
      <c r="AZ106" s="1063">
        <f>IF(AZ8&lt;(총괄장!$P$6+1),SUM($K$195:AZ200)*$D$106*AY6/365,0)*'사업수지표 '!$L$91</f>
        <v>0</v>
      </c>
      <c r="BA106" s="1063">
        <f>IF(BA8&lt;(총괄장!$P$6+1),SUM($K$195:BA200)*$D$106*AZ6/365,0)*'사업수지표 '!$L$91</f>
        <v>0</v>
      </c>
      <c r="BB106" s="1063">
        <f>IF(BB8&lt;(총괄장!$P$6+1),SUM($K$195:BB200)*$D$106*BA6/365,0)*'사업수지표 '!$L$91</f>
        <v>0</v>
      </c>
      <c r="BC106" s="1063">
        <f>IF(BC8&lt;(총괄장!$P$6+1),SUM($K$195:BC200)*$D$106*BB6/365,0)*'사업수지표 '!$L$91</f>
        <v>0</v>
      </c>
      <c r="BD106" s="1063">
        <f>IF(BD8&lt;(총괄장!$P$6+1),SUM($K$195:BD200)*$D$106*BC6/365,0)*'사업수지표 '!$L$91</f>
        <v>0</v>
      </c>
      <c r="BE106" s="1063">
        <f>IF(BE8&lt;(총괄장!$P$6+1),SUM($K$195:BE200)*$D$106*BD6/365,0)*'사업수지표 '!$L$91</f>
        <v>0</v>
      </c>
      <c r="BF106" s="1063">
        <f>IF(BF8&lt;(총괄장!$P$6+1),SUM($K$195:BF200)*$D$106*BE6/365,0)*'사업수지표 '!$L$91</f>
        <v>0</v>
      </c>
      <c r="BG106" s="1063">
        <f>IF(BG8&lt;(총괄장!$P$6+1),SUM($K$195:BG200)*$D$106*BF6/365,0)*'사업수지표 '!$L$91</f>
        <v>0</v>
      </c>
      <c r="BH106" s="1063">
        <f>IF(BH8&lt;(총괄장!$P$6+1),SUM($K$195:BH200)*$D$106*BG6/365,0)*'사업수지표 '!$L$91</f>
        <v>0</v>
      </c>
      <c r="BI106" s="1063">
        <f>IF(BI8&lt;(총괄장!$P$6+1),SUM($K$195:BI200)*$D$106*BH6/365,0)*'사업수지표 '!$L$91</f>
        <v>0</v>
      </c>
      <c r="BJ106" s="1063">
        <f>IF(BJ8&lt;(총괄장!$P$6+1),SUM($K$195:BJ200)*$D$106*BI6/365,0)*'사업수지표 '!$L$91</f>
        <v>0</v>
      </c>
      <c r="BK106" s="1063">
        <f>IF(BK8&lt;(총괄장!$P$6+1),SUM($K$195:BK200)*$D$106*BJ6/365,0)*'사업수지표 '!$L$91</f>
        <v>0</v>
      </c>
      <c r="BL106" s="1063">
        <f>IF(BL8&lt;(총괄장!$P$6+1),SUM($K$195:BL200)*$D$106*BK6/365,0)*'사업수지표 '!$L$91</f>
        <v>0</v>
      </c>
      <c r="BM106" s="1063">
        <f>IF(BM8&lt;(총괄장!$P$6+1),SUM($K$195:BM200)*$D$106*BL6/365,0)*'사업수지표 '!$L$91</f>
        <v>0</v>
      </c>
      <c r="BN106" s="1063">
        <f>IF(BN8&lt;(총괄장!$P$6+1),SUM($K$195:BN200)*$D$106*BM6/365,0)*'사업수지표 '!$L$91</f>
        <v>0</v>
      </c>
      <c r="BO106" s="1063">
        <f>IF(BO8&lt;(총괄장!$P$6+1),SUM($K$195:BO200)*$D$106*BN6/365,0)*'사업수지표 '!$L$91</f>
        <v>0</v>
      </c>
      <c r="BP106" s="1063">
        <f>IF(BP8&lt;(총괄장!$P$6+1),SUM($K$195:BP200)*$D$106*BO6/365,0)*'사업수지표 '!$L$91</f>
        <v>0</v>
      </c>
      <c r="BQ106" s="1063">
        <f>IF(BQ8&lt;(총괄장!$P$6+1),SUM($K$195:BQ200)*$D$106*BP6/365,0)*'사업수지표 '!$L$91</f>
        <v>0</v>
      </c>
      <c r="BR106" s="1063">
        <f>IF(BR8&lt;(총괄장!$P$6+1),SUM($K$195:BR200)*$D$106*BQ6/365,0)*'사업수지표 '!$L$91</f>
        <v>0</v>
      </c>
      <c r="BS106" s="1063">
        <f>IF(BS8&lt;(총괄장!$P$6+1),SUM($K$195:BS200)*$D$106*BR6/365,0)*'사업수지표 '!$L$91</f>
        <v>0</v>
      </c>
      <c r="BT106" s="1063">
        <f>IF(BT8&lt;(총괄장!$P$6+1),SUM($K$195:BT200)*$D$106*BS6/365,0)*'사업수지표 '!$L$91</f>
        <v>0</v>
      </c>
      <c r="BU106" s="1063">
        <f>IF(BU8&lt;(총괄장!$P$6+1),SUM($K$195:BU200)*$D$106*BT6/365,0)*'사업수지표 '!$L$91</f>
        <v>0</v>
      </c>
      <c r="BV106" s="1063">
        <f>IF(BV8&lt;(총괄장!$P$6+1),SUM($K$195:BV200)*$D$106*BU6/365,0)*'사업수지표 '!$L$91</f>
        <v>0</v>
      </c>
      <c r="BW106" s="1063">
        <f>IF(BW8&lt;(총괄장!$P$6+1),SUM($K$195:BW200)*$D$106*BV6/365,0)*'사업수지표 '!$L$91</f>
        <v>0</v>
      </c>
      <c r="BX106" s="1063">
        <f>IF(BX8&lt;(총괄장!$P$6+1),SUM($K$195:BX200)*$D$106*BW6/365,0)*'사업수지표 '!$L$91</f>
        <v>0</v>
      </c>
      <c r="BY106" s="1074" t="str">
        <f t="shared" si="102"/>
        <v>중도금무이자 (주택)</v>
      </c>
      <c r="BZ106" s="1106">
        <f t="shared" si="103"/>
        <v>7210412.9864238678</v>
      </c>
      <c r="CA106" s="1111" t="b">
        <f t="shared" si="110"/>
        <v>1</v>
      </c>
    </row>
    <row r="107" spans="2:80" s="1129" customFormat="1" ht="12.75" customHeight="1">
      <c r="B107" s="1126" t="str">
        <f>'사업수지표 '!C92</f>
        <v>중도금이자후불제(주택외)</v>
      </c>
      <c r="C107" s="1128"/>
      <c r="D107" s="1127">
        <f>'사업수지표 '!K92</f>
        <v>4.4999999999999998E-2</v>
      </c>
      <c r="E107" s="1128">
        <f>SUM(G107:BX107)</f>
        <v>0</v>
      </c>
      <c r="F107" s="1058" t="b">
        <f>CA107</f>
        <v>1</v>
      </c>
      <c r="G107" s="1073"/>
      <c r="H107" s="1073"/>
      <c r="I107" s="1073"/>
      <c r="J107" s="1073"/>
      <c r="K107" s="1073"/>
      <c r="L107" s="1073"/>
      <c r="M107" s="1073"/>
      <c r="N107" s="1073"/>
      <c r="O107" s="1073">
        <f>IF(O8&lt;(총괄장!$P$6+1),SUM($K$205:O210, $K$215:O218, $K$225:O230, $K$235:O240, $K$255:O260, $K$265:O270)*$D$107*N6/365,0)*'사업수지표 '!$L$92</f>
        <v>0</v>
      </c>
      <c r="P107" s="1073">
        <f>IF(P8&lt;(총괄장!$P$6+1),SUM($K$205:P210, $K$215:P218, $K$225:P230, $K$235:P240, $K$255:P260, $K$265:P270)*$D$107*O6/365,0)*'사업수지표 '!$L$92</f>
        <v>0</v>
      </c>
      <c r="Q107" s="1073">
        <f>IF(Q8&lt;(총괄장!$P$6+1),SUM($K$205:Q210, $K$215:Q218, $K$225:Q230, $K$235:Q240, $K$255:Q260, $K$265:Q270)*$D$107*P6/365,0)*'사업수지표 '!$L$92</f>
        <v>0</v>
      </c>
      <c r="R107" s="1073">
        <f>IF(R8&lt;(총괄장!$P$6+1),SUM($K$205:R210, $K$215:R218, $K$225:R230, $K$235:R240, $K$255:R260, $K$265:R270)*$D$107*Q6/365,0)*'사업수지표 '!$L$92</f>
        <v>0</v>
      </c>
      <c r="S107" s="1073">
        <f>IF(S8&lt;(총괄장!$P$6+1),SUM($K$205:S210, $K$215:S218, $K$225:S230, $K$235:S240, $K$255:S260, $K$265:S270)*$D$107*R6/365,0)*'사업수지표 '!$L$92</f>
        <v>0</v>
      </c>
      <c r="T107" s="1073">
        <f>IF(T8&lt;(총괄장!$P$6+1),SUM($K$205:T210, $K$215:T218, $K$225:T230, $K$235:T240, $K$255:T260, $K$265:T270)*$D$107*S6/365,0)*'사업수지표 '!$L$92</f>
        <v>0</v>
      </c>
      <c r="U107" s="1073">
        <f>IF(U8&lt;(총괄장!$P$6+1),SUM($K$205:U210, $K$215:U218, $K$225:U230, $K$235:U240, $K$255:U260, $K$265:U270)*$D$107*T6/365,0)*'사업수지표 '!$L$92</f>
        <v>0</v>
      </c>
      <c r="V107" s="1073">
        <f>IF(V8&lt;(총괄장!$P$6+1),SUM($K$205:V210, $K$215:V218, $K$225:V230, $K$235:V240, $K$255:V260, $K$265:V270)*$D$107*U6/365,0)*'사업수지표 '!$L$92</f>
        <v>0</v>
      </c>
      <c r="W107" s="1073">
        <f>IF(W8&lt;(총괄장!$P$6+1),SUM($K$205:W210, $K$215:W218, $K$225:W230, $K$235:W240, $K$255:W260, $K$265:W270)*$D$107*V6/365,0)*'사업수지표 '!$L$92</f>
        <v>0</v>
      </c>
      <c r="X107" s="1073">
        <f>IF(X8&lt;(총괄장!$P$6+1),SUM($K$205:X210, $K$215:X218, $K$225:X230, $K$235:X240, $K$255:X260, $K$265:X270)*$D$107*W6/365,0)*'사업수지표 '!$L$92</f>
        <v>0</v>
      </c>
      <c r="Y107" s="1073">
        <f>IF(Y8&lt;(총괄장!$P$6+1),SUM($K$205:Y210, $K$215:Y218, $K$225:Y230, $K$235:Y240, $K$255:Y260, $K$265:Y270)*$D$107*X6/365,0)*'사업수지표 '!$L$92</f>
        <v>0</v>
      </c>
      <c r="Z107" s="1073">
        <f>IF(Z8&lt;(총괄장!$P$6+1),SUM($K$205:Z210, $K$215:Z218, $K$225:Z230, $K$235:Z240, $K$255:Z260, $K$265:Z270)*$D$107*Y6/365,0)*'사업수지표 '!$L$92</f>
        <v>0</v>
      </c>
      <c r="AA107" s="1073">
        <f>IF(AA8&lt;(총괄장!$P$6+1),SUM($K$205:AA210, $K$215:AA218, $K$225:AA230, $K$235:AA240, $K$255:AA260, $K$265:AA270)*$D$107*Z6/365,0)*'사업수지표 '!$L$92</f>
        <v>0</v>
      </c>
      <c r="AB107" s="1073">
        <f>IF(AB8&lt;(총괄장!$P$6+1),SUM($K$205:AB210, $K$215:AB218, $K$225:AB230, $K$235:AB240, $K$255:AB260, $K$265:AB270)*$D$107*AA6/365,0)*'사업수지표 '!$L$92</f>
        <v>0</v>
      </c>
      <c r="AC107" s="1073">
        <f>IF(AC8&lt;(총괄장!$P$6+1),SUM($K$205:AC210, $K$215:AC218, $K$225:AC230, $K$235:AC240, $K$255:AC260, $K$265:AC270)*$D$107*AB6/365,0)*'사업수지표 '!$L$92</f>
        <v>0</v>
      </c>
      <c r="AD107" s="1073">
        <f>IF(AD8&lt;(총괄장!$P$6+1),SUM($K$205:AD210, $K$215:AD218, $K$225:AD230, $K$235:AD240, $K$255:AD260, $K$265:AD270)*$D$107*AC6/365,0)*'사업수지표 '!$L$92</f>
        <v>0</v>
      </c>
      <c r="AE107" s="1073">
        <f>IF(AE8&lt;(총괄장!$P$6+1),SUM($K$205:AE210, $K$215:AE218, $K$225:AE230, $K$235:AE240, $K$255:AE260, $K$265:AE270)*$D$107*AD6/365,0)*'사업수지표 '!$L$92</f>
        <v>0</v>
      </c>
      <c r="AF107" s="1073">
        <f>IF(AF8&lt;(총괄장!$P$6+1),SUM($K$205:AF210, $K$215:AF218, $K$225:AF230, $K$235:AF240, $K$255:AF260, $K$265:AF270)*$D$107*AE6/365,0)*'사업수지표 '!$L$92</f>
        <v>0</v>
      </c>
      <c r="AG107" s="1073">
        <f>IF(AG8&lt;(총괄장!$P$6+1),SUM($K$205:AG210, $K$215:AG218, $K$225:AG230, $K$235:AG240, $K$255:AG260, $K$265:AG270)*$D$107*AF6/365,0)*'사업수지표 '!$L$92</f>
        <v>0</v>
      </c>
      <c r="AH107" s="1073">
        <f>IF(AH8&lt;(총괄장!$P$6+1),SUM($K$205:AH210, $K$215:AH218, $K$225:AH230, $K$235:AH240, $K$255:AH260, $K$265:AH270)*$D$107*AG6/365,0)*'사업수지표 '!$L$92</f>
        <v>0</v>
      </c>
      <c r="AI107" s="1073">
        <f>IF(AI8&lt;(총괄장!$P$6+1),SUM($K$205:AI210, $K$215:AI218, $K$225:AI230, $K$235:AI240, $K$255:AI260, $K$265:AI270)*$D$107*AH6/365,0)*'사업수지표 '!$L$92</f>
        <v>0</v>
      </c>
      <c r="AJ107" s="1073">
        <f>IF(AJ8&lt;(총괄장!$P$6+1),SUM($K$205:AJ210, $K$215:AJ218, $K$225:AJ230, $K$235:AJ240, $K$255:AJ260, $K$265:AJ270)*$D$107*AI6/365,0)*'사업수지표 '!$L$92</f>
        <v>0</v>
      </c>
      <c r="AK107" s="1073">
        <f>IF(AK8&lt;(총괄장!$P$6+1),SUM($K$205:AK210, $K$215:AK218, $K$225:AK230, $K$235:AK240, $K$255:AK260, $K$265:AK270)*$D$107*AJ6/365,0)*'사업수지표 '!$L$92</f>
        <v>0</v>
      </c>
      <c r="AL107" s="1073">
        <f>IF(AL8&lt;(총괄장!$P$6+1),SUM($K$205:AL210, $K$215:AL218, $K$225:AL230, $K$235:AL240, $K$255:AL260, $K$265:AL270)*$D$107*AK6/365,0)*'사업수지표 '!$L$92</f>
        <v>0</v>
      </c>
      <c r="AM107" s="1073">
        <f>IF(AM8&lt;(총괄장!$P$6+1),SUM($K$205:AM210, $K$215:AM218, $K$225:AM230, $K$235:AM240, $K$255:AM260, $K$265:AM270)*$D$107*AL6/365,0)*'사업수지표 '!$L$92</f>
        <v>0</v>
      </c>
      <c r="AN107" s="1073">
        <f>IF(AN8&lt;(총괄장!$P$6+1),SUM($K$205:AN210, $K$215:AN218, $K$225:AN230, $K$235:AN240, $K$255:AN260, $K$265:AN270)*$D$107*AM6/365,0)*'사업수지표 '!$L$92</f>
        <v>0</v>
      </c>
      <c r="AO107" s="1073">
        <f>IF(AO8&lt;(총괄장!$P$6+1),SUM($K$205:AO210, $K$215:AO218, $K$225:AO230, $K$235:AO240, $K$255:AO260, $K$265:AO270)*$D$107*AN6/365,0)*'사업수지표 '!$L$92</f>
        <v>0</v>
      </c>
      <c r="AP107" s="1073">
        <f>IF(AP8&lt;(총괄장!$P$6+1),SUM($K$205:AP210, $K$215:AP218, $K$225:AP230, $K$235:AP240, $K$255:AP260, $K$265:AP270)*$D$107*AO6/365,0)*'사업수지표 '!$L$92</f>
        <v>0</v>
      </c>
      <c r="AQ107" s="1073">
        <f>IF(AQ8&lt;(총괄장!$P$6+1),SUM($K$205:AQ210, $K$215:AQ218, $K$225:AQ230, $K$235:AQ240, $K$255:AQ260, $K$265:AQ270)*$D$107*AP6/365,0)*'사업수지표 '!$L$92</f>
        <v>0</v>
      </c>
      <c r="AR107" s="1073">
        <f>IF(AR8&lt;(총괄장!$P$6+1),SUM($K$205:AR210, $K$215:AR218, $K$225:AR230, $K$235:AR240, $K$255:AR260, $K$265:AR270)*$D$107*AQ6/365,0)*'사업수지표 '!$L$92</f>
        <v>0</v>
      </c>
      <c r="AS107" s="1073">
        <f>IF(AS8&lt;(총괄장!$P$6+1),SUM($K$205:AS210, $K$215:AS218, $K$225:AS230, $K$235:AS240, $K$255:AS260, $K$265:AS270)*$D$107*AR6/365,0)*'사업수지표 '!$L$92</f>
        <v>0</v>
      </c>
      <c r="AT107" s="1073">
        <f>IF(AT8&lt;(총괄장!$P$6+1),SUM($K$205:AT210, $K$215:AT218, $K$225:AT230, $K$235:AT240, $K$255:AT260, $K$265:AT270)*$D$107*AS6/365,0)*'사업수지표 '!$L$92</f>
        <v>0</v>
      </c>
      <c r="AU107" s="1073">
        <f>IF(AU8&lt;(총괄장!$P$6+1),SUM($K$205:AU210, $K$215:AU218, $K$225:AU230, $K$235:AU240, $K$255:AU260, $K$265:AU270)*$D$107*AT6/365,0)*'사업수지표 '!$L$92</f>
        <v>0</v>
      </c>
      <c r="AV107" s="1073">
        <f>IF(AV8&lt;(총괄장!$P$6+1),SUM($K$205:AV210, $K$215:AV218, $K$225:AV230, $K$235:AV240, $K$255:AV260, $K$265:AV270)*$D$107*AU6/365,0)*'사업수지표 '!$L$92</f>
        <v>0</v>
      </c>
      <c r="AW107" s="1073">
        <f>IF(AW8&lt;(총괄장!$P$6+1),SUM($K$205:AW210, $K$215:AW218, $K$225:AW230, $K$235:AW240, $K$255:AW260, $K$265:AW270)*$D$107*AV6/365,0)*'사업수지표 '!$L$92</f>
        <v>0</v>
      </c>
      <c r="AX107" s="1073">
        <f>IF(AX8&lt;(총괄장!$P$6+1),SUM($K$205:AX210, $K$215:AX218, $K$225:AX230, $K$235:AX240, $K$255:AX260, $K$265:AX270)*$D$107*AW6/365,0)*'사업수지표 '!$L$92</f>
        <v>0</v>
      </c>
      <c r="AY107" s="1073">
        <f>IF(AY8&lt;(총괄장!$P$6+1),SUM($K$205:AY210, $K$215:AY218, $K$225:AY230, $K$235:AY240, $K$255:AY260, $K$265:AY270)*$D$107*AX6/365,0)*'사업수지표 '!$L$92</f>
        <v>0</v>
      </c>
      <c r="AZ107" s="1073">
        <f>IF(AZ8&lt;(총괄장!$P$6+1),SUM($K$205:AZ210, $K$215:AZ218, $K$225:AZ230, $K$235:AZ240, $K$255:AZ260, $K$265:AZ270)*$D$107*AY6/365,0)*'사업수지표 '!$L$92</f>
        <v>0</v>
      </c>
      <c r="BA107" s="1073">
        <f>IF(BA8&lt;(총괄장!$P$6+1),SUM($K$205:BA210, $K$215:BA218, $K$225:BA230, $K$235:BA240, $K$255:BA260, $K$265:BA270)*$D$107*AZ6/365,0)*'사업수지표 '!$L$92</f>
        <v>0</v>
      </c>
      <c r="BB107" s="1073">
        <f>IF(BB8&lt;(총괄장!$P$6+1),SUM($K$205:BB210, $K$215:BB218, $K$225:BB230, $K$235:BB240, $K$255:BB260, $K$265:BB270)*$D$107*BA6/365,0)*'사업수지표 '!$L$92</f>
        <v>0</v>
      </c>
      <c r="BC107" s="1073">
        <f>IF(BC8&lt;(총괄장!$P$6+1),SUM($K$205:BC210, $K$215:BC218, $K$225:BC230, $K$235:BC240, $K$255:BC260, $K$265:BC270)*$D$107*BB6/365,0)*'사업수지표 '!$L$92</f>
        <v>0</v>
      </c>
      <c r="BD107" s="1073">
        <f>IF(BD8&lt;(총괄장!$P$6+1),SUM($K$205:BD210, $K$215:BD218, $K$225:BD230, $K$235:BD240, $K$255:BD260, $K$265:BD270)*$D$107*BC6/365,0)*'사업수지표 '!$L$92</f>
        <v>0</v>
      </c>
      <c r="BE107" s="1073">
        <f>IF(BE8&lt;(총괄장!$P$6+1),SUM($K$205:BE210, $K$215:BE218, $K$225:BE230, $K$235:BE240, $K$255:BE260, $K$265:BE270)*$D$107*BD6/365,0)*'사업수지표 '!$L$92</f>
        <v>0</v>
      </c>
      <c r="BF107" s="1073">
        <f>IF(BF8&lt;(총괄장!$P$6+1),SUM($K$205:BF210, $K$215:BF218, $K$225:BF230, $K$235:BF240, $K$255:BF260, $K$265:BF270)*$D$107*BE6/365,0)*'사업수지표 '!$L$92</f>
        <v>0</v>
      </c>
      <c r="BG107" s="1073">
        <f>IF(BG8&lt;(총괄장!$P$6+1),SUM($K$205:BG210, $K$215:BG218, $K$225:BG230, $K$235:BG240, $K$255:BG260, $K$265:BG270)*$D$107*BF6/365,0)*'사업수지표 '!$L$92</f>
        <v>0</v>
      </c>
      <c r="BH107" s="1073">
        <f>IF(BH8&lt;(총괄장!$P$6+1),SUM($K$205:BH210, $K$215:BH218, $K$225:BH230, $K$235:BH240, $K$255:BH260, $K$265:BH270)*$D$107*BG6/365,0)*'사업수지표 '!$L$92</f>
        <v>0</v>
      </c>
      <c r="BI107" s="1073">
        <f>IF(BI8&lt;(총괄장!$P$6+1),SUM($K$205:BI210, $K$215:BI218, $K$225:BI230, $K$235:BI240, $K$255:BI260, $K$265:BI270)*$D$107*BH6/365,0)*'사업수지표 '!$L$92</f>
        <v>0</v>
      </c>
      <c r="BJ107" s="1073">
        <f>IF(BJ8&lt;(총괄장!$P$6+1),SUM($K$205:BJ210, $K$215:BJ218, $K$225:BJ230, $K$235:BJ240, $K$255:BJ260, $K$265:BJ270)*$D$107*BI6/365,0)*'사업수지표 '!$L$92</f>
        <v>0</v>
      </c>
      <c r="BK107" s="1073">
        <f>IF(BK8&lt;(총괄장!$P$6+1),SUM($K$205:BK210, $K$215:BK218, $K$225:BK230, $K$235:BK240, $K$255:BK260, $K$265:BK270)*$D$107*BJ6/365,0)*'사업수지표 '!$L$92</f>
        <v>0</v>
      </c>
      <c r="BL107" s="1073">
        <f>IF(BL8&lt;(총괄장!$P$6+1),SUM($K$205:BL210, $K$215:BL218, $K$225:BL230, $K$235:BL240, $K$255:BL260, $K$265:BL270)*$D$107*BK6/365,0)*'사업수지표 '!$L$92</f>
        <v>0</v>
      </c>
      <c r="BM107" s="1073">
        <f>IF(BM8&lt;(총괄장!$P$6+1),SUM($K$205:BM210, $K$215:BM218, $K$225:BM230, $K$235:BM240, $K$255:BM260, $K$265:BM270)*$D$107*BL6/365,0)*'사업수지표 '!$L$92</f>
        <v>0</v>
      </c>
      <c r="BN107" s="1073">
        <f>IF(BN8&lt;(총괄장!$P$6+1),SUM($K$205:BN210, $K$215:BN218, $K$225:BN230, $K$235:BN240, $K$255:BN260, $K$265:BN270)*$D$107*BM6/365,0)*'사업수지표 '!$L$92</f>
        <v>0</v>
      </c>
      <c r="BO107" s="1073">
        <f>IF(BO8&lt;(총괄장!$P$6+1),SUM($K$205:BO210, $K$215:BO218, $K$225:BO230, $K$235:BO240, $K$255:BO260, $K$265:BO270)*$D$107*BN6/365,0)*'사업수지표 '!$L$92</f>
        <v>0</v>
      </c>
      <c r="BP107" s="1073">
        <f>IF(BP8&lt;(총괄장!$P$6+1),SUM($K$205:BP210, $K$215:BP218, $K$225:BP230, $K$235:BP240, $K$255:BP260, $K$265:BP270)*$D$107*BO6/365,0)*'사업수지표 '!$L$92</f>
        <v>0</v>
      </c>
      <c r="BQ107" s="1073">
        <f>IF(BQ8&lt;(총괄장!$P$6+1),SUM($K$205:BQ210, $K$215:BQ218, $K$225:BQ230, $K$235:BQ240, $K$255:BQ260, $K$265:BQ270)*$D$107*BP6/365,0)*'사업수지표 '!$L$92</f>
        <v>0</v>
      </c>
      <c r="BR107" s="1073">
        <f>IF(BR8&lt;(총괄장!$P$6+1),SUM($K$205:BR210, $K$215:BR218, $K$225:BR230, $K$235:BR240, $K$255:BR260, $K$265:BR270)*$D$107*BQ6/365,0)*'사업수지표 '!$L$92</f>
        <v>0</v>
      </c>
      <c r="BS107" s="1073">
        <f>IF(BS8&lt;(총괄장!$P$6+1),SUM($K$205:BS210, $K$215:BS218, $K$225:BS230, $K$235:BS240, $K$255:BS260, $K$265:BS270)*$D$107*BR6/365,0)*'사업수지표 '!$L$92</f>
        <v>0</v>
      </c>
      <c r="BT107" s="1073">
        <f>IF(BT8&lt;(총괄장!$P$6+1),SUM($K$205:BT210, $K$215:BT218, $K$225:BT230, $K$235:BT240, $K$255:BT260, $K$265:BT270)*$D$107*BS6/365,0)*'사업수지표 '!$L$92</f>
        <v>0</v>
      </c>
      <c r="BU107" s="1073">
        <f>IF(BU8&lt;(총괄장!$P$6+1),SUM($K$205:BU210, $K$215:BU218, $K$225:BU230, $K$235:BU240, $K$255:BU260, $K$265:BU270)*$D$107*BT6/365,0)*'사업수지표 '!$L$92</f>
        <v>0</v>
      </c>
      <c r="BV107" s="1073">
        <f>IF(BV8&lt;(총괄장!$P$6+1),SUM($K$205:BV210, $K$215:BV218, $K$225:BV230, $K$235:BV240, $K$255:BV260, $K$265:BV270)*$D$107*BU6/365,0)*'사업수지표 '!$L$92</f>
        <v>0</v>
      </c>
      <c r="BW107" s="1073">
        <f>IF(BW8&lt;(총괄장!$P$6+1),SUM($K$205:BW210, $K$215:BW218, $K$225:BW230, $K$235:BW240, $K$255:BW260, $K$265:BW270)*$D$107*BV6/365,0)*'사업수지표 '!$L$92</f>
        <v>0</v>
      </c>
      <c r="BX107" s="1073">
        <f>IF(BX8&lt;(총괄장!$P$6+1),SUM($K$205:BX210, $K$215:BX218, $K$225:BX230, $K$235:BX240, $K$255:BX260, $K$265:BX270)*$D$107*BW6/365,0)*'사업수지표 '!$L$92</f>
        <v>0</v>
      </c>
      <c r="BY107" s="1074" t="str">
        <f t="shared" si="102"/>
        <v>중도금이자후불제(주택외)</v>
      </c>
      <c r="BZ107" s="1106">
        <f t="shared" si="103"/>
        <v>0</v>
      </c>
      <c r="CA107" s="1111" t="b">
        <f t="shared" si="110"/>
        <v>1</v>
      </c>
    </row>
    <row r="108" spans="2:80" s="1129" customFormat="1" ht="12.75" customHeight="1">
      <c r="B108" s="1126" t="str">
        <f>'사업수지표 '!C93</f>
        <v/>
      </c>
      <c r="C108" s="1128"/>
      <c r="D108" s="1127"/>
      <c r="E108" s="1128">
        <f>SUM(G108:BX108)</f>
        <v>0</v>
      </c>
      <c r="F108" s="1058" t="b">
        <f>CA108</f>
        <v>1</v>
      </c>
      <c r="G108" s="1073"/>
      <c r="H108" s="1073"/>
      <c r="I108" s="1073"/>
      <c r="J108" s="1073"/>
      <c r="K108" s="1073"/>
      <c r="L108" s="1073"/>
      <c r="M108" s="1073"/>
      <c r="N108" s="1073">
        <f>IF($B$118="개발신탁",M117,0)</f>
        <v>0</v>
      </c>
      <c r="O108" s="1073">
        <f t="shared" ref="O108:BX108" si="116">IF($B$118="개발신탁",N117,0)</f>
        <v>0</v>
      </c>
      <c r="P108" s="1073">
        <f t="shared" si="116"/>
        <v>0</v>
      </c>
      <c r="Q108" s="1073">
        <f t="shared" si="116"/>
        <v>0</v>
      </c>
      <c r="R108" s="1073">
        <f t="shared" si="116"/>
        <v>0</v>
      </c>
      <c r="S108" s="1073">
        <f t="shared" si="116"/>
        <v>0</v>
      </c>
      <c r="T108" s="1073">
        <f t="shared" si="116"/>
        <v>0</v>
      </c>
      <c r="U108" s="1073">
        <f t="shared" si="116"/>
        <v>0</v>
      </c>
      <c r="V108" s="1073">
        <f t="shared" si="116"/>
        <v>0</v>
      </c>
      <c r="W108" s="1073">
        <f t="shared" si="116"/>
        <v>0</v>
      </c>
      <c r="X108" s="1073">
        <f t="shared" si="116"/>
        <v>0</v>
      </c>
      <c r="Y108" s="1073">
        <f t="shared" si="116"/>
        <v>0</v>
      </c>
      <c r="Z108" s="1073">
        <f t="shared" si="116"/>
        <v>0</v>
      </c>
      <c r="AA108" s="1073">
        <f t="shared" si="116"/>
        <v>0</v>
      </c>
      <c r="AB108" s="1073">
        <f t="shared" si="116"/>
        <v>0</v>
      </c>
      <c r="AC108" s="1073">
        <f t="shared" si="116"/>
        <v>0</v>
      </c>
      <c r="AD108" s="1073">
        <f t="shared" si="116"/>
        <v>0</v>
      </c>
      <c r="AE108" s="1073">
        <f t="shared" si="116"/>
        <v>0</v>
      </c>
      <c r="AF108" s="1073">
        <f t="shared" si="116"/>
        <v>0</v>
      </c>
      <c r="AG108" s="1073">
        <f t="shared" si="116"/>
        <v>0</v>
      </c>
      <c r="AH108" s="1073">
        <f t="shared" si="116"/>
        <v>0</v>
      </c>
      <c r="AI108" s="1073">
        <f t="shared" si="116"/>
        <v>0</v>
      </c>
      <c r="AJ108" s="1073">
        <f t="shared" si="116"/>
        <v>0</v>
      </c>
      <c r="AK108" s="1073">
        <f t="shared" si="116"/>
        <v>0</v>
      </c>
      <c r="AL108" s="1073">
        <f t="shared" si="116"/>
        <v>0</v>
      </c>
      <c r="AM108" s="1073">
        <f t="shared" si="116"/>
        <v>0</v>
      </c>
      <c r="AN108" s="1073">
        <f t="shared" si="116"/>
        <v>0</v>
      </c>
      <c r="AO108" s="1073">
        <f t="shared" si="116"/>
        <v>0</v>
      </c>
      <c r="AP108" s="1073">
        <f t="shared" si="116"/>
        <v>0</v>
      </c>
      <c r="AQ108" s="1073">
        <f t="shared" si="116"/>
        <v>0</v>
      </c>
      <c r="AR108" s="1073">
        <f t="shared" si="116"/>
        <v>0</v>
      </c>
      <c r="AS108" s="1073">
        <f t="shared" si="116"/>
        <v>0</v>
      </c>
      <c r="AT108" s="1073">
        <f t="shared" si="116"/>
        <v>0</v>
      </c>
      <c r="AU108" s="1073">
        <f t="shared" si="116"/>
        <v>0</v>
      </c>
      <c r="AV108" s="1073">
        <f t="shared" si="116"/>
        <v>0</v>
      </c>
      <c r="AW108" s="1073">
        <f t="shared" si="116"/>
        <v>0</v>
      </c>
      <c r="AX108" s="1073">
        <f t="shared" si="116"/>
        <v>0</v>
      </c>
      <c r="AY108" s="1073">
        <f t="shared" si="116"/>
        <v>0</v>
      </c>
      <c r="AZ108" s="1073">
        <f t="shared" si="116"/>
        <v>0</v>
      </c>
      <c r="BA108" s="1073">
        <f t="shared" si="116"/>
        <v>0</v>
      </c>
      <c r="BB108" s="1073">
        <f t="shared" si="116"/>
        <v>0</v>
      </c>
      <c r="BC108" s="1073">
        <f t="shared" si="116"/>
        <v>0</v>
      </c>
      <c r="BD108" s="1073">
        <f t="shared" si="116"/>
        <v>0</v>
      </c>
      <c r="BE108" s="1073">
        <f t="shared" si="116"/>
        <v>0</v>
      </c>
      <c r="BF108" s="1073">
        <f t="shared" si="116"/>
        <v>0</v>
      </c>
      <c r="BG108" s="1073">
        <f t="shared" si="116"/>
        <v>0</v>
      </c>
      <c r="BH108" s="1073">
        <f t="shared" si="116"/>
        <v>0</v>
      </c>
      <c r="BI108" s="1073">
        <f t="shared" si="116"/>
        <v>0</v>
      </c>
      <c r="BJ108" s="1073">
        <f t="shared" si="116"/>
        <v>0</v>
      </c>
      <c r="BK108" s="1073">
        <f t="shared" si="116"/>
        <v>0</v>
      </c>
      <c r="BL108" s="1073">
        <f t="shared" si="116"/>
        <v>0</v>
      </c>
      <c r="BM108" s="1073">
        <f t="shared" si="116"/>
        <v>0</v>
      </c>
      <c r="BN108" s="1073">
        <f t="shared" si="116"/>
        <v>0</v>
      </c>
      <c r="BO108" s="1073">
        <f t="shared" si="116"/>
        <v>0</v>
      </c>
      <c r="BP108" s="1073">
        <f t="shared" si="116"/>
        <v>0</v>
      </c>
      <c r="BQ108" s="1073">
        <f t="shared" si="116"/>
        <v>0</v>
      </c>
      <c r="BR108" s="1073">
        <f t="shared" si="116"/>
        <v>0</v>
      </c>
      <c r="BS108" s="1073">
        <f t="shared" si="116"/>
        <v>0</v>
      </c>
      <c r="BT108" s="1073">
        <f t="shared" si="116"/>
        <v>0</v>
      </c>
      <c r="BU108" s="1073">
        <f t="shared" si="116"/>
        <v>0</v>
      </c>
      <c r="BV108" s="1073">
        <f t="shared" si="116"/>
        <v>0</v>
      </c>
      <c r="BW108" s="1073">
        <f t="shared" si="116"/>
        <v>0</v>
      </c>
      <c r="BX108" s="1073">
        <f t="shared" si="116"/>
        <v>0</v>
      </c>
      <c r="BY108" s="1074" t="str">
        <f t="shared" si="102"/>
        <v/>
      </c>
      <c r="BZ108" s="1106">
        <f t="shared" si="103"/>
        <v>0</v>
      </c>
      <c r="CA108" s="1111" t="b">
        <f t="shared" si="110"/>
        <v>1</v>
      </c>
    </row>
    <row r="109" spans="2:80" s="1038" customFormat="1" ht="15.6">
      <c r="B109" s="1126" t="str">
        <f>'사업수지표 '!C94</f>
        <v>브릿지비용</v>
      </c>
      <c r="C109" s="1128"/>
      <c r="D109" s="1125"/>
      <c r="E109" s="1130">
        <f>SUM(G109:BX109)</f>
        <v>0</v>
      </c>
      <c r="F109" s="1058" t="b">
        <f t="shared" si="87"/>
        <v>1</v>
      </c>
      <c r="G109" s="1056"/>
      <c r="H109" s="1056"/>
      <c r="I109" s="1056"/>
      <c r="J109" s="1056"/>
      <c r="K109" s="1056">
        <f>'사업수지표 '!E94</f>
        <v>0</v>
      </c>
      <c r="L109" s="1056"/>
      <c r="M109" s="1056"/>
      <c r="N109" s="1056"/>
      <c r="O109" s="1056"/>
      <c r="P109" s="1056"/>
      <c r="Q109" s="1056"/>
      <c r="R109" s="1056"/>
      <c r="S109" s="1056"/>
      <c r="T109" s="1056"/>
      <c r="U109" s="1056"/>
      <c r="V109" s="1056"/>
      <c r="W109" s="1056"/>
      <c r="X109" s="1056"/>
      <c r="Y109" s="1056"/>
      <c r="Z109" s="1056"/>
      <c r="AA109" s="1056"/>
      <c r="AB109" s="1056"/>
      <c r="AC109" s="1056"/>
      <c r="AD109" s="1056"/>
      <c r="AE109" s="1056"/>
      <c r="AF109" s="1056"/>
      <c r="AG109" s="1056"/>
      <c r="AH109" s="1056"/>
      <c r="AI109" s="1056"/>
      <c r="AJ109" s="1056"/>
      <c r="AK109" s="1056"/>
      <c r="AL109" s="1056"/>
      <c r="AM109" s="1056"/>
      <c r="AN109" s="1056"/>
      <c r="AO109" s="1056"/>
      <c r="AP109" s="1056"/>
      <c r="AQ109" s="1056"/>
      <c r="AR109" s="1056"/>
      <c r="AS109" s="1056"/>
      <c r="AT109" s="1056"/>
      <c r="AU109" s="1056"/>
      <c r="AV109" s="1056"/>
      <c r="AW109" s="1056"/>
      <c r="AX109" s="1056"/>
      <c r="AY109" s="1056"/>
      <c r="AZ109" s="1056"/>
      <c r="BA109" s="1056"/>
      <c r="BB109" s="1056"/>
      <c r="BC109" s="1056"/>
      <c r="BD109" s="1056"/>
      <c r="BE109" s="1056"/>
      <c r="BF109" s="1056"/>
      <c r="BG109" s="1056"/>
      <c r="BH109" s="1056"/>
      <c r="BI109" s="1056"/>
      <c r="BJ109" s="1056"/>
      <c r="BK109" s="1056"/>
      <c r="BL109" s="1056"/>
      <c r="BM109" s="1056"/>
      <c r="BN109" s="1056"/>
      <c r="BO109" s="1056"/>
      <c r="BP109" s="1056"/>
      <c r="BQ109" s="1056"/>
      <c r="BR109" s="1056"/>
      <c r="BS109" s="1056"/>
      <c r="BT109" s="1056"/>
      <c r="BU109" s="1056"/>
      <c r="BV109" s="1057"/>
      <c r="BW109" s="1056"/>
      <c r="BX109" s="1056"/>
      <c r="BY109" s="1079" t="str">
        <f t="shared" si="102"/>
        <v>브릿지비용</v>
      </c>
      <c r="BZ109" s="1132">
        <f t="shared" si="103"/>
        <v>0</v>
      </c>
      <c r="CA109" s="1133" t="b">
        <f t="shared" si="110"/>
        <v>1</v>
      </c>
    </row>
    <row r="110" spans="2:80" s="1038" customFormat="1" ht="15.6">
      <c r="B110" s="1134" t="s">
        <v>1037</v>
      </c>
      <c r="C110" s="1135"/>
      <c r="D110" s="1135"/>
      <c r="E110" s="1136">
        <f>SUM(E39:E45,E46,E47:E50,E51,E52:E81,E82:E109)</f>
        <v>135550636.35873261</v>
      </c>
      <c r="F110" s="1058" t="b">
        <f t="shared" si="87"/>
        <v>1</v>
      </c>
      <c r="G110" s="1056">
        <f>SUM(G39:G109)</f>
        <v>0</v>
      </c>
      <c r="H110" s="1056">
        <f t="shared" ref="H110:BS110" si="117">SUM(H39:H109)</f>
        <v>0</v>
      </c>
      <c r="I110" s="1056">
        <f t="shared" si="117"/>
        <v>0</v>
      </c>
      <c r="J110" s="1056">
        <f t="shared" si="117"/>
        <v>2000000</v>
      </c>
      <c r="K110" s="1056">
        <f t="shared" si="117"/>
        <v>17378431.975589041</v>
      </c>
      <c r="L110" s="1056">
        <f t="shared" si="117"/>
        <v>35753.424657534248</v>
      </c>
      <c r="M110" s="1056">
        <f t="shared" si="117"/>
        <v>377273.9726027397</v>
      </c>
      <c r="N110" s="1056">
        <f t="shared" si="117"/>
        <v>3370538.7348182024</v>
      </c>
      <c r="O110" s="1056">
        <f t="shared" si="117"/>
        <v>1949882.0513964111</v>
      </c>
      <c r="P110" s="1056">
        <f t="shared" si="117"/>
        <v>1219491.4421012055</v>
      </c>
      <c r="Q110" s="1056">
        <f t="shared" si="117"/>
        <v>1702382.8065984657</v>
      </c>
      <c r="R110" s="1056">
        <f t="shared" si="117"/>
        <v>1962664.9250919586</v>
      </c>
      <c r="S110" s="1056">
        <f t="shared" si="117"/>
        <v>833085.41704463027</v>
      </c>
      <c r="T110" s="1056">
        <f t="shared" si="117"/>
        <v>3409221.4218073678</v>
      </c>
      <c r="U110" s="1056">
        <f t="shared" si="117"/>
        <v>777825.90525007527</v>
      </c>
      <c r="V110" s="1056">
        <f t="shared" si="117"/>
        <v>5653377.725972265</v>
      </c>
      <c r="W110" s="1056">
        <f t="shared" si="117"/>
        <v>1026487.6688381917</v>
      </c>
      <c r="X110" s="1056">
        <f t="shared" si="117"/>
        <v>6843034.8382699694</v>
      </c>
      <c r="Y110" s="1056">
        <f t="shared" si="117"/>
        <v>815812.0305409315</v>
      </c>
      <c r="Z110" s="1056">
        <f t="shared" si="117"/>
        <v>8659354.8105362896</v>
      </c>
      <c r="AA110" s="1056">
        <f t="shared" si="117"/>
        <v>636957.47547327401</v>
      </c>
      <c r="AB110" s="1056">
        <f t="shared" si="117"/>
        <v>8932394.1216801126</v>
      </c>
      <c r="AC110" s="1056">
        <f t="shared" si="117"/>
        <v>856243.55156231509</v>
      </c>
      <c r="AD110" s="1056">
        <f t="shared" si="117"/>
        <v>7608328.1330938209</v>
      </c>
      <c r="AE110" s="1056">
        <f t="shared" si="117"/>
        <v>724834.62365478079</v>
      </c>
      <c r="AF110" s="1056">
        <f t="shared" si="117"/>
        <v>10577325.035125334</v>
      </c>
      <c r="AG110" s="1056">
        <f t="shared" si="117"/>
        <v>724834.62365478079</v>
      </c>
      <c r="AH110" s="1056">
        <f t="shared" si="117"/>
        <v>9775917.600922985</v>
      </c>
      <c r="AI110" s="1056">
        <f t="shared" si="117"/>
        <v>998463.97294245195</v>
      </c>
      <c r="AJ110" s="1056">
        <f t="shared" si="117"/>
        <v>9160234.9418664183</v>
      </c>
      <c r="AK110" s="1056">
        <f t="shared" si="117"/>
        <v>1005538.0445043986</v>
      </c>
      <c r="AL110" s="1056">
        <f t="shared" si="117"/>
        <v>8647850.9970746264</v>
      </c>
      <c r="AM110" s="1056">
        <f t="shared" si="117"/>
        <v>1021118.9912376576</v>
      </c>
      <c r="AN110" s="1056">
        <f t="shared" si="117"/>
        <v>1048630.3023879603</v>
      </c>
      <c r="AO110" s="1056">
        <f t="shared" si="117"/>
        <v>1082482.8962561507</v>
      </c>
      <c r="AP110" s="1056">
        <f t="shared" si="117"/>
        <v>560337.97853149311</v>
      </c>
      <c r="AQ110" s="1056">
        <f t="shared" si="117"/>
        <v>1649160.1528945069</v>
      </c>
      <c r="AR110" s="1056">
        <f t="shared" si="117"/>
        <v>0</v>
      </c>
      <c r="AS110" s="1056">
        <f t="shared" si="117"/>
        <v>0</v>
      </c>
      <c r="AT110" s="1056">
        <f t="shared" si="117"/>
        <v>0</v>
      </c>
      <c r="AU110" s="1056">
        <f t="shared" si="117"/>
        <v>0</v>
      </c>
      <c r="AV110" s="1056">
        <f t="shared" si="117"/>
        <v>0</v>
      </c>
      <c r="AW110" s="1056">
        <f t="shared" si="117"/>
        <v>0</v>
      </c>
      <c r="AX110" s="1056">
        <f t="shared" si="117"/>
        <v>0</v>
      </c>
      <c r="AY110" s="1056">
        <f t="shared" si="117"/>
        <v>0</v>
      </c>
      <c r="AZ110" s="1056">
        <f t="shared" si="117"/>
        <v>0</v>
      </c>
      <c r="BA110" s="1056">
        <f t="shared" si="117"/>
        <v>0</v>
      </c>
      <c r="BB110" s="1056">
        <f t="shared" si="117"/>
        <v>0</v>
      </c>
      <c r="BC110" s="1056">
        <f t="shared" si="117"/>
        <v>0</v>
      </c>
      <c r="BD110" s="1056">
        <f t="shared" si="117"/>
        <v>0</v>
      </c>
      <c r="BE110" s="1056">
        <f t="shared" si="117"/>
        <v>0</v>
      </c>
      <c r="BF110" s="1056">
        <f t="shared" si="117"/>
        <v>0</v>
      </c>
      <c r="BG110" s="1056">
        <f t="shared" si="117"/>
        <v>0</v>
      </c>
      <c r="BH110" s="1056">
        <f t="shared" si="117"/>
        <v>0</v>
      </c>
      <c r="BI110" s="1056">
        <f t="shared" si="117"/>
        <v>0</v>
      </c>
      <c r="BJ110" s="1056">
        <f t="shared" si="117"/>
        <v>0</v>
      </c>
      <c r="BK110" s="1056">
        <f t="shared" si="117"/>
        <v>0</v>
      </c>
      <c r="BL110" s="1056">
        <f t="shared" si="117"/>
        <v>0</v>
      </c>
      <c r="BM110" s="1056">
        <f t="shared" si="117"/>
        <v>0</v>
      </c>
      <c r="BN110" s="1056">
        <f t="shared" si="117"/>
        <v>0</v>
      </c>
      <c r="BO110" s="1056">
        <f t="shared" si="117"/>
        <v>0</v>
      </c>
      <c r="BP110" s="1056">
        <f t="shared" si="117"/>
        <v>0</v>
      </c>
      <c r="BQ110" s="1056">
        <f t="shared" si="117"/>
        <v>0</v>
      </c>
      <c r="BR110" s="1056">
        <f t="shared" si="117"/>
        <v>0</v>
      </c>
      <c r="BS110" s="1056">
        <f t="shared" si="117"/>
        <v>0</v>
      </c>
      <c r="BT110" s="1056">
        <f>SUM(BT39:BT109)</f>
        <v>0</v>
      </c>
      <c r="BU110" s="1056">
        <f>SUM(BU39:BU109)</f>
        <v>0</v>
      </c>
      <c r="BV110" s="1056">
        <f>SUM(BV39:BV109)</f>
        <v>4046265.4397542374</v>
      </c>
      <c r="BW110" s="1056">
        <f t="shared" ref="BW110:BX110" si="118">SUM(BW39:BW109)</f>
        <v>30000</v>
      </c>
      <c r="BX110" s="1056">
        <f t="shared" si="118"/>
        <v>8449098.325000003</v>
      </c>
      <c r="BY110" s="1115" t="str">
        <f t="shared" si="102"/>
        <v>지출 계</v>
      </c>
      <c r="BZ110" s="1116">
        <f t="shared" si="103"/>
        <v>135550636.35873258</v>
      </c>
      <c r="CA110" s="1137" t="b">
        <f t="shared" si="110"/>
        <v>1</v>
      </c>
    </row>
    <row r="111" spans="2:80" s="1038" customFormat="1" ht="15.6">
      <c r="B111" s="1134" t="s">
        <v>1038</v>
      </c>
      <c r="C111" s="1135"/>
      <c r="D111" s="1135"/>
      <c r="E111" s="1135"/>
      <c r="F111" s="1058" t="b">
        <f t="shared" ref="F111:F135" si="119">CA111</f>
        <v>1</v>
      </c>
      <c r="G111" s="1056">
        <f>G110</f>
        <v>0</v>
      </c>
      <c r="H111" s="1057">
        <f>G111+H110</f>
        <v>0</v>
      </c>
      <c r="I111" s="1057">
        <f t="shared" ref="I111:AV111" si="120">H111+I110</f>
        <v>0</v>
      </c>
      <c r="J111" s="1057">
        <f t="shared" si="120"/>
        <v>2000000</v>
      </c>
      <c r="K111" s="1057">
        <f t="shared" si="120"/>
        <v>19378431.975589041</v>
      </c>
      <c r="L111" s="1057">
        <f t="shared" si="120"/>
        <v>19414185.400246575</v>
      </c>
      <c r="M111" s="1057">
        <f t="shared" si="120"/>
        <v>19791459.372849315</v>
      </c>
      <c r="N111" s="1057">
        <f t="shared" si="120"/>
        <v>23161998.107667517</v>
      </c>
      <c r="O111" s="1057">
        <f t="shared" si="120"/>
        <v>25111880.159063928</v>
      </c>
      <c r="P111" s="1057">
        <f t="shared" si="120"/>
        <v>26331371.601165134</v>
      </c>
      <c r="Q111" s="1057">
        <f t="shared" si="120"/>
        <v>28033754.4077636</v>
      </c>
      <c r="R111" s="1057">
        <f t="shared" si="120"/>
        <v>29996419.33285556</v>
      </c>
      <c r="S111" s="1057">
        <f t="shared" si="120"/>
        <v>30829504.749900192</v>
      </c>
      <c r="T111" s="1057">
        <f t="shared" si="120"/>
        <v>34238726.171707563</v>
      </c>
      <c r="U111" s="1057">
        <f t="shared" si="120"/>
        <v>35016552.076957636</v>
      </c>
      <c r="V111" s="1057">
        <f t="shared" si="120"/>
        <v>40669929.802929901</v>
      </c>
      <c r="W111" s="1057">
        <f t="shared" si="120"/>
        <v>41696417.471768089</v>
      </c>
      <c r="X111" s="1057">
        <f t="shared" si="120"/>
        <v>48539452.31003806</v>
      </c>
      <c r="Y111" s="1057">
        <f t="shared" si="120"/>
        <v>49355264.340578988</v>
      </c>
      <c r="Z111" s="1057">
        <f t="shared" si="120"/>
        <v>58014619.151115276</v>
      </c>
      <c r="AA111" s="1057">
        <f t="shared" si="120"/>
        <v>58651576.626588553</v>
      </c>
      <c r="AB111" s="1057">
        <f t="shared" si="120"/>
        <v>67583970.748268664</v>
      </c>
      <c r="AC111" s="1057">
        <f t="shared" si="120"/>
        <v>68440214.299830973</v>
      </c>
      <c r="AD111" s="1057">
        <f t="shared" si="120"/>
        <v>76048542.432924792</v>
      </c>
      <c r="AE111" s="1057">
        <f t="shared" si="120"/>
        <v>76773377.056579575</v>
      </c>
      <c r="AF111" s="1057">
        <f t="shared" si="120"/>
        <v>87350702.091704905</v>
      </c>
      <c r="AG111" s="1057">
        <f t="shared" si="120"/>
        <v>88075536.715359688</v>
      </c>
      <c r="AH111" s="1057">
        <f t="shared" si="120"/>
        <v>97851454.316282675</v>
      </c>
      <c r="AI111" s="1057">
        <f t="shared" si="120"/>
        <v>98849918.289225131</v>
      </c>
      <c r="AJ111" s="1057">
        <f t="shared" si="120"/>
        <v>108010153.23109154</v>
      </c>
      <c r="AK111" s="1057">
        <f t="shared" si="120"/>
        <v>109015691.27559595</v>
      </c>
      <c r="AL111" s="1057">
        <f t="shared" si="120"/>
        <v>117663542.27267057</v>
      </c>
      <c r="AM111" s="1057">
        <f t="shared" si="120"/>
        <v>118684661.26390822</v>
      </c>
      <c r="AN111" s="1057">
        <f t="shared" si="120"/>
        <v>119733291.56629619</v>
      </c>
      <c r="AO111" s="1057">
        <f t="shared" si="120"/>
        <v>120815774.46255234</v>
      </c>
      <c r="AP111" s="1057">
        <f t="shared" si="120"/>
        <v>121376112.44108383</v>
      </c>
      <c r="AQ111" s="1057">
        <f t="shared" si="120"/>
        <v>123025272.59397835</v>
      </c>
      <c r="AR111" s="1057">
        <f t="shared" si="120"/>
        <v>123025272.59397835</v>
      </c>
      <c r="AS111" s="1057">
        <f t="shared" si="120"/>
        <v>123025272.59397835</v>
      </c>
      <c r="AT111" s="1057">
        <f t="shared" si="120"/>
        <v>123025272.59397835</v>
      </c>
      <c r="AU111" s="1057">
        <f t="shared" si="120"/>
        <v>123025272.59397835</v>
      </c>
      <c r="AV111" s="1057">
        <f t="shared" si="120"/>
        <v>123025272.59397835</v>
      </c>
      <c r="AW111" s="1057">
        <f t="shared" ref="AW111:BU111" si="121">AV111+AW110</f>
        <v>123025272.59397835</v>
      </c>
      <c r="AX111" s="1057">
        <f t="shared" si="121"/>
        <v>123025272.59397835</v>
      </c>
      <c r="AY111" s="1057">
        <f t="shared" si="121"/>
        <v>123025272.59397835</v>
      </c>
      <c r="AZ111" s="1057">
        <f t="shared" si="121"/>
        <v>123025272.59397835</v>
      </c>
      <c r="BA111" s="1057">
        <f t="shared" si="121"/>
        <v>123025272.59397835</v>
      </c>
      <c r="BB111" s="1057">
        <f t="shared" si="121"/>
        <v>123025272.59397835</v>
      </c>
      <c r="BC111" s="1057">
        <f t="shared" si="121"/>
        <v>123025272.59397835</v>
      </c>
      <c r="BD111" s="1057">
        <f t="shared" si="121"/>
        <v>123025272.59397835</v>
      </c>
      <c r="BE111" s="1057">
        <f t="shared" si="121"/>
        <v>123025272.59397835</v>
      </c>
      <c r="BF111" s="1057">
        <f t="shared" si="121"/>
        <v>123025272.59397835</v>
      </c>
      <c r="BG111" s="1057">
        <f t="shared" si="121"/>
        <v>123025272.59397835</v>
      </c>
      <c r="BH111" s="1057">
        <f t="shared" si="121"/>
        <v>123025272.59397835</v>
      </c>
      <c r="BI111" s="1057">
        <f t="shared" si="121"/>
        <v>123025272.59397835</v>
      </c>
      <c r="BJ111" s="1057">
        <f t="shared" si="121"/>
        <v>123025272.59397835</v>
      </c>
      <c r="BK111" s="1057">
        <f t="shared" si="121"/>
        <v>123025272.59397835</v>
      </c>
      <c r="BL111" s="1057">
        <f t="shared" si="121"/>
        <v>123025272.59397835</v>
      </c>
      <c r="BM111" s="1057">
        <f t="shared" si="121"/>
        <v>123025272.59397835</v>
      </c>
      <c r="BN111" s="1057">
        <f t="shared" si="121"/>
        <v>123025272.59397835</v>
      </c>
      <c r="BO111" s="1057">
        <f t="shared" si="121"/>
        <v>123025272.59397835</v>
      </c>
      <c r="BP111" s="1057">
        <f t="shared" si="121"/>
        <v>123025272.59397835</v>
      </c>
      <c r="BQ111" s="1057">
        <f t="shared" si="121"/>
        <v>123025272.59397835</v>
      </c>
      <c r="BR111" s="1057">
        <f t="shared" si="121"/>
        <v>123025272.59397835</v>
      </c>
      <c r="BS111" s="1057">
        <f t="shared" si="121"/>
        <v>123025272.59397835</v>
      </c>
      <c r="BT111" s="1057">
        <f t="shared" si="121"/>
        <v>123025272.59397835</v>
      </c>
      <c r="BU111" s="1057">
        <f t="shared" si="121"/>
        <v>123025272.59397835</v>
      </c>
      <c r="BV111" s="1057">
        <f t="shared" ref="BV111" si="122">BU111+BV110</f>
        <v>127071538.03373258</v>
      </c>
      <c r="BW111" s="1057">
        <f t="shared" ref="BW111" si="123">BV111+BW110</f>
        <v>127101538.03373258</v>
      </c>
      <c r="BX111" s="1057">
        <f t="shared" ref="BX111" si="124">BW111+BX110</f>
        <v>135550636.35873258</v>
      </c>
      <c r="BY111" s="1138" t="str">
        <f t="shared" si="102"/>
        <v>지출누계</v>
      </c>
      <c r="BZ111" s="1139">
        <f>BX111</f>
        <v>135550636.35873258</v>
      </c>
      <c r="CA111" s="1140" t="b">
        <f>IF((BZ111-BZ110)=0,TRUE,FALSE)</f>
        <v>1</v>
      </c>
      <c r="CB111" s="1095"/>
    </row>
    <row r="112" spans="2:80" s="1038" customFormat="1" ht="15.6">
      <c r="B112" s="1141"/>
      <c r="C112" s="1141"/>
      <c r="D112" s="1141"/>
      <c r="E112" s="1141"/>
      <c r="F112" s="1142">
        <f t="shared" si="119"/>
        <v>0</v>
      </c>
      <c r="G112" s="1143"/>
      <c r="H112" s="1143"/>
      <c r="I112" s="1143"/>
      <c r="J112" s="1143"/>
      <c r="K112" s="1143"/>
      <c r="L112" s="1143"/>
      <c r="M112" s="1143"/>
      <c r="N112" s="1143"/>
      <c r="O112" s="1143"/>
      <c r="P112" s="1143"/>
      <c r="Q112" s="1143"/>
      <c r="R112" s="1143"/>
      <c r="S112" s="1143"/>
      <c r="T112" s="1143"/>
      <c r="U112" s="1143"/>
      <c r="V112" s="1143"/>
      <c r="W112" s="1143"/>
      <c r="X112" s="1143"/>
      <c r="Y112" s="1143"/>
      <c r="Z112" s="1143"/>
      <c r="AA112" s="1143"/>
      <c r="AB112" s="1143"/>
      <c r="AC112" s="1143"/>
      <c r="AD112" s="1143"/>
      <c r="AE112" s="1143"/>
      <c r="AF112" s="1143"/>
      <c r="AG112" s="1143"/>
      <c r="AH112" s="1143"/>
      <c r="AI112" s="1143"/>
      <c r="AJ112" s="1143"/>
      <c r="AK112" s="1143"/>
      <c r="AL112" s="1143"/>
      <c r="AM112" s="1143"/>
      <c r="AN112" s="1143"/>
      <c r="AO112" s="1143"/>
      <c r="AP112" s="1143"/>
      <c r="AQ112" s="1143"/>
      <c r="AR112" s="1143"/>
      <c r="AS112" s="1143"/>
      <c r="AT112" s="1143"/>
      <c r="AU112" s="1143"/>
      <c r="AV112" s="1143"/>
      <c r="AW112" s="1143"/>
      <c r="AX112" s="1143"/>
      <c r="AY112" s="1143"/>
      <c r="AZ112" s="1143"/>
      <c r="BA112" s="1143"/>
      <c r="BB112" s="1143"/>
      <c r="BC112" s="1143"/>
      <c r="BD112" s="1143"/>
      <c r="BE112" s="1143"/>
      <c r="BF112" s="1143"/>
      <c r="BG112" s="1143"/>
      <c r="BH112" s="1143"/>
      <c r="BI112" s="1143"/>
      <c r="BJ112" s="1143"/>
      <c r="BK112" s="1143"/>
      <c r="BL112" s="1143"/>
      <c r="BM112" s="1143"/>
      <c r="BN112" s="1143"/>
      <c r="BO112" s="1143"/>
      <c r="BP112" s="1143"/>
      <c r="BQ112" s="1143"/>
      <c r="BR112" s="1143"/>
      <c r="BS112" s="1143"/>
      <c r="BT112" s="1143"/>
      <c r="BU112" s="1143"/>
      <c r="BV112" s="1142"/>
      <c r="BW112" s="1142"/>
      <c r="BX112" s="1143"/>
      <c r="BY112" s="1144">
        <f t="shared" si="102"/>
        <v>0</v>
      </c>
      <c r="BZ112" s="1145">
        <f>BZ110-BZ111</f>
        <v>0</v>
      </c>
      <c r="CB112" s="1095"/>
    </row>
    <row r="113" spans="2:89" s="1038" customFormat="1">
      <c r="B113" s="1134" t="s">
        <v>1039</v>
      </c>
      <c r="C113" s="1135"/>
      <c r="D113" s="1135"/>
      <c r="E113" s="1136">
        <f>E277-E110</f>
        <v>22701429.030267388</v>
      </c>
      <c r="F113" s="1058">
        <f t="shared" si="119"/>
        <v>22701429.030267417</v>
      </c>
      <c r="G113" s="1146">
        <f>G277-G110</f>
        <v>0</v>
      </c>
      <c r="H113" s="1147">
        <f t="shared" ref="H113:AM113" si="125">G113+H277-H110</f>
        <v>0</v>
      </c>
      <c r="I113" s="1147">
        <f t="shared" si="125"/>
        <v>0</v>
      </c>
      <c r="J113" s="1147">
        <f t="shared" si="125"/>
        <v>-2000000</v>
      </c>
      <c r="K113" s="1147">
        <f t="shared" si="125"/>
        <v>-19378431.975589041</v>
      </c>
      <c r="L113" s="1147">
        <f t="shared" si="125"/>
        <v>-19414185.400246575</v>
      </c>
      <c r="M113" s="1147">
        <f t="shared" si="125"/>
        <v>-19791459.372849315</v>
      </c>
      <c r="N113" s="1147">
        <f t="shared" si="125"/>
        <v>-20020914.799887519</v>
      </c>
      <c r="O113" s="1147">
        <f t="shared" si="125"/>
        <v>-19614984.370448932</v>
      </c>
      <c r="P113" s="1147">
        <f t="shared" si="125"/>
        <v>-18949825.827882137</v>
      </c>
      <c r="Q113" s="1147">
        <f t="shared" si="125"/>
        <v>-19081666.980590604</v>
      </c>
      <c r="R113" s="1147">
        <f t="shared" si="125"/>
        <v>-9864859.1169455647</v>
      </c>
      <c r="S113" s="1147">
        <f t="shared" si="125"/>
        <v>-8529930.3568921946</v>
      </c>
      <c r="T113" s="1147">
        <f t="shared" si="125"/>
        <v>-10080853.912615562</v>
      </c>
      <c r="U113" s="1147">
        <f t="shared" si="125"/>
        <v>-9310098.2627956383</v>
      </c>
      <c r="V113" s="1147">
        <f t="shared" si="125"/>
        <v>19374.381302097812</v>
      </c>
      <c r="W113" s="1147">
        <f t="shared" si="125"/>
        <v>842400.53901990911</v>
      </c>
      <c r="X113" s="1147">
        <f t="shared" si="125"/>
        <v>-4151120.4726940612</v>
      </c>
      <c r="Y113" s="1147">
        <f t="shared" si="125"/>
        <v>-3117418.6766789895</v>
      </c>
      <c r="Z113" s="1147">
        <f t="shared" si="125"/>
        <v>3489441.0752847232</v>
      </c>
      <c r="AA113" s="1147">
        <f t="shared" si="125"/>
        <v>2852483.5998114492</v>
      </c>
      <c r="AB113" s="1147">
        <f t="shared" si="125"/>
        <v>-6079910.5218686629</v>
      </c>
      <c r="AC113" s="1147">
        <f t="shared" si="125"/>
        <v>-6936154.0734309778</v>
      </c>
      <c r="AD113" s="1147">
        <f t="shared" si="125"/>
        <v>721732.35597520322</v>
      </c>
      <c r="AE113" s="1147">
        <f t="shared" si="125"/>
        <v>-3102.2676795775769</v>
      </c>
      <c r="AF113" s="1147">
        <f t="shared" si="125"/>
        <v>-10580427.302804912</v>
      </c>
      <c r="AG113" s="1147">
        <f t="shared" si="125"/>
        <v>-11305261.926459692</v>
      </c>
      <c r="AH113" s="1147">
        <f t="shared" si="125"/>
        <v>-5814964.9648826756</v>
      </c>
      <c r="AI113" s="1147">
        <f t="shared" si="125"/>
        <v>-6813428.9378251275</v>
      </c>
      <c r="AJ113" s="1147">
        <f t="shared" si="125"/>
        <v>-15973663.879691545</v>
      </c>
      <c r="AK113" s="1147">
        <f t="shared" si="125"/>
        <v>-16883369.924195945</v>
      </c>
      <c r="AL113" s="1147">
        <f t="shared" si="125"/>
        <v>-10241048.35877057</v>
      </c>
      <c r="AM113" s="1147">
        <f t="shared" si="125"/>
        <v>-11142377.350008227</v>
      </c>
      <c r="AN113" s="1147">
        <f t="shared" ref="AN113:BX113" si="126">AM113+AN277-AN110</f>
        <v>-12191007.652396187</v>
      </c>
      <c r="AO113" s="1147">
        <f t="shared" si="126"/>
        <v>-13093805.548652338</v>
      </c>
      <c r="AP113" s="1147">
        <f t="shared" si="126"/>
        <v>-13654143.527183831</v>
      </c>
      <c r="AQ113" s="1147">
        <f t="shared" si="126"/>
        <v>-15123618.680078337</v>
      </c>
      <c r="AR113" s="1147">
        <f t="shared" si="126"/>
        <v>-15123618.680078337</v>
      </c>
      <c r="AS113" s="1147">
        <f t="shared" si="126"/>
        <v>-15123618.680078337</v>
      </c>
      <c r="AT113" s="1147">
        <f t="shared" si="126"/>
        <v>-15123618.680078337</v>
      </c>
      <c r="AU113" s="1147">
        <f t="shared" si="126"/>
        <v>-15123618.680078337</v>
      </c>
      <c r="AV113" s="1147">
        <f t="shared" si="126"/>
        <v>-15123618.680078337</v>
      </c>
      <c r="AW113" s="1147">
        <f t="shared" si="126"/>
        <v>-15123618.680078337</v>
      </c>
      <c r="AX113" s="1147">
        <f t="shared" si="126"/>
        <v>-15123618.680078337</v>
      </c>
      <c r="AY113" s="1147">
        <f t="shared" si="126"/>
        <v>-15123618.680078337</v>
      </c>
      <c r="AZ113" s="1147">
        <f t="shared" si="126"/>
        <v>-15123618.680078337</v>
      </c>
      <c r="BA113" s="1147">
        <f t="shared" si="126"/>
        <v>-15123618.680078337</v>
      </c>
      <c r="BB113" s="1147">
        <f t="shared" si="126"/>
        <v>-15123618.680078337</v>
      </c>
      <c r="BC113" s="1147">
        <f t="shared" si="126"/>
        <v>-15123618.680078337</v>
      </c>
      <c r="BD113" s="1147">
        <f t="shared" si="126"/>
        <v>-15123618.680078337</v>
      </c>
      <c r="BE113" s="1147">
        <f t="shared" si="126"/>
        <v>-15123618.680078337</v>
      </c>
      <c r="BF113" s="1147">
        <f t="shared" si="126"/>
        <v>-15123618.680078337</v>
      </c>
      <c r="BG113" s="1147">
        <f t="shared" si="126"/>
        <v>-15123618.680078337</v>
      </c>
      <c r="BH113" s="1147">
        <f t="shared" si="126"/>
        <v>-15123618.680078337</v>
      </c>
      <c r="BI113" s="1147">
        <f t="shared" si="126"/>
        <v>-15123618.680078337</v>
      </c>
      <c r="BJ113" s="1147">
        <f t="shared" si="126"/>
        <v>-15123618.680078337</v>
      </c>
      <c r="BK113" s="1147">
        <f t="shared" si="126"/>
        <v>-15123618.680078337</v>
      </c>
      <c r="BL113" s="1147">
        <f t="shared" si="126"/>
        <v>-15123618.680078337</v>
      </c>
      <c r="BM113" s="1147">
        <f t="shared" si="126"/>
        <v>-15123618.680078337</v>
      </c>
      <c r="BN113" s="1147">
        <f t="shared" si="126"/>
        <v>-15123618.680078337</v>
      </c>
      <c r="BO113" s="1147">
        <f t="shared" si="126"/>
        <v>-15123618.680078337</v>
      </c>
      <c r="BP113" s="1147">
        <f t="shared" si="126"/>
        <v>-15123618.680078337</v>
      </c>
      <c r="BQ113" s="1147">
        <f t="shared" si="126"/>
        <v>-15123618.680078337</v>
      </c>
      <c r="BR113" s="1147">
        <f t="shared" si="126"/>
        <v>-15123618.680078337</v>
      </c>
      <c r="BS113" s="1147">
        <f t="shared" si="126"/>
        <v>-15123618.680078337</v>
      </c>
      <c r="BT113" s="1147">
        <f t="shared" si="126"/>
        <v>-15123618.680078337</v>
      </c>
      <c r="BU113" s="1147">
        <f t="shared" si="126"/>
        <v>-15123618.680078337</v>
      </c>
      <c r="BV113" s="1147">
        <f t="shared" si="126"/>
        <v>-14134842.972322572</v>
      </c>
      <c r="BW113" s="1147">
        <f t="shared" si="126"/>
        <v>-4154655.6773025692</v>
      </c>
      <c r="BX113" s="1147">
        <f t="shared" si="126"/>
        <v>22701429.030267432</v>
      </c>
      <c r="BY113" s="1148" t="str">
        <f t="shared" si="102"/>
        <v>사업손익</v>
      </c>
      <c r="BZ113" s="1145">
        <f>BZ110-E110</f>
        <v>0</v>
      </c>
      <c r="CA113" s="397">
        <f>'사업수지표 '!E97</f>
        <v>22701429.030267417</v>
      </c>
      <c r="CB113"/>
      <c r="CC113"/>
      <c r="CD113"/>
      <c r="CE113"/>
      <c r="CF113"/>
      <c r="CG113"/>
      <c r="CH113"/>
      <c r="CI113"/>
      <c r="CJ113"/>
      <c r="CK113"/>
    </row>
    <row r="114" spans="2:89" s="1038" customFormat="1">
      <c r="B114" s="1141"/>
      <c r="C114" s="1141"/>
      <c r="D114" s="1141"/>
      <c r="E114" s="1149"/>
      <c r="F114" s="1142">
        <v>45</v>
      </c>
      <c r="G114" s="1150"/>
      <c r="H114" s="1150"/>
      <c r="I114" s="1150"/>
      <c r="J114" s="1150"/>
      <c r="K114" s="1150"/>
      <c r="L114" s="1150"/>
      <c r="M114" s="1150"/>
      <c r="N114" s="1150"/>
      <c r="O114" s="1150"/>
      <c r="P114" s="1150"/>
      <c r="Q114" s="1150"/>
      <c r="R114" s="1150"/>
      <c r="S114" s="1150"/>
      <c r="T114" s="1150"/>
      <c r="U114" s="1150"/>
      <c r="V114" s="1150"/>
      <c r="W114" s="1150"/>
      <c r="X114" s="1150"/>
      <c r="Y114" s="1150"/>
      <c r="Z114" s="1150"/>
      <c r="AA114" s="1150"/>
      <c r="AB114" s="1150"/>
      <c r="AC114" s="1150"/>
      <c r="AD114" s="1150"/>
      <c r="AE114" s="1150"/>
      <c r="AF114" s="1150"/>
      <c r="AG114" s="1150"/>
      <c r="AH114" s="1150"/>
      <c r="AI114" s="1150"/>
      <c r="AJ114" s="1150"/>
      <c r="AK114" s="1150"/>
      <c r="AL114" s="1150"/>
      <c r="AM114" s="1150"/>
      <c r="AN114" s="1150"/>
      <c r="AO114" s="1150"/>
      <c r="AP114" s="1150"/>
      <c r="AQ114" s="1150"/>
      <c r="AR114" s="1150"/>
      <c r="AS114" s="1150"/>
      <c r="AT114" s="1150"/>
      <c r="AU114" s="1150"/>
      <c r="AV114" s="1150"/>
      <c r="AW114" s="1150"/>
      <c r="AX114" s="1150"/>
      <c r="AY114" s="1150"/>
      <c r="AZ114" s="1150"/>
      <c r="BA114" s="1150"/>
      <c r="BB114" s="1150"/>
      <c r="BC114" s="1150"/>
      <c r="BD114" s="1150"/>
      <c r="BE114" s="1150"/>
      <c r="BF114" s="1150"/>
      <c r="BG114" s="1150"/>
      <c r="BH114" s="1150"/>
      <c r="BI114" s="1150"/>
      <c r="BJ114" s="1150"/>
      <c r="BK114" s="1150"/>
      <c r="BL114" s="1150"/>
      <c r="BM114" s="1150"/>
      <c r="BN114" s="1150"/>
      <c r="BO114" s="1150"/>
      <c r="BP114" s="1150"/>
      <c r="BQ114" s="1150"/>
      <c r="BR114" s="1150"/>
      <c r="BS114" s="1150"/>
      <c r="BT114" s="1150"/>
      <c r="BU114" s="1150"/>
      <c r="BV114" s="1151"/>
      <c r="BW114" s="1151"/>
      <c r="BX114" s="1150"/>
      <c r="BY114" s="1148">
        <f t="shared" si="102"/>
        <v>0</v>
      </c>
      <c r="BZ114" s="1336"/>
      <c r="CA114" s="1594">
        <f>BX113-CA113</f>
        <v>0</v>
      </c>
      <c r="CB114"/>
      <c r="CC114"/>
      <c r="CD114"/>
      <c r="CE114"/>
      <c r="CF114"/>
      <c r="CG114"/>
      <c r="CH114"/>
      <c r="CI114"/>
      <c r="CJ114"/>
      <c r="CK114"/>
    </row>
    <row r="115" spans="2:89" s="1038" customFormat="1">
      <c r="B115" s="1134" t="s">
        <v>1040</v>
      </c>
      <c r="C115" s="1135"/>
      <c r="D115" s="1135"/>
      <c r="E115" s="1135"/>
      <c r="F115" s="1058">
        <f t="shared" si="119"/>
        <v>0</v>
      </c>
      <c r="G115" s="1146">
        <f>G119+G120+G125+G130-G123-G128-G133+G36-G110</f>
        <v>0</v>
      </c>
      <c r="H115" s="1146">
        <f>H119+H120+H125+H130-H123-H128-H133+H36-H110</f>
        <v>0</v>
      </c>
      <c r="I115" s="1146">
        <f>I119+I120+I125+I130-I123-I128-I133+I36-I110</f>
        <v>0</v>
      </c>
      <c r="J115" s="1146">
        <f>J119+J120+J125+J130-J123-J128-J133+J36-J110</f>
        <v>0</v>
      </c>
      <c r="K115" s="1146">
        <f>K119+K120+K125+K130+K36-K110+K121+K126+K131</f>
        <v>4621568.0244109593</v>
      </c>
      <c r="L115" s="1146">
        <f t="shared" ref="L115:BV115" si="127">L119+L120+L125+L130+L36-L110+L121+L126+L131</f>
        <v>-35753.424657534248</v>
      </c>
      <c r="M115" s="1146">
        <f t="shared" si="127"/>
        <v>-377273.9726027397</v>
      </c>
      <c r="N115" s="1146">
        <f t="shared" si="127"/>
        <v>-857672.08859420242</v>
      </c>
      <c r="O115" s="1146">
        <f t="shared" si="127"/>
        <v>934767.93327158852</v>
      </c>
      <c r="P115" s="1146">
        <f t="shared" si="127"/>
        <v>288228.5456331945</v>
      </c>
      <c r="Q115" s="1146">
        <f t="shared" si="127"/>
        <v>-445949.48348646564</v>
      </c>
      <c r="R115" s="1146">
        <f>R119+R120+R125+R130+R36-R110+R121+R126+R131</f>
        <v>9980913.3058976419</v>
      </c>
      <c r="S115" s="1146">
        <f>S119+S120+S125+S130+S36-S110+S121+S126+S131</f>
        <v>901325.92463377002</v>
      </c>
      <c r="T115" s="1146">
        <f t="shared" si="127"/>
        <v>-1922583.1289401671</v>
      </c>
      <c r="U115" s="1146">
        <f t="shared" si="127"/>
        <v>1461039.3388059249</v>
      </c>
      <c r="V115" s="1146">
        <f t="shared" si="127"/>
        <v>9332902.5700837355</v>
      </c>
      <c r="W115" s="1146">
        <f t="shared" si="127"/>
        <v>453123.39240661066</v>
      </c>
      <c r="X115" s="1146">
        <f t="shared" si="127"/>
        <v>-5363423.7770251706</v>
      </c>
      <c r="Y115" s="1146">
        <f t="shared" si="127"/>
        <v>1663799.0307038708</v>
      </c>
      <c r="Z115" s="1146">
        <f t="shared" si="127"/>
        <v>6553616.8394637126</v>
      </c>
      <c r="AA115" s="1146">
        <f t="shared" si="127"/>
        <v>-636957.47547327401</v>
      </c>
      <c r="AB115" s="1146">
        <f t="shared" si="127"/>
        <v>-8932394.1216801126</v>
      </c>
      <c r="AC115" s="1146">
        <f t="shared" si="127"/>
        <v>-856243.55156231509</v>
      </c>
      <c r="AD115" s="1146">
        <f t="shared" si="127"/>
        <v>6604643.5169061814</v>
      </c>
      <c r="AE115" s="1146">
        <f t="shared" si="127"/>
        <v>-724834.62365478079</v>
      </c>
      <c r="AF115" s="1146">
        <f t="shared" si="127"/>
        <v>-10577325.035125334</v>
      </c>
      <c r="AG115" s="1146">
        <f t="shared" si="127"/>
        <v>-724834.62365478079</v>
      </c>
      <c r="AH115" s="1146">
        <f t="shared" si="127"/>
        <v>2437054.0490770172</v>
      </c>
      <c r="AI115" s="1146">
        <f t="shared" si="127"/>
        <v>-998463.97294245195</v>
      </c>
      <c r="AJ115" s="1146">
        <f t="shared" si="127"/>
        <v>-9160234.9418664183</v>
      </c>
      <c r="AK115" s="1146">
        <f t="shared" si="127"/>
        <v>-928872.44450439862</v>
      </c>
      <c r="AL115" s="1146">
        <f t="shared" si="127"/>
        <v>3584287.0529253744</v>
      </c>
      <c r="AM115" s="1146">
        <f t="shared" si="127"/>
        <v>-925286.99123765761</v>
      </c>
      <c r="AN115" s="1146">
        <f t="shared" si="127"/>
        <v>-1048630.3023879603</v>
      </c>
      <c r="AO115" s="1146">
        <f t="shared" si="127"/>
        <v>-938734.89625615068</v>
      </c>
      <c r="AP115" s="1146">
        <f t="shared" si="127"/>
        <v>-560337.97853149311</v>
      </c>
      <c r="AQ115" s="1146">
        <f t="shared" si="127"/>
        <v>-1505412.1528945069</v>
      </c>
      <c r="AR115" s="1146">
        <f t="shared" si="127"/>
        <v>0</v>
      </c>
      <c r="AS115" s="1146">
        <f t="shared" si="127"/>
        <v>0</v>
      </c>
      <c r="AT115" s="1146">
        <f t="shared" si="127"/>
        <v>0</v>
      </c>
      <c r="AU115" s="1146">
        <f t="shared" si="127"/>
        <v>0</v>
      </c>
      <c r="AV115" s="1146">
        <f t="shared" si="127"/>
        <v>0</v>
      </c>
      <c r="AW115" s="1146">
        <f t="shared" si="127"/>
        <v>0</v>
      </c>
      <c r="AX115" s="1146">
        <f t="shared" si="127"/>
        <v>0</v>
      </c>
      <c r="AY115" s="1146">
        <f t="shared" si="127"/>
        <v>0</v>
      </c>
      <c r="AZ115" s="1146">
        <f t="shared" si="127"/>
        <v>0</v>
      </c>
      <c r="BA115" s="1146">
        <f t="shared" si="127"/>
        <v>0</v>
      </c>
      <c r="BB115" s="1146">
        <f t="shared" si="127"/>
        <v>0</v>
      </c>
      <c r="BC115" s="1146">
        <f t="shared" si="127"/>
        <v>0</v>
      </c>
      <c r="BD115" s="1146">
        <f t="shared" si="127"/>
        <v>0</v>
      </c>
      <c r="BE115" s="1146">
        <f t="shared" si="127"/>
        <v>0</v>
      </c>
      <c r="BF115" s="1146">
        <f t="shared" si="127"/>
        <v>0</v>
      </c>
      <c r="BG115" s="1146">
        <f t="shared" si="127"/>
        <v>0</v>
      </c>
      <c r="BH115" s="1146">
        <f t="shared" si="127"/>
        <v>0</v>
      </c>
      <c r="BI115" s="1146">
        <f t="shared" si="127"/>
        <v>0</v>
      </c>
      <c r="BJ115" s="1146">
        <f t="shared" si="127"/>
        <v>0</v>
      </c>
      <c r="BK115" s="1146">
        <f t="shared" si="127"/>
        <v>0</v>
      </c>
      <c r="BL115" s="1146">
        <f t="shared" si="127"/>
        <v>0</v>
      </c>
      <c r="BM115" s="1146">
        <f t="shared" si="127"/>
        <v>0</v>
      </c>
      <c r="BN115" s="1146">
        <f t="shared" si="127"/>
        <v>0</v>
      </c>
      <c r="BO115" s="1146">
        <f t="shared" si="127"/>
        <v>0</v>
      </c>
      <c r="BP115" s="1146">
        <f t="shared" si="127"/>
        <v>0</v>
      </c>
      <c r="BQ115" s="1146">
        <f t="shared" si="127"/>
        <v>0</v>
      </c>
      <c r="BR115" s="1146">
        <f t="shared" si="127"/>
        <v>0</v>
      </c>
      <c r="BS115" s="1146">
        <f t="shared" si="127"/>
        <v>0</v>
      </c>
      <c r="BT115" s="1146">
        <f t="shared" si="127"/>
        <v>0</v>
      </c>
      <c r="BU115" s="1146">
        <f t="shared" si="127"/>
        <v>0</v>
      </c>
      <c r="BV115" s="1146">
        <f t="shared" si="127"/>
        <v>-4046265.4397542374</v>
      </c>
      <c r="BW115" s="1146">
        <f t="shared" ref="BW115" si="128">BW119+BW120+BW125+BW130+BW36-BW110+BW121+BW126+BW131</f>
        <v>-30000</v>
      </c>
      <c r="BX115" s="1146">
        <f t="shared" ref="BX115" si="129">BX119+BX120+BX125+BX130+BX36-BX110+BX121+BX126+BX131</f>
        <v>-10449098.325000003</v>
      </c>
      <c r="BY115" s="1148" t="str">
        <f t="shared" si="102"/>
        <v>Cash In/Out</v>
      </c>
      <c r="BZ115" s="1145"/>
      <c r="CA115"/>
      <c r="CB115"/>
      <c r="CC115"/>
      <c r="CD115"/>
      <c r="CE115"/>
      <c r="CF115"/>
      <c r="CG115"/>
      <c r="CH115"/>
      <c r="CI115"/>
      <c r="CJ115"/>
      <c r="CK115"/>
    </row>
    <row r="116" spans="2:89" s="1141" customFormat="1">
      <c r="B116" s="1152" t="s">
        <v>1041</v>
      </c>
      <c r="C116" s="1153"/>
      <c r="D116" s="1153"/>
      <c r="E116" s="1153"/>
      <c r="F116" s="1873">
        <f t="shared" si="119"/>
        <v>0</v>
      </c>
      <c r="G116" s="1874">
        <f>G115</f>
        <v>0</v>
      </c>
      <c r="H116" s="1875">
        <f>G116+H115</f>
        <v>0</v>
      </c>
      <c r="I116" s="1875">
        <f t="shared" ref="I116:AQ116" si="130">H116+I115</f>
        <v>0</v>
      </c>
      <c r="J116" s="1875">
        <f t="shared" si="130"/>
        <v>0</v>
      </c>
      <c r="K116" s="1875">
        <f t="shared" si="130"/>
        <v>4621568.0244109593</v>
      </c>
      <c r="L116" s="1875">
        <f t="shared" si="130"/>
        <v>4585814.5997534255</v>
      </c>
      <c r="M116" s="1875">
        <f t="shared" si="130"/>
        <v>4208540.6271506855</v>
      </c>
      <c r="N116" s="1875">
        <f t="shared" si="130"/>
        <v>3350868.5385564831</v>
      </c>
      <c r="O116" s="1875">
        <f t="shared" si="130"/>
        <v>4285636.4718280714</v>
      </c>
      <c r="P116" s="1875">
        <f t="shared" si="130"/>
        <v>4573865.0174612664</v>
      </c>
      <c r="Q116" s="1875">
        <f t="shared" si="130"/>
        <v>4127915.5339748007</v>
      </c>
      <c r="R116" s="1875">
        <f>Q116+R115</f>
        <v>14108828.839872442</v>
      </c>
      <c r="S116" s="1875">
        <f>R116+S115</f>
        <v>15010154.764506212</v>
      </c>
      <c r="T116" s="1875">
        <f t="shared" si="130"/>
        <v>13087571.635566045</v>
      </c>
      <c r="U116" s="1875">
        <f t="shared" si="130"/>
        <v>14548610.97437197</v>
      </c>
      <c r="V116" s="1875">
        <f t="shared" si="130"/>
        <v>23881513.544455707</v>
      </c>
      <c r="W116" s="1875">
        <f t="shared" si="130"/>
        <v>24334636.936862316</v>
      </c>
      <c r="X116" s="1875">
        <f t="shared" si="130"/>
        <v>18971213.159837145</v>
      </c>
      <c r="Y116" s="1875">
        <f t="shared" si="130"/>
        <v>20635012.190541018</v>
      </c>
      <c r="Z116" s="1875">
        <f t="shared" si="130"/>
        <v>27188629.030004732</v>
      </c>
      <c r="AA116" s="1875">
        <f t="shared" si="130"/>
        <v>26551671.554531459</v>
      </c>
      <c r="AB116" s="1875">
        <f t="shared" si="130"/>
        <v>17619277.432851344</v>
      </c>
      <c r="AC116" s="1875">
        <f t="shared" si="130"/>
        <v>16763033.881289029</v>
      </c>
      <c r="AD116" s="1875">
        <f t="shared" si="130"/>
        <v>23367677.398195211</v>
      </c>
      <c r="AE116" s="1875">
        <f t="shared" si="130"/>
        <v>22642842.774540432</v>
      </c>
      <c r="AF116" s="1875">
        <f t="shared" si="130"/>
        <v>12065517.739415098</v>
      </c>
      <c r="AG116" s="1875">
        <f t="shared" si="130"/>
        <v>11340683.115760317</v>
      </c>
      <c r="AH116" s="1875">
        <f t="shared" si="130"/>
        <v>13777737.164837334</v>
      </c>
      <c r="AI116" s="1875">
        <f t="shared" si="130"/>
        <v>12779273.191894881</v>
      </c>
      <c r="AJ116" s="1875">
        <f t="shared" si="130"/>
        <v>3619038.2500284631</v>
      </c>
      <c r="AK116" s="1875">
        <f t="shared" si="130"/>
        <v>2690165.8055240642</v>
      </c>
      <c r="AL116" s="1875">
        <f t="shared" si="130"/>
        <v>6274452.8584494386</v>
      </c>
      <c r="AM116" s="1875">
        <f t="shared" si="130"/>
        <v>5349165.8672117814</v>
      </c>
      <c r="AN116" s="1875">
        <f t="shared" si="130"/>
        <v>4300535.5648238212</v>
      </c>
      <c r="AO116" s="1875">
        <f t="shared" si="130"/>
        <v>3361800.6685676705</v>
      </c>
      <c r="AP116" s="1875">
        <f t="shared" si="130"/>
        <v>2801462.6900361776</v>
      </c>
      <c r="AQ116" s="1875">
        <f t="shared" si="130"/>
        <v>1296050.5371416707</v>
      </c>
      <c r="AR116" s="1875">
        <f t="shared" ref="AR116:BE116" si="131">AQ116+AR115</f>
        <v>1296050.5371416707</v>
      </c>
      <c r="AS116" s="1875">
        <f t="shared" si="131"/>
        <v>1296050.5371416707</v>
      </c>
      <c r="AT116" s="1875">
        <f t="shared" si="131"/>
        <v>1296050.5371416707</v>
      </c>
      <c r="AU116" s="1875">
        <f t="shared" si="131"/>
        <v>1296050.5371416707</v>
      </c>
      <c r="AV116" s="1875">
        <f t="shared" si="131"/>
        <v>1296050.5371416707</v>
      </c>
      <c r="AW116" s="1875">
        <f t="shared" si="131"/>
        <v>1296050.5371416707</v>
      </c>
      <c r="AX116" s="1875">
        <f t="shared" si="131"/>
        <v>1296050.5371416707</v>
      </c>
      <c r="AY116" s="1875">
        <f t="shared" si="131"/>
        <v>1296050.5371416707</v>
      </c>
      <c r="AZ116" s="1875">
        <f t="shared" si="131"/>
        <v>1296050.5371416707</v>
      </c>
      <c r="BA116" s="1875">
        <f t="shared" si="131"/>
        <v>1296050.5371416707</v>
      </c>
      <c r="BB116" s="1875">
        <f t="shared" si="131"/>
        <v>1296050.5371416707</v>
      </c>
      <c r="BC116" s="1875">
        <f t="shared" si="131"/>
        <v>1296050.5371416707</v>
      </c>
      <c r="BD116" s="1875">
        <f t="shared" si="131"/>
        <v>1296050.5371416707</v>
      </c>
      <c r="BE116" s="1875">
        <f t="shared" si="131"/>
        <v>1296050.5371416707</v>
      </c>
      <c r="BF116" s="1875">
        <f t="shared" ref="BF116:BX116" si="132">BE116+BF115</f>
        <v>1296050.5371416707</v>
      </c>
      <c r="BG116" s="1875">
        <f t="shared" si="132"/>
        <v>1296050.5371416707</v>
      </c>
      <c r="BH116" s="1875">
        <f t="shared" si="132"/>
        <v>1296050.5371416707</v>
      </c>
      <c r="BI116" s="1875">
        <f t="shared" si="132"/>
        <v>1296050.5371416707</v>
      </c>
      <c r="BJ116" s="1875">
        <f t="shared" si="132"/>
        <v>1296050.5371416707</v>
      </c>
      <c r="BK116" s="1875">
        <f t="shared" si="132"/>
        <v>1296050.5371416707</v>
      </c>
      <c r="BL116" s="1875">
        <f t="shared" si="132"/>
        <v>1296050.5371416707</v>
      </c>
      <c r="BM116" s="1875">
        <f t="shared" si="132"/>
        <v>1296050.5371416707</v>
      </c>
      <c r="BN116" s="1875">
        <f t="shared" si="132"/>
        <v>1296050.5371416707</v>
      </c>
      <c r="BO116" s="1875">
        <f t="shared" si="132"/>
        <v>1296050.5371416707</v>
      </c>
      <c r="BP116" s="1875">
        <f t="shared" si="132"/>
        <v>1296050.5371416707</v>
      </c>
      <c r="BQ116" s="1875">
        <f t="shared" si="132"/>
        <v>1296050.5371416707</v>
      </c>
      <c r="BR116" s="1875">
        <f t="shared" si="132"/>
        <v>1296050.5371416707</v>
      </c>
      <c r="BS116" s="1875">
        <f t="shared" si="132"/>
        <v>1296050.5371416707</v>
      </c>
      <c r="BT116" s="1875">
        <f t="shared" si="132"/>
        <v>1296050.5371416707</v>
      </c>
      <c r="BU116" s="1875">
        <f t="shared" si="132"/>
        <v>1296050.5371416707</v>
      </c>
      <c r="BV116" s="1875">
        <f t="shared" si="132"/>
        <v>-2750214.9026125669</v>
      </c>
      <c r="BW116" s="1875">
        <f t="shared" si="132"/>
        <v>-2780214.9026125669</v>
      </c>
      <c r="BX116" s="1875">
        <f t="shared" si="132"/>
        <v>-13229313.22761257</v>
      </c>
      <c r="BY116" s="1148" t="str">
        <f t="shared" si="102"/>
        <v>Cash 누계</v>
      </c>
      <c r="BZ116" s="1145"/>
      <c r="CA116" s="1932"/>
      <c r="CB116" s="662"/>
      <c r="CC116" s="662"/>
      <c r="CD116" s="662"/>
      <c r="CE116" s="662"/>
      <c r="CF116" s="662"/>
      <c r="CG116" s="662"/>
      <c r="CH116" s="662"/>
      <c r="CI116" s="662"/>
      <c r="CJ116" s="662"/>
      <c r="CK116" s="662"/>
    </row>
    <row r="117" spans="2:89" s="1141" customFormat="1">
      <c r="B117" s="1228" t="s">
        <v>1598</v>
      </c>
      <c r="C117" s="1228"/>
      <c r="D117" s="1234">
        <f>'사업수지표 '!K93</f>
        <v>0.08</v>
      </c>
      <c r="E117" s="1230">
        <f>SUM(G117:BX117)</f>
        <v>0</v>
      </c>
      <c r="F117" s="1142"/>
      <c r="G117" s="1150"/>
      <c r="H117" s="1150"/>
      <c r="I117" s="1150"/>
      <c r="J117" s="1150"/>
      <c r="K117" s="1150"/>
      <c r="L117" s="1150"/>
      <c r="M117" s="1150"/>
      <c r="N117" s="1150">
        <f>IF(N116&gt;=0,0,IF(N8&lt;=총괄장!$P$6,-N116*($D$117)*N6/365,0))</f>
        <v>0</v>
      </c>
      <c r="O117" s="1150">
        <f>IF(O116&gt;=0,0,IF(O8&lt;=총괄장!$P$6,-O116*($D$117)*O6/365,0))</f>
        <v>0</v>
      </c>
      <c r="P117" s="1150">
        <f>IF(P116&gt;=0,0,IF(P8&lt;=총괄장!$P$6,-P116*($D$117)*P6/365,0))</f>
        <v>0</v>
      </c>
      <c r="Q117" s="1150">
        <f>IF(Q116&gt;=0,0,IF(Q8&lt;=총괄장!$P$6,-Q116*($D$117)*Q6/365,0))</f>
        <v>0</v>
      </c>
      <c r="R117" s="1150">
        <f>IF(R116&gt;=0,0,IF(R8&lt;=총괄장!$P$6,-R116*($D$117)*R6/365,0))</f>
        <v>0</v>
      </c>
      <c r="S117" s="1150">
        <f>IF(S116&gt;=0,0,IF(S8&lt;=총괄장!$P$6,-S116*($D$117)*S6/365,0))</f>
        <v>0</v>
      </c>
      <c r="T117" s="1150">
        <f>IF(T116&gt;=0,0,IF(T8&lt;=총괄장!$P$6,-T116*($D$117)*T6/365,0))</f>
        <v>0</v>
      </c>
      <c r="U117" s="1150">
        <f>IF(U116&gt;=0,0,IF(U8&lt;=총괄장!$P$6,-U116*($D$117)*U6/365,0))</f>
        <v>0</v>
      </c>
      <c r="V117" s="1150">
        <f>IF(V116&gt;=0,0,IF(V8&lt;=총괄장!$P$6,-V116*($D$117)*V6/365,0))</f>
        <v>0</v>
      </c>
      <c r="W117" s="1150">
        <f>IF(W116&gt;=0,0,IF(W8&lt;=총괄장!$P$6,-W116*($D$117)*W6/365,0))</f>
        <v>0</v>
      </c>
      <c r="X117" s="1150">
        <f>IF(X116&gt;=0,0,IF(X8&lt;=총괄장!$P$6,-X116*($D$117)*X6/365,0))</f>
        <v>0</v>
      </c>
      <c r="Y117" s="1150">
        <f>IF(Y116&gt;=0,0,IF(Y8&lt;=총괄장!$P$6,-Y116*($D$117)*Y6/365,0))</f>
        <v>0</v>
      </c>
      <c r="Z117" s="1150">
        <f>IF(Z116&gt;=0,0,IF(Z8&lt;=총괄장!$P$6,-Z116*($D$117)*Z6/365,0))</f>
        <v>0</v>
      </c>
      <c r="AA117" s="1150">
        <f>IF(AA116&gt;=0,0,IF(AA8&lt;=총괄장!$P$6,-AA116*($D$117)*AA6/365,0))</f>
        <v>0</v>
      </c>
      <c r="AB117" s="1150">
        <f>IF(AB116&gt;=0,0,IF(AB8&lt;=총괄장!$P$6,-AB116*($D$117)*AB6/365,0))</f>
        <v>0</v>
      </c>
      <c r="AC117" s="1150">
        <f>IF(AC116&gt;=0,0,IF(AC8&lt;=총괄장!$P$6,-AC116*($D$117)*AC6/365,0))</f>
        <v>0</v>
      </c>
      <c r="AD117" s="1150">
        <f>IF(AD116&gt;=0,0,IF(AD8&lt;=총괄장!$P$6,-AD116*($D$117)*AD6/365,0))</f>
        <v>0</v>
      </c>
      <c r="AE117" s="1150">
        <f>IF(AE116&gt;=0,0,IF(AE8&lt;=총괄장!$P$6,-AE116*($D$117)*AE6/365,0))</f>
        <v>0</v>
      </c>
      <c r="AF117" s="1150">
        <f>IF(AF116&gt;=0,0,IF(AF8&lt;=총괄장!$P$6,-AF116*($D$117)*AF6/365,0))</f>
        <v>0</v>
      </c>
      <c r="AG117" s="1150">
        <f>IF(AG116&gt;=0,0,IF(AG8&lt;=총괄장!$P$6,-AG116*($D$117)*AG6/365,0))</f>
        <v>0</v>
      </c>
      <c r="AH117" s="1150">
        <f>IF(AH116&gt;=0,0,IF(AH8&lt;=총괄장!$P$6,-AH116*($D$117)*AH6/365,0))</f>
        <v>0</v>
      </c>
      <c r="AI117" s="1150">
        <f>IF(AI116&gt;=0,0,IF(AI8&lt;=총괄장!$P$6,-AI116*($D$117)*AI6/365,0))</f>
        <v>0</v>
      </c>
      <c r="AJ117" s="1150">
        <f>IF(AJ116&gt;=0,0,IF(AJ8&lt;=총괄장!$P$6,-AJ116*($D$117)*AJ6/365,0))</f>
        <v>0</v>
      </c>
      <c r="AK117" s="1150">
        <f>IF(AK116&gt;=0,0,IF(AK8&lt;=총괄장!$P$6,-AK116*($D$117)*AK6/365,0))</f>
        <v>0</v>
      </c>
      <c r="AL117" s="1150">
        <f>IF(AL116&gt;=0,0,IF(AL8&lt;=총괄장!$P$6,-AL116*($D$117)*AL6/365,0))</f>
        <v>0</v>
      </c>
      <c r="AM117" s="1150">
        <f>IF(AM116&gt;=0,0,IF(AM8&lt;=총괄장!$P$6,-AM116*($D$117)*AM6/365,0))</f>
        <v>0</v>
      </c>
      <c r="AN117" s="1150">
        <f>IF(AN116&gt;=0,0,IF(AN8&lt;=총괄장!$P$6,-AN116*($D$117)*AN6/365,0))</f>
        <v>0</v>
      </c>
      <c r="AO117" s="1150">
        <f>IF(AO116&gt;=0,0,IF(AO8&lt;=총괄장!$P$6,-AO116*($D$117)*AO6/365,0))</f>
        <v>0</v>
      </c>
      <c r="AP117" s="1150">
        <f>IF(AP116&gt;=0,0,IF(AP8&lt;=총괄장!$P$6,-AP116*($D$117)*AP6/365,0))</f>
        <v>0</v>
      </c>
      <c r="AQ117" s="1150">
        <f>IF(AQ116&gt;=0,0,IF(AQ8&lt;=총괄장!$P$6,-AQ116*($D$117)*AQ6/365,0))</f>
        <v>0</v>
      </c>
      <c r="AR117" s="1150">
        <f>IF(AR116&gt;=0,0,IF(AR8&lt;=총괄장!$P$6,-AR116*($D$117)*AR6/365,0))</f>
        <v>0</v>
      </c>
      <c r="AS117" s="1150">
        <f>IF(AS116&gt;=0,0,IF(AS8&lt;=총괄장!$P$6,-AS116*($D$117)*AS6/365,0))</f>
        <v>0</v>
      </c>
      <c r="AT117" s="1150">
        <f>IF(AT116&gt;=0,0,IF(AT8&lt;=총괄장!$P$6,-AT116*($D$117)*AT6/365,0))</f>
        <v>0</v>
      </c>
      <c r="AU117" s="1150">
        <f>IF(AU116&gt;=0,0,IF(AU8&lt;=총괄장!$P$6,-AU116*($D$117)*AU6/365,0))</f>
        <v>0</v>
      </c>
      <c r="AV117" s="1150">
        <f>IF(AV116&gt;=0,0,IF(AV8&lt;=총괄장!$P$6,-AV116*($D$117)*AV6/365,0))</f>
        <v>0</v>
      </c>
      <c r="AW117" s="1150">
        <f>IF(AW116&gt;=0,0,IF(AW8&lt;=총괄장!$P$6,-AW116*($D$117)*AW6/365,0))</f>
        <v>0</v>
      </c>
      <c r="AX117" s="1150">
        <f>IF(AX116&gt;=0,0,IF(AX8&lt;=총괄장!$P$6,-AX116*($D$117)*AX6/365,0))</f>
        <v>0</v>
      </c>
      <c r="AY117" s="1150">
        <f>IF(AY116&gt;=0,0,IF(AY8&lt;=총괄장!$P$6,-AY116*($D$117)*AY6/365,0))</f>
        <v>0</v>
      </c>
      <c r="AZ117" s="1150">
        <f>IF(AZ116&gt;=0,0,IF(AZ8&lt;=총괄장!$P$6,-AZ116*($D$117)*AZ6/365,0))</f>
        <v>0</v>
      </c>
      <c r="BA117" s="1150">
        <f>IF(BA116&gt;=0,0,IF(BA8&lt;=총괄장!$P$6,-BA116*($D$117)*BA6/365,0))</f>
        <v>0</v>
      </c>
      <c r="BB117" s="1150">
        <f>IF(BB116&gt;=0,0,IF(BB8&lt;=총괄장!$P$6,-BB116*($D$117)*BB6/365,0))</f>
        <v>0</v>
      </c>
      <c r="BC117" s="1150">
        <f>IF(BC116&gt;=0,0,IF(BC8&lt;=총괄장!$P$6,-BC116*($D$117)*BC6/365,0))</f>
        <v>0</v>
      </c>
      <c r="BD117" s="1150">
        <f>IF(BD116&gt;=0,0,IF(BD8&lt;=총괄장!$P$6,-BD116*($D$117)*BD6/365,0))</f>
        <v>0</v>
      </c>
      <c r="BE117" s="1150">
        <f>IF(BE116&gt;=0,0,IF(BE8&lt;=총괄장!$P$6,-BE116*($D$117)*BE6/365,0))</f>
        <v>0</v>
      </c>
      <c r="BF117" s="1150">
        <f>IF(BF116&gt;=0,0,IF(BF8&lt;=총괄장!$P$6,-BF116*($D$117)*BF6/365,0))</f>
        <v>0</v>
      </c>
      <c r="BG117" s="1150">
        <f>IF(BG116&gt;=0,0,IF(BG8&lt;=총괄장!$P$6,-BG116*($D$117)*BG6/365,0))</f>
        <v>0</v>
      </c>
      <c r="BH117" s="1150">
        <f>IF(BH116&gt;=0,0,IF(BH8&lt;=총괄장!$P$6,-BH116*($D$117)*BH6/365,0))</f>
        <v>0</v>
      </c>
      <c r="BI117" s="1150">
        <f>IF(BI116&gt;=0,0,IF(BI8&lt;=총괄장!$P$6,-BI116*($D$117)*BI6/365,0))</f>
        <v>0</v>
      </c>
      <c r="BJ117" s="1150">
        <f>IF(BJ116&gt;=0,0,IF(BJ8&lt;=총괄장!$P$6,-BJ116*($D$117)*BJ6/365,0))</f>
        <v>0</v>
      </c>
      <c r="BK117" s="1150">
        <f>IF(BK116&gt;=0,0,IF(BK8&lt;=총괄장!$P$6,-BK116*($D$117)*BK6/365,0))</f>
        <v>0</v>
      </c>
      <c r="BL117" s="1150">
        <f>IF(BL116&gt;=0,0,IF(BL8&lt;=총괄장!$P$6,-BL116*($D$117)*BL6/365,0))</f>
        <v>0</v>
      </c>
      <c r="BM117" s="1150">
        <f>IF(BM116&gt;=0,0,IF(BM8&lt;=총괄장!$P$6,-BM116*($D$117)*BM6/365,0))</f>
        <v>0</v>
      </c>
      <c r="BN117" s="1150">
        <f>IF(BN116&gt;=0,0,IF(BN8&lt;=총괄장!$P$6,-BN116*($D$117)*BN6/365,0))</f>
        <v>0</v>
      </c>
      <c r="BO117" s="1150">
        <f>IF(BO116&gt;=0,0,IF(BO8&lt;=총괄장!$P$6,-BO116*($D$117)*BO6/365,0))</f>
        <v>0</v>
      </c>
      <c r="BP117" s="1150">
        <f>IF(BP116&gt;=0,0,IF(BP8&lt;=총괄장!$P$6,-BP116*($D$117)*BP6/365,0))</f>
        <v>0</v>
      </c>
      <c r="BQ117" s="1150">
        <f>IF(BQ116&gt;=0,0,IF(BQ8&lt;=총괄장!$P$6,-BQ116*($D$117)*BQ6/365,0))</f>
        <v>0</v>
      </c>
      <c r="BR117" s="1150">
        <f>IF(BR116&gt;=0,0,IF(BR8&lt;=총괄장!$P$6,-BR116*($D$117)*BR6/365,0))</f>
        <v>0</v>
      </c>
      <c r="BS117" s="1150">
        <f>IF(BS116&gt;=0,0,IF(BS8&lt;=총괄장!$P$6,-BS116*($D$117)*BS6/365,0))</f>
        <v>0</v>
      </c>
      <c r="BT117" s="1150">
        <f>IF(BT116&gt;=0,0,IF(BT8&lt;=총괄장!$P$6,-BT116*($D$117)*BT6/365,0))</f>
        <v>0</v>
      </c>
      <c r="BU117" s="1150">
        <f>IF(BU116&gt;=0,0,IF(BU8&lt;=총괄장!$P$6,-BU116*($D$117)*BU6/365,0))</f>
        <v>0</v>
      </c>
      <c r="BV117" s="1150">
        <f>IF(BV116&gt;=0,0,IF(BV8&lt;=총괄장!$P$6,-BV116*($D$117)*BV6/365,0))</f>
        <v>0</v>
      </c>
      <c r="BW117" s="1150">
        <f>IF(BW116&gt;=0,0,IF(BW8&lt;=총괄장!$P$6,-BW116*($D$117)*BW6/365,0))</f>
        <v>0</v>
      </c>
      <c r="BX117" s="1150">
        <f>IF(BX116&gt;=0,0,IF(BX8&lt;=총괄장!$P$6,-BX116*($D$117)*BX6/365,0))</f>
        <v>0</v>
      </c>
      <c r="BY117" s="1148" t="str">
        <f t="shared" si="102"/>
        <v>대지급금리</v>
      </c>
      <c r="BZ117" s="1145"/>
      <c r="CA117" s="1932">
        <f>BX116-CA113</f>
        <v>-35930742.257879987</v>
      </c>
      <c r="CB117" s="662"/>
      <c r="CC117" s="662"/>
      <c r="CD117" s="662"/>
      <c r="CE117" s="662"/>
      <c r="CF117" s="662"/>
      <c r="CG117" s="662"/>
      <c r="CH117" s="662"/>
      <c r="CI117" s="662"/>
      <c r="CJ117" s="662"/>
      <c r="CK117" s="662"/>
    </row>
    <row r="118" spans="2:89" s="1038" customFormat="1">
      <c r="B118" s="1818" t="str">
        <f>총괄장!W13</f>
        <v>분양불</v>
      </c>
      <c r="C118" s="1818"/>
      <c r="D118" s="1141"/>
      <c r="E118" s="1231"/>
      <c r="F118" s="1142">
        <f t="shared" si="119"/>
        <v>0</v>
      </c>
      <c r="G118" s="998"/>
      <c r="H118" s="998"/>
      <c r="I118" s="998"/>
      <c r="J118" s="1225">
        <f>MIN(K116:BU116)</f>
        <v>1296050.5371416707</v>
      </c>
      <c r="K118" s="1222">
        <f>MIN(G116:AV116)</f>
        <v>0</v>
      </c>
      <c r="L118" s="998"/>
      <c r="M118" s="998"/>
      <c r="N118" s="998"/>
      <c r="O118" s="998"/>
      <c r="P118" s="998"/>
      <c r="Q118" s="998"/>
      <c r="R118" s="998"/>
      <c r="S118" s="998"/>
      <c r="T118" s="998"/>
      <c r="U118" s="998"/>
      <c r="V118" s="998"/>
      <c r="W118" s="998"/>
      <c r="X118" s="998"/>
      <c r="Y118" s="998"/>
      <c r="Z118" s="998"/>
      <c r="AA118" s="998"/>
      <c r="AB118" s="998"/>
      <c r="AC118" s="998"/>
      <c r="AD118" s="998"/>
      <c r="AE118" s="998"/>
      <c r="AF118" s="998"/>
      <c r="AG118" s="998"/>
      <c r="AH118" s="998"/>
      <c r="AI118" s="998"/>
      <c r="AJ118" s="998"/>
      <c r="AK118" s="998"/>
      <c r="AL118" s="998"/>
      <c r="AM118" s="998"/>
      <c r="AN118" s="998"/>
      <c r="AO118" s="998"/>
      <c r="AP118" s="998"/>
      <c r="AQ118" s="998"/>
      <c r="AR118" s="998"/>
      <c r="AS118" s="998"/>
      <c r="AT118" s="998"/>
      <c r="AU118" s="998"/>
      <c r="AV118" s="998"/>
      <c r="AW118" s="998"/>
      <c r="AX118" s="998"/>
      <c r="AY118" s="998"/>
      <c r="AZ118" s="998"/>
      <c r="BA118" s="998"/>
      <c r="BB118" s="998"/>
      <c r="BC118" s="998"/>
      <c r="BD118" s="998"/>
      <c r="BE118" s="998"/>
      <c r="BF118" s="998"/>
      <c r="BG118" s="998"/>
      <c r="BH118" s="998"/>
      <c r="BI118" s="998"/>
      <c r="BJ118" s="998"/>
      <c r="BK118" s="998"/>
      <c r="BL118" s="998"/>
      <c r="BM118" s="998"/>
      <c r="BN118" s="998"/>
      <c r="BO118" s="998"/>
      <c r="BP118" s="998"/>
      <c r="BQ118" s="998"/>
      <c r="BR118" s="998"/>
      <c r="BS118" s="998"/>
      <c r="BT118" s="998"/>
      <c r="BU118" s="998"/>
      <c r="BV118" s="1054"/>
      <c r="BW118" s="1054"/>
      <c r="BX118" s="998"/>
      <c r="BY118" s="1148" t="str">
        <f t="shared" si="102"/>
        <v>분양불</v>
      </c>
      <c r="BZ118" s="1037"/>
      <c r="CA118"/>
      <c r="CB118"/>
      <c r="CC118"/>
      <c r="CD118"/>
      <c r="CE118"/>
      <c r="CF118"/>
      <c r="CG118"/>
      <c r="CH118"/>
      <c r="CI118"/>
      <c r="CJ118"/>
      <c r="CK118"/>
    </row>
    <row r="119" spans="2:89" s="1038" customFormat="1" ht="18" thickBot="1">
      <c r="B119" s="1154" t="s">
        <v>1042</v>
      </c>
      <c r="C119" s="1155"/>
      <c r="D119" s="1155"/>
      <c r="E119" s="1113"/>
      <c r="F119" s="1058"/>
      <c r="G119" s="1056"/>
      <c r="H119" s="1057"/>
      <c r="I119" s="1156">
        <f t="shared" ref="I119:AM119" si="133">IF(I10="준공/입주",($G$119*-1),0)</f>
        <v>0</v>
      </c>
      <c r="J119" s="1156">
        <f>Equity!C5</f>
        <v>2000000</v>
      </c>
      <c r="K119" s="1156">
        <f t="shared" si="133"/>
        <v>0</v>
      </c>
      <c r="L119" s="1156">
        <f t="shared" si="133"/>
        <v>0</v>
      </c>
      <c r="M119" s="1156">
        <f t="shared" si="133"/>
        <v>0</v>
      </c>
      <c r="N119" s="1156">
        <f t="shared" si="133"/>
        <v>0</v>
      </c>
      <c r="O119" s="1156">
        <f t="shared" si="133"/>
        <v>0</v>
      </c>
      <c r="P119" s="1156">
        <f t="shared" si="133"/>
        <v>0</v>
      </c>
      <c r="Q119" s="1156">
        <f t="shared" si="133"/>
        <v>0</v>
      </c>
      <c r="R119" s="1156">
        <f t="shared" si="133"/>
        <v>0</v>
      </c>
      <c r="S119" s="1156">
        <f t="shared" si="133"/>
        <v>0</v>
      </c>
      <c r="T119" s="1156">
        <f t="shared" si="133"/>
        <v>0</v>
      </c>
      <c r="U119" s="1156">
        <f t="shared" si="133"/>
        <v>0</v>
      </c>
      <c r="V119" s="1156">
        <f t="shared" si="133"/>
        <v>0</v>
      </c>
      <c r="W119" s="1156">
        <f t="shared" si="133"/>
        <v>0</v>
      </c>
      <c r="X119" s="1156">
        <f t="shared" si="133"/>
        <v>0</v>
      </c>
      <c r="Y119" s="1156">
        <f t="shared" si="133"/>
        <v>0</v>
      </c>
      <c r="Z119" s="1156">
        <f t="shared" si="133"/>
        <v>0</v>
      </c>
      <c r="AA119" s="1156">
        <f t="shared" si="133"/>
        <v>0</v>
      </c>
      <c r="AB119" s="1156">
        <f t="shared" si="133"/>
        <v>0</v>
      </c>
      <c r="AC119" s="1156">
        <f t="shared" si="133"/>
        <v>0</v>
      </c>
      <c r="AD119" s="1156">
        <f t="shared" si="133"/>
        <v>0</v>
      </c>
      <c r="AE119" s="1156">
        <f t="shared" si="133"/>
        <v>0</v>
      </c>
      <c r="AF119" s="1156">
        <f t="shared" si="133"/>
        <v>0</v>
      </c>
      <c r="AG119" s="1156">
        <f t="shared" si="133"/>
        <v>0</v>
      </c>
      <c r="AH119" s="1156">
        <f t="shared" si="133"/>
        <v>0</v>
      </c>
      <c r="AI119" s="1156">
        <f t="shared" si="133"/>
        <v>0</v>
      </c>
      <c r="AJ119" s="1156">
        <f t="shared" si="133"/>
        <v>0</v>
      </c>
      <c r="AK119" s="1156">
        <f t="shared" si="133"/>
        <v>0</v>
      </c>
      <c r="AL119" s="1156">
        <f t="shared" si="133"/>
        <v>0</v>
      </c>
      <c r="AM119" s="1156">
        <f t="shared" si="133"/>
        <v>0</v>
      </c>
      <c r="AN119" s="1156">
        <f t="shared" ref="AN119:BT119" si="134">IF(AN10="준공/입주",($G$119*-1),0)</f>
        <v>0</v>
      </c>
      <c r="AO119" s="1156">
        <f t="shared" si="134"/>
        <v>0</v>
      </c>
      <c r="AP119" s="1156">
        <f t="shared" si="134"/>
        <v>0</v>
      </c>
      <c r="AQ119" s="1156">
        <f t="shared" si="134"/>
        <v>0</v>
      </c>
      <c r="AR119" s="1156">
        <f t="shared" si="134"/>
        <v>0</v>
      </c>
      <c r="AS119" s="1156">
        <f t="shared" si="134"/>
        <v>0</v>
      </c>
      <c r="AT119" s="1156">
        <f t="shared" si="134"/>
        <v>0</v>
      </c>
      <c r="AU119" s="1156">
        <f t="shared" si="134"/>
        <v>0</v>
      </c>
      <c r="AV119" s="1156">
        <f t="shared" si="134"/>
        <v>0</v>
      </c>
      <c r="AW119" s="1156">
        <f t="shared" si="134"/>
        <v>0</v>
      </c>
      <c r="AX119" s="1156">
        <f t="shared" si="134"/>
        <v>0</v>
      </c>
      <c r="AY119" s="1156">
        <f t="shared" si="134"/>
        <v>0</v>
      </c>
      <c r="AZ119" s="1156">
        <f t="shared" si="134"/>
        <v>0</v>
      </c>
      <c r="BA119" s="1156">
        <f t="shared" si="134"/>
        <v>0</v>
      </c>
      <c r="BB119" s="1156">
        <f t="shared" si="134"/>
        <v>0</v>
      </c>
      <c r="BC119" s="1156">
        <f t="shared" si="134"/>
        <v>0</v>
      </c>
      <c r="BD119" s="1156">
        <f t="shared" si="134"/>
        <v>0</v>
      </c>
      <c r="BE119" s="1156">
        <f t="shared" si="134"/>
        <v>0</v>
      </c>
      <c r="BF119" s="1156">
        <f t="shared" si="134"/>
        <v>0</v>
      </c>
      <c r="BG119" s="1156">
        <f t="shared" si="134"/>
        <v>0</v>
      </c>
      <c r="BH119" s="1156">
        <f t="shared" si="134"/>
        <v>0</v>
      </c>
      <c r="BI119" s="1156">
        <f t="shared" si="134"/>
        <v>0</v>
      </c>
      <c r="BJ119" s="1156">
        <f t="shared" si="134"/>
        <v>0</v>
      </c>
      <c r="BK119" s="1156">
        <f t="shared" si="134"/>
        <v>0</v>
      </c>
      <c r="BL119" s="1156">
        <f t="shared" si="134"/>
        <v>0</v>
      </c>
      <c r="BM119" s="1156">
        <f t="shared" si="134"/>
        <v>0</v>
      </c>
      <c r="BN119" s="1156">
        <f t="shared" si="134"/>
        <v>0</v>
      </c>
      <c r="BO119" s="1156">
        <f t="shared" si="134"/>
        <v>0</v>
      </c>
      <c r="BP119" s="1156">
        <f t="shared" si="134"/>
        <v>0</v>
      </c>
      <c r="BQ119" s="1156">
        <f t="shared" si="134"/>
        <v>0</v>
      </c>
      <c r="BR119" s="1156">
        <f t="shared" si="134"/>
        <v>0</v>
      </c>
      <c r="BS119" s="1156">
        <f t="shared" si="134"/>
        <v>0</v>
      </c>
      <c r="BT119" s="1156">
        <f t="shared" si="134"/>
        <v>0</v>
      </c>
      <c r="BU119" s="1156">
        <f t="shared" ref="BU119:BW119" si="135">IF(BU8="입주+3",($J$119*-1),0)</f>
        <v>0</v>
      </c>
      <c r="BV119" s="1156">
        <f t="shared" si="135"/>
        <v>0</v>
      </c>
      <c r="BW119" s="1156">
        <f t="shared" si="135"/>
        <v>0</v>
      </c>
      <c r="BX119" s="1156">
        <f>-J119</f>
        <v>-2000000</v>
      </c>
      <c r="BY119" s="1148" t="str">
        <f t="shared" si="102"/>
        <v>Equity</v>
      </c>
      <c r="BZ119" s="1037"/>
      <c r="CA119"/>
      <c r="CB119"/>
      <c r="CC119"/>
      <c r="CD119"/>
      <c r="CE119"/>
      <c r="CF119"/>
      <c r="CG119"/>
      <c r="CH119"/>
      <c r="CI119"/>
      <c r="CJ119"/>
      <c r="CK119"/>
    </row>
    <row r="120" spans="2:89" s="1038" customFormat="1" ht="18" thickBot="1">
      <c r="B120" s="1157" t="s">
        <v>1043</v>
      </c>
      <c r="C120" s="1164"/>
      <c r="D120" s="1202">
        <f>K120</f>
        <v>22000000</v>
      </c>
      <c r="E120" s="1158">
        <f>SUM(L120:BU120)</f>
        <v>0</v>
      </c>
      <c r="F120" s="1159"/>
      <c r="G120" s="1160"/>
      <c r="H120" s="1161"/>
      <c r="I120" s="1669"/>
      <c r="J120" s="1672"/>
      <c r="K120" s="1675">
        <f>'사업수지표 '!R42</f>
        <v>22000000</v>
      </c>
      <c r="L120" s="944"/>
      <c r="M120" s="944"/>
      <c r="N120" s="944"/>
      <c r="O120" s="944"/>
      <c r="P120" s="944"/>
      <c r="Q120" s="944"/>
      <c r="R120" s="944"/>
      <c r="S120" s="944"/>
      <c r="T120" s="944"/>
      <c r="U120" s="944"/>
      <c r="V120" s="944"/>
      <c r="W120" s="944"/>
      <c r="X120" s="944"/>
      <c r="Y120" s="944"/>
      <c r="Z120" s="944"/>
      <c r="AA120" s="944"/>
      <c r="AB120" s="944"/>
      <c r="AC120" s="944"/>
      <c r="AD120" s="944"/>
      <c r="AE120" s="944"/>
      <c r="AF120" s="944"/>
      <c r="AG120" s="944"/>
      <c r="AH120" s="944"/>
      <c r="AI120" s="944"/>
      <c r="AJ120" s="944"/>
      <c r="AK120" s="944"/>
      <c r="AL120" s="944"/>
      <c r="AM120" s="944"/>
      <c r="AN120" s="944"/>
      <c r="AO120" s="944"/>
      <c r="AP120" s="944"/>
      <c r="AQ120" s="944"/>
      <c r="AR120" s="1394"/>
      <c r="AS120" s="944"/>
      <c r="AT120" s="944"/>
      <c r="AU120" s="944"/>
      <c r="AV120" s="944"/>
      <c r="AW120" s="944"/>
      <c r="AX120" s="944"/>
      <c r="AY120" s="944"/>
      <c r="AZ120" s="944"/>
      <c r="BA120" s="944"/>
      <c r="BB120" s="944"/>
      <c r="BC120" s="944"/>
      <c r="BD120" s="944"/>
      <c r="BE120" s="944"/>
      <c r="BF120" s="944"/>
      <c r="BG120" s="944"/>
      <c r="BH120" s="944"/>
      <c r="BI120" s="944"/>
      <c r="BJ120" s="944"/>
      <c r="BK120" s="944"/>
      <c r="BL120" s="944"/>
      <c r="BM120" s="944"/>
      <c r="BN120" s="944"/>
      <c r="BO120" s="944"/>
      <c r="BP120" s="944"/>
      <c r="BQ120" s="944"/>
      <c r="BR120" s="944"/>
      <c r="BS120" s="944"/>
      <c r="BT120" s="944"/>
      <c r="BU120" s="944"/>
      <c r="BV120" s="1395"/>
      <c r="BW120" s="1904"/>
      <c r="BX120" s="945"/>
      <c r="BY120" s="1393" t="str">
        <f t="shared" si="102"/>
        <v>Tr.A 인출</v>
      </c>
      <c r="BZ120" s="1037"/>
      <c r="CA120"/>
      <c r="CB120"/>
      <c r="CC120"/>
      <c r="CD120"/>
      <c r="CE120"/>
      <c r="CF120"/>
      <c r="CG120"/>
      <c r="CH120"/>
      <c r="CI120"/>
      <c r="CJ120"/>
      <c r="CK120"/>
    </row>
    <row r="121" spans="2:89" s="1038" customFormat="1">
      <c r="B121" s="1157" t="s">
        <v>1044</v>
      </c>
      <c r="C121" s="1164"/>
      <c r="D121" s="1164"/>
      <c r="E121" s="1158">
        <f>SUM(G121:BX121)</f>
        <v>14000000</v>
      </c>
      <c r="F121" s="1159">
        <f t="shared" si="119"/>
        <v>0</v>
      </c>
      <c r="G121" s="1160"/>
      <c r="H121" s="1162"/>
      <c r="I121" s="1165"/>
      <c r="J121" s="1165"/>
      <c r="K121" s="1165"/>
      <c r="L121" s="1165">
        <f>IF((MIN(ROUNDDOWN(L149,-6)-SUM($J$121:K121)))&lt;0,0,(MIN(ROUNDDOWN(L149,-6)-SUM($J$121:K121),K122)))</f>
        <v>0</v>
      </c>
      <c r="M121" s="1165">
        <f>IF((MIN(ROUNDDOWN(M149,-6)-SUM($J$121:L121)))&lt;0,0,(MIN(ROUNDDOWN(M149,-6)-SUM($J$121:L121),L122)))</f>
        <v>0</v>
      </c>
      <c r="N121" s="1165">
        <f>IF((MIN(ROUNDDOWN(N149,-6)-SUM($J$121:M121)))&lt;0,0,(MIN(ROUNDDOWN(N149,-6)-SUM($J$121:M121),M122)))</f>
        <v>0</v>
      </c>
      <c r="O121" s="1165">
        <f>IF((MIN(ROUNDDOWN(O149,-6)-SUM($J$121:N121)))&lt;0,0,(MIN(ROUNDDOWN(O149,-6)-SUM($J$121:N121),N122)))</f>
        <v>1000000</v>
      </c>
      <c r="P121" s="1165">
        <f>IF((MIN(ROUNDDOWN(P149,-6)-SUM($J$121:O121)))&lt;0,0,(MIN(ROUNDDOWN(P149,-6)-SUM($J$121:O121),O122)))</f>
        <v>0</v>
      </c>
      <c r="Q121" s="1165">
        <f>IF((MIN(ROUNDDOWN(Q149,-6)-SUM($J$121:P121)))&lt;0,0,(MIN(ROUNDDOWN(Q149,-6)-SUM($J$121:P121),P122)))</f>
        <v>0</v>
      </c>
      <c r="R121" s="1165">
        <f>IF((MIN(ROUNDDOWN(R149,-6)-SUM($J$121:Q121)))&lt;0,0,(MIN(ROUNDDOWN(R149,-6)-SUM($J$121:Q121),Q122)))</f>
        <v>3000000</v>
      </c>
      <c r="S121" s="1165">
        <f>IF((MIN(ROUNDDOWN(S149,-6)-SUM($J$121:R121)))&lt;0,0,(MIN(ROUNDDOWN(S149,-6)-SUM($J$121:R121),R122)))</f>
        <v>0</v>
      </c>
      <c r="T121" s="1165">
        <f>IF((MIN(ROUNDDOWN(T149,-6)-SUM($J$121:S121)))&lt;0,0,(MIN(ROUNDDOWN(T149,-6)-SUM($J$121:S121),S122)))</f>
        <v>0</v>
      </c>
      <c r="U121" s="1165">
        <f>IF((MIN(ROUNDDOWN(U149,-6)-SUM($J$121:T121)))&lt;0,0,(MIN(ROUNDDOWN(U149,-6)-SUM($J$121:T121),T122)))</f>
        <v>1000000</v>
      </c>
      <c r="V121" s="1165">
        <f>IF((MIN(ROUNDDOWN(V149,-6)-SUM($J$121:U121)))&lt;0,0,(MIN(ROUNDDOWN(V149,-6)-SUM($J$121:U121),U122)))</f>
        <v>3000000</v>
      </c>
      <c r="W121" s="1165">
        <f>IF((MIN(ROUNDDOWN(W149,-6)-SUM($J$121:V121)))&lt;0,0,(MIN(ROUNDDOWN(W149,-6)-SUM($J$121:V121),V122)))</f>
        <v>0</v>
      </c>
      <c r="X121" s="1165">
        <f>IF((MIN(ROUNDDOWN(X149,-6)-SUM($J$121:W121)))&lt;0,0,(MIN(ROUNDDOWN(X149,-6)-SUM($J$121:W121),W122)))</f>
        <v>0</v>
      </c>
      <c r="Y121" s="1165">
        <f>IF((MIN(ROUNDDOWN(Y149,-6)-SUM($J$121:X121)))&lt;0,0,(MIN(ROUNDDOWN(Y149,-6)-SUM($J$121:X121),X122)))</f>
        <v>1000000</v>
      </c>
      <c r="Z121" s="1165">
        <f>IF((MIN(ROUNDDOWN(Z149,-6)-SUM($J$121:Y121)))&lt;0,0,(MIN(ROUNDDOWN(Z149,-6)-SUM($J$121:Y121),Y122)))</f>
        <v>3000000</v>
      </c>
      <c r="AA121" s="1165">
        <f>IF((MIN(ROUNDDOWN(AA149,-6)-SUM($J$121:Z121)))&lt;0,0,(MIN(ROUNDDOWN(AA149,-6)-SUM($J$121:Z121),Z122)))</f>
        <v>0</v>
      </c>
      <c r="AB121" s="1165">
        <f>IF((MIN(ROUNDDOWN(AB149,-6)-SUM($J$121:AA121)))&lt;0,0,(MIN(ROUNDDOWN(AB149,-6)-SUM($J$121:AA121),AA122)))</f>
        <v>0</v>
      </c>
      <c r="AC121" s="1165">
        <f>IF((MIN(ROUNDDOWN(AC149,-6)-SUM($J$121:AB121)))&lt;0,0,(MIN(ROUNDDOWN(AC149,-6)-SUM($J$121:AB121),AB122)))</f>
        <v>0</v>
      </c>
      <c r="AD121" s="1165">
        <f>IF((MIN(ROUNDDOWN(AD149,-6)-SUM($J$121:AC121)))&lt;0,0,(MIN(ROUNDDOWN(AD149,-6)-SUM($J$121:AC121),AC122)))</f>
        <v>2000000</v>
      </c>
      <c r="AE121" s="1165">
        <f>IF((MIN(ROUNDDOWN(AE149,-6)-SUM($J$121:AD121)))&lt;0,0,(MIN(ROUNDDOWN(AE149,-6)-SUM($J$121:AD121),AD122)))</f>
        <v>0</v>
      </c>
      <c r="AF121" s="1165">
        <f>IF((MIN(ROUNDDOWN(AF149,-6)-SUM($J$121:AE121)))&lt;0,0,(MIN(ROUNDDOWN(AF149,-6)-SUM($J$121:AE121),AE122)))</f>
        <v>0</v>
      </c>
      <c r="AG121" s="1165">
        <f>IF((MIN(ROUNDDOWN(AG149,-6)-SUM($J$121:AF121)))&lt;0,0,(MIN(ROUNDDOWN(AG149,-6)-SUM($J$121:AF121),AF122)))</f>
        <v>0</v>
      </c>
      <c r="AH121" s="1165">
        <f>IF((MIN(ROUNDDOWN(AH149,-6)-SUM($J$121:AG121)))&lt;0,0,(MIN(ROUNDDOWN(AH149,-6)-SUM($J$121:AG121),AG122)))</f>
        <v>0</v>
      </c>
      <c r="AI121" s="1165">
        <f>IF((MIN(ROUNDDOWN(AI149,-6)-SUM($J$121:AH121)))&lt;0,0,(MIN(ROUNDDOWN(AI149,-6)-SUM($J$121:AH121),AH122)))</f>
        <v>0</v>
      </c>
      <c r="AJ121" s="1165">
        <f>IF((MIN(ROUNDDOWN(AJ149,-6)-SUM($J$121:AI121)))&lt;0,0,(MIN(ROUNDDOWN(AJ149,-6)-SUM($J$121:AI121),AI122)))</f>
        <v>0</v>
      </c>
      <c r="AK121" s="1165">
        <f>IF((MIN(ROUNDDOWN(AK149,-6)-SUM($J$121:AJ121)))&lt;0,0,(MIN(ROUNDDOWN(AK149,-6)-SUM($J$121:AJ121),AJ122)))</f>
        <v>0</v>
      </c>
      <c r="AL121" s="1165">
        <f>IF((MIN(ROUNDDOWN(AL149,-6)-SUM($J$121:AK121)))&lt;0,0,(MIN(ROUNDDOWN(AL149,-6)-SUM($J$121:AK121),AK122)))</f>
        <v>0</v>
      </c>
      <c r="AM121" s="1165">
        <f>IF((MIN(ROUNDDOWN(AM149,-6)-SUM($J$121:AL121)))&lt;0,0,(MIN(ROUNDDOWN(AM149,-6)-SUM($J$121:AL121),AL122)))</f>
        <v>0</v>
      </c>
      <c r="AN121" s="1165">
        <f>IF((MIN(ROUNDDOWN(AN149,-6)-SUM($J$121:AM121)))&lt;0,0,(MIN(ROUNDDOWN(AN149,-6)-SUM($J$121:AM121),AM122)))</f>
        <v>0</v>
      </c>
      <c r="AO121" s="1165">
        <f>IF((MIN(ROUNDDOWN(AO149,-6)-SUM($J$121:AN121)))&lt;0,0,(MIN(ROUNDDOWN(AO149,-6)-SUM($J$121:AN121),AN122)))</f>
        <v>0</v>
      </c>
      <c r="AP121" s="1165">
        <f>IF((MIN(ROUNDDOWN(AP149,-6)-SUM($J$121:AO121)))&lt;0,0,(MIN(ROUNDDOWN(AP149,-6)-SUM($J$121:AO121),AO122)))</f>
        <v>0</v>
      </c>
      <c r="AQ121" s="1165">
        <f>IF((MIN(ROUNDDOWN(AQ149,-6)-SUM($J$121:AP121)))&lt;0,0,(MIN(ROUNDDOWN(AQ149,-6)-SUM($J$121:AP121),AP122)))</f>
        <v>0</v>
      </c>
      <c r="AR121" s="1165">
        <f>IF((MIN(ROUNDDOWN(AR149,-6)-SUM($J$121:AQ121)))&lt;0,0,(MIN(ROUNDDOWN(AR149,-6)-SUM($J$121:AQ121),AQ122)))</f>
        <v>0</v>
      </c>
      <c r="AS121" s="1165">
        <f>IF((MIN(ROUNDDOWN(AS149,-6)-SUM($J$121:AR121)))&lt;0,0,(MIN(ROUNDDOWN(AS149,-6)-SUM($J$121:AR121),AR122)))</f>
        <v>0</v>
      </c>
      <c r="AT121" s="1165">
        <f>IF((MIN(ROUNDDOWN(AT149,-6)-SUM($J$121:AS121)))&lt;0,0,(MIN(ROUNDDOWN(AT149,-6)-SUM($J$121:AS121),AS122)))</f>
        <v>0</v>
      </c>
      <c r="AU121" s="1165">
        <f>IF((MIN(ROUNDDOWN(AU149,-6)-SUM($J$121:AT121)))&lt;0,0,(MIN(ROUNDDOWN(AU149,-6)-SUM($J$121:AT121),AT122)))</f>
        <v>0</v>
      </c>
      <c r="AV121" s="1165">
        <f>IF((MIN(ROUNDDOWN(AV149,-6)-SUM($J$121:AU121)))&lt;0,0,(MIN(ROUNDDOWN(AV149,-6)-SUM($J$121:AU121),AU122)))</f>
        <v>0</v>
      </c>
      <c r="AW121" s="1165">
        <f>IF((MIN(ROUNDDOWN(AW149,-6)-SUM($J$121:AV121)))&lt;0,0,(MIN(ROUNDDOWN(AW149,-6)-SUM($J$121:AV121),AV122)))</f>
        <v>0</v>
      </c>
      <c r="AX121" s="1165">
        <f>IF((MIN(ROUNDDOWN(AX149,-6)-SUM($J$121:AW121)))&lt;0,0,(MIN(ROUNDDOWN(AX149,-6)-SUM($J$121:AW121),AW122)))</f>
        <v>0</v>
      </c>
      <c r="AY121" s="1165">
        <f>IF((MIN(ROUNDDOWN(AY149,-6)-SUM($J$121:AX121)))&lt;0,0,(MIN(ROUNDDOWN(AY149,-6)-SUM($J$121:AX121),AX122)))</f>
        <v>0</v>
      </c>
      <c r="AZ121" s="1165">
        <f>IF((MIN(ROUNDDOWN(AZ149,-6)-SUM($J$121:AY121)))&lt;0,0,(MIN(ROUNDDOWN(AZ149,-6)-SUM($J$121:AY121),AY122)))</f>
        <v>0</v>
      </c>
      <c r="BA121" s="1165">
        <f>IF((MIN(ROUNDDOWN(BA149,-6)-SUM($J$121:AZ121)))&lt;0,0,(MIN(ROUNDDOWN(BA149,-6)-SUM($J$121:AZ121),AZ122)))</f>
        <v>0</v>
      </c>
      <c r="BB121" s="1165">
        <f>IF((MIN(ROUNDDOWN(BB149,-6)-SUM($J$121:BA121)))&lt;0,0,(MIN(ROUNDDOWN(BB149,-6)-SUM($J$121:BA121),BA122)))</f>
        <v>0</v>
      </c>
      <c r="BC121" s="1165">
        <f>IF((MIN(ROUNDDOWN(BC149,-6)-SUM($J$121:BB121)))&lt;0,0,(MIN(ROUNDDOWN(BC149,-6)-SUM($J$121:BB121),BB122)))</f>
        <v>0</v>
      </c>
      <c r="BD121" s="1165">
        <f>IF((MIN(ROUNDDOWN(BD149,-6)-SUM($J$121:BC121)))&lt;0,0,(MIN(ROUNDDOWN(BD149,-6)-SUM($J$121:BC121),BC122)))</f>
        <v>0</v>
      </c>
      <c r="BE121" s="1165">
        <f>IF((MIN(ROUNDDOWN(BE149,-6)-SUM($J$121:BD121)))&lt;0,0,(MIN(ROUNDDOWN(BE149,-6)-SUM($J$121:BD121),BD122)))</f>
        <v>0</v>
      </c>
      <c r="BF121" s="1165">
        <f>IF((MIN(ROUNDDOWN(BF149,-6)-SUM($J$121:BE121)))&lt;0,0,(MIN(ROUNDDOWN(BF149,-6)-SUM($J$121:BE121),BE122)))</f>
        <v>0</v>
      </c>
      <c r="BG121" s="1165">
        <f>IF((MIN(ROUNDDOWN(BG149,-6)-SUM($J$121:BF121)))&lt;0,0,(MIN(ROUNDDOWN(BG149,-6)-SUM($J$121:BF121),BF122)))</f>
        <v>0</v>
      </c>
      <c r="BH121" s="1165">
        <f>IF((MIN(ROUNDDOWN(BH149,-6)-SUM($J$121:BG121)))&lt;0,0,(MIN(ROUNDDOWN(BH149,-6)-SUM($J$121:BG121),BG122)))</f>
        <v>0</v>
      </c>
      <c r="BI121" s="1165">
        <f>IF((MIN(ROUNDDOWN(BI149,-6)-SUM($J$121:BH121)))&lt;0,0,(MIN(ROUNDDOWN(BI149,-6)-SUM($J$121:BH121),BH122)))</f>
        <v>0</v>
      </c>
      <c r="BJ121" s="1165">
        <f>IF((MIN(ROUNDDOWN(BJ149,-6)-SUM($J$121:BI121)))&lt;0,0,(MIN(ROUNDDOWN(BJ149,-6)-SUM($J$121:BI121),BI122)))</f>
        <v>0</v>
      </c>
      <c r="BK121" s="1165">
        <f>IF((MIN(ROUNDDOWN(BK149,-6)-SUM($J$121:BJ121)))&lt;0,0,(MIN(ROUNDDOWN(BK149,-6)-SUM($J$121:BJ121),BJ122)))</f>
        <v>0</v>
      </c>
      <c r="BL121" s="1165">
        <f>IF((MIN(ROUNDDOWN(BL149,-6)-SUM($J$121:BK121)))&lt;0,0,(MIN(ROUNDDOWN(BL149,-6)-SUM($J$121:BK121),BK122)))</f>
        <v>0</v>
      </c>
      <c r="BM121" s="1165">
        <f>IF((MIN(ROUNDDOWN(BM149,-6)-SUM($J$121:BL121)))&lt;0,0,(MIN(ROUNDDOWN(BM149,-6)-SUM($J$121:BL121),BL122)))</f>
        <v>0</v>
      </c>
      <c r="BN121" s="1165">
        <f>IF((MIN(ROUNDDOWN(BN149,-6)-SUM($J$121:BM121)))&lt;0,0,(MIN(ROUNDDOWN(BN149,-6)-SUM($J$121:BM121),BM122)))</f>
        <v>0</v>
      </c>
      <c r="BO121" s="1165">
        <f>IF((MIN(ROUNDDOWN(BO149,-6)-SUM($J$121:BN121)))&lt;0,0,(MIN(ROUNDDOWN(BO149,-6)-SUM($J$121:BN121),BN122)))</f>
        <v>0</v>
      </c>
      <c r="BP121" s="1165">
        <f>IF((MIN(ROUNDDOWN(BP149,-6)-SUM($J$121:BO121)))&lt;0,0,(MIN(ROUNDDOWN(BP149,-6)-SUM($J$121:BO121),BO122)))</f>
        <v>0</v>
      </c>
      <c r="BQ121" s="1165">
        <f>IF((MIN(ROUNDDOWN(BQ149,-6)-SUM($J$121:BP121)))&lt;0,0,(MIN(ROUNDDOWN(BQ149,-6)-SUM($J$121:BP121),BP122)))</f>
        <v>0</v>
      </c>
      <c r="BR121" s="1165">
        <f>IF((MIN(ROUNDDOWN(BR149,-6)-SUM($J$121:BQ121)))&lt;0,0,(MIN(ROUNDDOWN(BR149,-6)-SUM($J$121:BQ121),BQ122)))</f>
        <v>0</v>
      </c>
      <c r="BS121" s="1165">
        <f>IF((MIN(ROUNDDOWN(BS149,-6)-SUM($J$121:BR121)))&lt;0,0,(MIN(ROUNDDOWN(BS149,-6)-SUM($J$121:BR121),BR122)))</f>
        <v>0</v>
      </c>
      <c r="BT121" s="1165">
        <f>IF((MIN(ROUNDDOWN(BT149,-6)-SUM($J$121:BS121)))&lt;0,0,(MIN(ROUNDDOWN(BT149,-6)-SUM($J$121:BS121),BS122)))</f>
        <v>0</v>
      </c>
      <c r="BU121" s="1165">
        <f>IF((MIN(ROUNDDOWN(BU149,-6)-SUM($J$121:BT121)))&lt;0,0,(MIN(ROUNDDOWN(BU149,-6)-SUM($J$121:BT121),BT122)))</f>
        <v>0</v>
      </c>
      <c r="BV121" s="1165"/>
      <c r="BW121" s="1165"/>
      <c r="BX121" s="1165"/>
      <c r="BY121" s="1163" t="str">
        <f t="shared" si="102"/>
        <v>Tr.A 한도차감</v>
      </c>
      <c r="BZ121" s="1037"/>
      <c r="CA121"/>
      <c r="CB121"/>
      <c r="CC121"/>
      <c r="CD121"/>
      <c r="CE121"/>
      <c r="CF121"/>
      <c r="CG121"/>
      <c r="CH121"/>
      <c r="CI121"/>
      <c r="CJ121"/>
      <c r="CK121"/>
    </row>
    <row r="122" spans="2:89" s="1038" customFormat="1">
      <c r="B122" s="1157" t="s">
        <v>1045</v>
      </c>
      <c r="C122" s="1164"/>
      <c r="D122" s="1164"/>
      <c r="E122" s="1158">
        <f>K122</f>
        <v>14000000</v>
      </c>
      <c r="F122" s="1159">
        <f t="shared" si="119"/>
        <v>0</v>
      </c>
      <c r="G122" s="1160"/>
      <c r="H122" s="1162"/>
      <c r="I122" s="1162"/>
      <c r="J122" s="1162"/>
      <c r="K122" s="1162">
        <f>'사업수지표 '!$R$63-K120-K123</f>
        <v>14000000</v>
      </c>
      <c r="L122" s="1162">
        <f>K122-L121-L120-L123</f>
        <v>14000000</v>
      </c>
      <c r="M122" s="1162">
        <f t="shared" ref="M122:BU122" si="136">L122-M121-M120-M123</f>
        <v>14000000</v>
      </c>
      <c r="N122" s="1162">
        <f t="shared" si="136"/>
        <v>14000000</v>
      </c>
      <c r="O122" s="1162">
        <f t="shared" si="136"/>
        <v>13000000</v>
      </c>
      <c r="P122" s="1162">
        <f t="shared" si="136"/>
        <v>13000000</v>
      </c>
      <c r="Q122" s="1162">
        <f t="shared" si="136"/>
        <v>13000000</v>
      </c>
      <c r="R122" s="1162">
        <f t="shared" si="136"/>
        <v>10000000</v>
      </c>
      <c r="S122" s="1162">
        <f t="shared" si="136"/>
        <v>10000000</v>
      </c>
      <c r="T122" s="1162">
        <f t="shared" si="136"/>
        <v>10000000</v>
      </c>
      <c r="U122" s="1162">
        <f t="shared" si="136"/>
        <v>9000000</v>
      </c>
      <c r="V122" s="1162">
        <f t="shared" si="136"/>
        <v>6000000</v>
      </c>
      <c r="W122" s="1162">
        <f t="shared" si="136"/>
        <v>6000000</v>
      </c>
      <c r="X122" s="1162">
        <f t="shared" si="136"/>
        <v>6000000</v>
      </c>
      <c r="Y122" s="1162">
        <f t="shared" si="136"/>
        <v>5000000</v>
      </c>
      <c r="Z122" s="1162">
        <f t="shared" si="136"/>
        <v>2000000</v>
      </c>
      <c r="AA122" s="1162">
        <f>Z122-AA121-AA120-AA123</f>
        <v>2000000</v>
      </c>
      <c r="AB122" s="1162">
        <f t="shared" si="136"/>
        <v>2000000</v>
      </c>
      <c r="AC122" s="1162">
        <f t="shared" si="136"/>
        <v>2000000</v>
      </c>
      <c r="AD122" s="1162">
        <f t="shared" si="136"/>
        <v>0</v>
      </c>
      <c r="AE122" s="1162">
        <f t="shared" si="136"/>
        <v>0</v>
      </c>
      <c r="AF122" s="1162">
        <f t="shared" si="136"/>
        <v>0</v>
      </c>
      <c r="AG122" s="1162">
        <f t="shared" si="136"/>
        <v>0</v>
      </c>
      <c r="AH122" s="1162">
        <f t="shared" si="136"/>
        <v>0</v>
      </c>
      <c r="AI122" s="1162">
        <f t="shared" si="136"/>
        <v>0</v>
      </c>
      <c r="AJ122" s="1162">
        <f t="shared" si="136"/>
        <v>0</v>
      </c>
      <c r="AK122" s="1162">
        <f t="shared" si="136"/>
        <v>0</v>
      </c>
      <c r="AL122" s="1162">
        <f t="shared" si="136"/>
        <v>0</v>
      </c>
      <c r="AM122" s="1162">
        <f t="shared" si="136"/>
        <v>0</v>
      </c>
      <c r="AN122" s="1162">
        <f t="shared" si="136"/>
        <v>0</v>
      </c>
      <c r="AO122" s="1162">
        <f t="shared" si="136"/>
        <v>0</v>
      </c>
      <c r="AP122" s="1162">
        <f t="shared" si="136"/>
        <v>0</v>
      </c>
      <c r="AQ122" s="1162">
        <f t="shared" si="136"/>
        <v>0</v>
      </c>
      <c r="AR122" s="1162">
        <f t="shared" si="136"/>
        <v>0</v>
      </c>
      <c r="AS122" s="1162">
        <f t="shared" si="136"/>
        <v>0</v>
      </c>
      <c r="AT122" s="1162">
        <f t="shared" si="136"/>
        <v>0</v>
      </c>
      <c r="AU122" s="1162">
        <f t="shared" si="136"/>
        <v>0</v>
      </c>
      <c r="AV122" s="1162">
        <f t="shared" si="136"/>
        <v>0</v>
      </c>
      <c r="AW122" s="1162">
        <f t="shared" si="136"/>
        <v>0</v>
      </c>
      <c r="AX122" s="1162">
        <f t="shared" si="136"/>
        <v>0</v>
      </c>
      <c r="AY122" s="1162">
        <f t="shared" si="136"/>
        <v>0</v>
      </c>
      <c r="AZ122" s="1162">
        <f t="shared" si="136"/>
        <v>0</v>
      </c>
      <c r="BA122" s="1162">
        <f t="shared" si="136"/>
        <v>0</v>
      </c>
      <c r="BB122" s="1162">
        <f t="shared" si="136"/>
        <v>0</v>
      </c>
      <c r="BC122" s="1162">
        <f t="shared" si="136"/>
        <v>0</v>
      </c>
      <c r="BD122" s="1162">
        <f t="shared" si="136"/>
        <v>0</v>
      </c>
      <c r="BE122" s="1162">
        <f t="shared" si="136"/>
        <v>0</v>
      </c>
      <c r="BF122" s="1162">
        <f t="shared" si="136"/>
        <v>0</v>
      </c>
      <c r="BG122" s="1162">
        <f t="shared" si="136"/>
        <v>0</v>
      </c>
      <c r="BH122" s="1162">
        <f t="shared" si="136"/>
        <v>0</v>
      </c>
      <c r="BI122" s="1162">
        <f t="shared" si="136"/>
        <v>0</v>
      </c>
      <c r="BJ122" s="1162">
        <f t="shared" si="136"/>
        <v>0</v>
      </c>
      <c r="BK122" s="1162">
        <f t="shared" si="136"/>
        <v>0</v>
      </c>
      <c r="BL122" s="1162">
        <f t="shared" si="136"/>
        <v>0</v>
      </c>
      <c r="BM122" s="1162">
        <f t="shared" si="136"/>
        <v>0</v>
      </c>
      <c r="BN122" s="1162">
        <f t="shared" si="136"/>
        <v>0</v>
      </c>
      <c r="BO122" s="1162">
        <f t="shared" si="136"/>
        <v>0</v>
      </c>
      <c r="BP122" s="1162">
        <f t="shared" si="136"/>
        <v>0</v>
      </c>
      <c r="BQ122" s="1162">
        <f t="shared" si="136"/>
        <v>0</v>
      </c>
      <c r="BR122" s="1162">
        <f t="shared" si="136"/>
        <v>0</v>
      </c>
      <c r="BS122" s="1162">
        <f t="shared" si="136"/>
        <v>0</v>
      </c>
      <c r="BT122" s="1162">
        <f t="shared" si="136"/>
        <v>0</v>
      </c>
      <c r="BU122" s="1162">
        <f t="shared" si="136"/>
        <v>0</v>
      </c>
      <c r="BV122" s="1162"/>
      <c r="BW122" s="1162"/>
      <c r="BX122" s="1162"/>
      <c r="BY122" s="1163" t="str">
        <f t="shared" si="102"/>
        <v>Tr.A 한도잔액</v>
      </c>
      <c r="BZ122" s="1199"/>
      <c r="CA122"/>
      <c r="CB122"/>
      <c r="CC122"/>
      <c r="CD122"/>
      <c r="CE122"/>
      <c r="CF122"/>
      <c r="CG122"/>
      <c r="CH122"/>
      <c r="CI122"/>
      <c r="CJ122"/>
      <c r="CK122"/>
    </row>
    <row r="123" spans="2:89" s="1038" customFormat="1">
      <c r="B123" s="1157" t="s">
        <v>1046</v>
      </c>
      <c r="C123" s="1164"/>
      <c r="D123" s="1164"/>
      <c r="E123" s="1166">
        <f>SUM(G123:BX123)</f>
        <v>22000000</v>
      </c>
      <c r="F123" s="1159">
        <f t="shared" si="119"/>
        <v>0</v>
      </c>
      <c r="G123" s="1160"/>
      <c r="H123" s="1162"/>
      <c r="I123" s="1162"/>
      <c r="J123" s="1162"/>
      <c r="K123" s="1163"/>
      <c r="L123" s="1163"/>
      <c r="M123" s="1163"/>
      <c r="N123" s="1163"/>
      <c r="O123" s="1163"/>
      <c r="P123" s="1163"/>
      <c r="Q123" s="1163"/>
      <c r="R123" s="1163"/>
      <c r="S123" s="1163"/>
      <c r="T123" s="1163"/>
      <c r="U123" s="1163"/>
      <c r="V123" s="1163"/>
      <c r="W123" s="1163"/>
      <c r="X123" s="1163"/>
      <c r="Y123" s="1163"/>
      <c r="Z123" s="1163"/>
      <c r="AA123" s="1163"/>
      <c r="AB123" s="1163"/>
      <c r="AC123" s="1163"/>
      <c r="AD123" s="1163"/>
      <c r="AE123" s="1163"/>
      <c r="AF123" s="1163"/>
      <c r="AG123" s="1163"/>
      <c r="AH123" s="1163"/>
      <c r="AI123" s="1163"/>
      <c r="AJ123" s="1163"/>
      <c r="AK123" s="1163"/>
      <c r="AL123" s="1163"/>
      <c r="AM123" s="1163"/>
      <c r="AN123" s="1163"/>
      <c r="AO123" s="1163"/>
      <c r="AP123" s="1163"/>
      <c r="AQ123" s="1163"/>
      <c r="AR123" s="1163"/>
      <c r="AS123" s="1163"/>
      <c r="AT123" s="1163"/>
      <c r="AU123" s="1163"/>
      <c r="AV123" s="1163"/>
      <c r="AW123" s="1163"/>
      <c r="AX123" s="1163"/>
      <c r="AY123" s="1163"/>
      <c r="AZ123" s="1163"/>
      <c r="BA123" s="1163"/>
      <c r="BB123" s="1163"/>
      <c r="BC123" s="1163"/>
      <c r="BD123" s="1163"/>
      <c r="BE123" s="1163"/>
      <c r="BF123" s="1163"/>
      <c r="BG123" s="1163"/>
      <c r="BH123" s="1163"/>
      <c r="BI123" s="1163"/>
      <c r="BJ123" s="1163"/>
      <c r="BK123" s="1163"/>
      <c r="BL123" s="1163"/>
      <c r="BM123" s="1163"/>
      <c r="BN123" s="1163"/>
      <c r="BO123" s="1163"/>
      <c r="BP123" s="1163"/>
      <c r="BQ123" s="1163"/>
      <c r="BR123" s="1163"/>
      <c r="BS123" s="1163"/>
      <c r="BT123" s="1163"/>
      <c r="BU123" s="1163"/>
      <c r="BV123" s="1163">
        <f>IF((BU124)&gt;=(BV148),(BV148),(BU124))</f>
        <v>12615371.930290004</v>
      </c>
      <c r="BW123" s="1163">
        <f t="shared" ref="BW123:BX123" si="137">IF((BV124)&gt;=(BW148+CC149),(BW148+CC149),(BV124))</f>
        <v>9384628.0697099958</v>
      </c>
      <c r="BX123" s="1163">
        <f t="shared" si="137"/>
        <v>0</v>
      </c>
      <c r="BY123" s="1163" t="str">
        <f t="shared" si="102"/>
        <v>Tr.A 상환</v>
      </c>
      <c r="BZ123" s="1037"/>
      <c r="CA123"/>
      <c r="CB123"/>
      <c r="CC123"/>
      <c r="CD123"/>
      <c r="CE123"/>
      <c r="CF123"/>
      <c r="CG123"/>
      <c r="CH123"/>
      <c r="CI123"/>
      <c r="CJ123"/>
      <c r="CK123"/>
    </row>
    <row r="124" spans="2:89" s="1038" customFormat="1" ht="18" thickBot="1">
      <c r="B124" s="1157" t="s">
        <v>1047</v>
      </c>
      <c r="C124" s="1164"/>
      <c r="D124" s="1164"/>
      <c r="E124" s="1166">
        <f>BV124</f>
        <v>9384628.0697099958</v>
      </c>
      <c r="F124" s="1159">
        <f t="shared" si="119"/>
        <v>0</v>
      </c>
      <c r="G124" s="1160"/>
      <c r="H124" s="1162"/>
      <c r="I124" s="1167"/>
      <c r="J124" s="1167"/>
      <c r="K124" s="1167">
        <f t="shared" ref="K124" si="138">IF(J124+K120-K123&lt;=0,0,J124+K120-K123)</f>
        <v>22000000</v>
      </c>
      <c r="L124" s="1167">
        <f>IF(K124+L120&lt;=0,0,K124+L120)</f>
        <v>22000000</v>
      </c>
      <c r="M124" s="1167">
        <f t="shared" ref="M124:BU124" si="139">IF(L124+M120&lt;=0,0,L124+M120)</f>
        <v>22000000</v>
      </c>
      <c r="N124" s="1167">
        <f t="shared" si="139"/>
        <v>22000000</v>
      </c>
      <c r="O124" s="1167">
        <f t="shared" si="139"/>
        <v>22000000</v>
      </c>
      <c r="P124" s="1167">
        <f t="shared" si="139"/>
        <v>22000000</v>
      </c>
      <c r="Q124" s="1167">
        <f t="shared" si="139"/>
        <v>22000000</v>
      </c>
      <c r="R124" s="1167">
        <f t="shared" si="139"/>
        <v>22000000</v>
      </c>
      <c r="S124" s="1167">
        <f t="shared" si="139"/>
        <v>22000000</v>
      </c>
      <c r="T124" s="1167">
        <f t="shared" si="139"/>
        <v>22000000</v>
      </c>
      <c r="U124" s="1167">
        <f t="shared" si="139"/>
        <v>22000000</v>
      </c>
      <c r="V124" s="1167">
        <f t="shared" si="139"/>
        <v>22000000</v>
      </c>
      <c r="W124" s="1167">
        <f t="shared" si="139"/>
        <v>22000000</v>
      </c>
      <c r="X124" s="1167">
        <f t="shared" si="139"/>
        <v>22000000</v>
      </c>
      <c r="Y124" s="1167">
        <f t="shared" si="139"/>
        <v>22000000</v>
      </c>
      <c r="Z124" s="1167">
        <f t="shared" si="139"/>
        <v>22000000</v>
      </c>
      <c r="AA124" s="1167">
        <f t="shared" si="139"/>
        <v>22000000</v>
      </c>
      <c r="AB124" s="1167">
        <f t="shared" si="139"/>
        <v>22000000</v>
      </c>
      <c r="AC124" s="1167">
        <f t="shared" si="139"/>
        <v>22000000</v>
      </c>
      <c r="AD124" s="1167">
        <f t="shared" si="139"/>
        <v>22000000</v>
      </c>
      <c r="AE124" s="1167">
        <f t="shared" si="139"/>
        <v>22000000</v>
      </c>
      <c r="AF124" s="1167">
        <f t="shared" si="139"/>
        <v>22000000</v>
      </c>
      <c r="AG124" s="1167">
        <f t="shared" si="139"/>
        <v>22000000</v>
      </c>
      <c r="AH124" s="1167">
        <f t="shared" si="139"/>
        <v>22000000</v>
      </c>
      <c r="AI124" s="1167">
        <f t="shared" si="139"/>
        <v>22000000</v>
      </c>
      <c r="AJ124" s="1167">
        <f t="shared" si="139"/>
        <v>22000000</v>
      </c>
      <c r="AK124" s="1167">
        <f t="shared" si="139"/>
        <v>22000000</v>
      </c>
      <c r="AL124" s="1167">
        <f t="shared" si="139"/>
        <v>22000000</v>
      </c>
      <c r="AM124" s="1167">
        <f t="shared" si="139"/>
        <v>22000000</v>
      </c>
      <c r="AN124" s="1167">
        <f t="shared" si="139"/>
        <v>22000000</v>
      </c>
      <c r="AO124" s="1167">
        <f t="shared" si="139"/>
        <v>22000000</v>
      </c>
      <c r="AP124" s="1167">
        <f t="shared" si="139"/>
        <v>22000000</v>
      </c>
      <c r="AQ124" s="1167">
        <f t="shared" si="139"/>
        <v>22000000</v>
      </c>
      <c r="AR124" s="1167">
        <f t="shared" si="139"/>
        <v>22000000</v>
      </c>
      <c r="AS124" s="1167">
        <f t="shared" si="139"/>
        <v>22000000</v>
      </c>
      <c r="AT124" s="1167">
        <f t="shared" si="139"/>
        <v>22000000</v>
      </c>
      <c r="AU124" s="1167">
        <f t="shared" si="139"/>
        <v>22000000</v>
      </c>
      <c r="AV124" s="1167">
        <f t="shared" si="139"/>
        <v>22000000</v>
      </c>
      <c r="AW124" s="1167">
        <f t="shared" si="139"/>
        <v>22000000</v>
      </c>
      <c r="AX124" s="1167">
        <f t="shared" si="139"/>
        <v>22000000</v>
      </c>
      <c r="AY124" s="1167">
        <f t="shared" si="139"/>
        <v>22000000</v>
      </c>
      <c r="AZ124" s="1167">
        <f t="shared" si="139"/>
        <v>22000000</v>
      </c>
      <c r="BA124" s="1167">
        <f t="shared" si="139"/>
        <v>22000000</v>
      </c>
      <c r="BB124" s="1167">
        <f t="shared" si="139"/>
        <v>22000000</v>
      </c>
      <c r="BC124" s="1167">
        <f t="shared" si="139"/>
        <v>22000000</v>
      </c>
      <c r="BD124" s="1167">
        <f t="shared" si="139"/>
        <v>22000000</v>
      </c>
      <c r="BE124" s="1167">
        <f t="shared" si="139"/>
        <v>22000000</v>
      </c>
      <c r="BF124" s="1167">
        <f t="shared" si="139"/>
        <v>22000000</v>
      </c>
      <c r="BG124" s="1167">
        <f t="shared" si="139"/>
        <v>22000000</v>
      </c>
      <c r="BH124" s="1167">
        <f t="shared" si="139"/>
        <v>22000000</v>
      </c>
      <c r="BI124" s="1167">
        <f t="shared" si="139"/>
        <v>22000000</v>
      </c>
      <c r="BJ124" s="1167">
        <f t="shared" si="139"/>
        <v>22000000</v>
      </c>
      <c r="BK124" s="1167">
        <f t="shared" si="139"/>
        <v>22000000</v>
      </c>
      <c r="BL124" s="1167">
        <f t="shared" si="139"/>
        <v>22000000</v>
      </c>
      <c r="BM124" s="1167">
        <f t="shared" si="139"/>
        <v>22000000</v>
      </c>
      <c r="BN124" s="1167">
        <f t="shared" si="139"/>
        <v>22000000</v>
      </c>
      <c r="BO124" s="1167">
        <f t="shared" si="139"/>
        <v>22000000</v>
      </c>
      <c r="BP124" s="1167">
        <f t="shared" si="139"/>
        <v>22000000</v>
      </c>
      <c r="BQ124" s="1167">
        <f t="shared" si="139"/>
        <v>22000000</v>
      </c>
      <c r="BR124" s="1167">
        <f t="shared" si="139"/>
        <v>22000000</v>
      </c>
      <c r="BS124" s="1167">
        <f t="shared" si="139"/>
        <v>22000000</v>
      </c>
      <c r="BT124" s="1167">
        <f t="shared" si="139"/>
        <v>22000000</v>
      </c>
      <c r="BU124" s="1167">
        <f t="shared" si="139"/>
        <v>22000000</v>
      </c>
      <c r="BV124" s="1167">
        <f>BU124-BV123</f>
        <v>9384628.0697099958</v>
      </c>
      <c r="BW124" s="1167">
        <f>BV124-BW123</f>
        <v>0</v>
      </c>
      <c r="BX124" s="1167">
        <f>BW124-BX123</f>
        <v>0</v>
      </c>
      <c r="BY124" s="1163" t="str">
        <f t="shared" si="102"/>
        <v>Tr.A 인출 잔액</v>
      </c>
      <c r="BZ124" s="1037"/>
      <c r="CA124"/>
      <c r="CB124"/>
      <c r="CC124"/>
      <c r="CD124"/>
      <c r="CE124"/>
      <c r="CF124"/>
      <c r="CG124"/>
      <c r="CH124"/>
      <c r="CI124"/>
      <c r="CJ124"/>
      <c r="CK124"/>
    </row>
    <row r="125" spans="2:89" s="1038" customFormat="1" ht="18" thickBot="1">
      <c r="B125" s="1168" t="s">
        <v>1048</v>
      </c>
      <c r="C125" s="1175"/>
      <c r="D125" s="1178">
        <f>K125</f>
        <v>0</v>
      </c>
      <c r="E125" s="1169">
        <f>SUM(L125:BU125)</f>
        <v>0</v>
      </c>
      <c r="F125" s="1170">
        <f t="shared" si="119"/>
        <v>0</v>
      </c>
      <c r="G125" s="1171"/>
      <c r="H125" s="1172"/>
      <c r="I125" s="1670"/>
      <c r="J125" s="1673"/>
      <c r="K125" s="1676">
        <f>'사업수지표 '!R44</f>
        <v>0</v>
      </c>
      <c r="L125" s="946"/>
      <c r="M125" s="946"/>
      <c r="N125" s="946"/>
      <c r="O125" s="946"/>
      <c r="P125" s="946"/>
      <c r="Q125" s="946"/>
      <c r="R125" s="946"/>
      <c r="S125" s="946"/>
      <c r="T125" s="946"/>
      <c r="U125" s="946"/>
      <c r="V125" s="946"/>
      <c r="W125" s="946"/>
      <c r="X125" s="946"/>
      <c r="Y125" s="946"/>
      <c r="Z125" s="946"/>
      <c r="AA125" s="946"/>
      <c r="AB125" s="946"/>
      <c r="AC125" s="946"/>
      <c r="AD125" s="946"/>
      <c r="AE125" s="946"/>
      <c r="AF125" s="946"/>
      <c r="AG125" s="946"/>
      <c r="AH125" s="946"/>
      <c r="AI125" s="946"/>
      <c r="AJ125" s="946"/>
      <c r="AK125" s="946"/>
      <c r="AL125" s="946"/>
      <c r="AM125" s="946"/>
      <c r="AN125" s="946"/>
      <c r="AO125" s="946"/>
      <c r="AP125" s="946"/>
      <c r="AQ125" s="946"/>
      <c r="AR125" s="946"/>
      <c r="AS125" s="946"/>
      <c r="AT125" s="946"/>
      <c r="AU125" s="946"/>
      <c r="AV125" s="946"/>
      <c r="AW125" s="946"/>
      <c r="AX125" s="946"/>
      <c r="AY125" s="946"/>
      <c r="AZ125" s="946"/>
      <c r="BA125" s="946"/>
      <c r="BB125" s="946"/>
      <c r="BC125" s="946"/>
      <c r="BD125" s="946"/>
      <c r="BE125" s="946"/>
      <c r="BF125" s="946"/>
      <c r="BG125" s="946"/>
      <c r="BH125" s="946"/>
      <c r="BI125" s="946"/>
      <c r="BJ125" s="946"/>
      <c r="BK125" s="946"/>
      <c r="BL125" s="946"/>
      <c r="BM125" s="946"/>
      <c r="BN125" s="946"/>
      <c r="BO125" s="946"/>
      <c r="BP125" s="946"/>
      <c r="BQ125" s="946"/>
      <c r="BR125" s="946"/>
      <c r="BS125" s="946"/>
      <c r="BT125" s="946"/>
      <c r="BU125" s="946"/>
      <c r="BV125" s="1398"/>
      <c r="BW125" s="1905"/>
      <c r="BX125" s="947"/>
      <c r="BY125" s="1396" t="str">
        <f t="shared" si="102"/>
        <v>Tr.B 인출</v>
      </c>
      <c r="BZ125" s="1037"/>
      <c r="CA125"/>
      <c r="CB125"/>
      <c r="CC125"/>
      <c r="CD125"/>
      <c r="CE125"/>
      <c r="CF125"/>
      <c r="CG125"/>
      <c r="CH125"/>
      <c r="CI125"/>
      <c r="CJ125"/>
      <c r="CK125"/>
    </row>
    <row r="126" spans="2:89" s="1038" customFormat="1">
      <c r="B126" s="1168" t="s">
        <v>1049</v>
      </c>
      <c r="C126" s="1175"/>
      <c r="D126" s="1175"/>
      <c r="E126" s="1169">
        <f>SUM(K126:BX126)</f>
        <v>0</v>
      </c>
      <c r="F126" s="1170">
        <f t="shared" si="119"/>
        <v>0</v>
      </c>
      <c r="G126" s="1171"/>
      <c r="H126" s="1173"/>
      <c r="I126" s="1176"/>
      <c r="J126" s="1176"/>
      <c r="K126" s="1176"/>
      <c r="L126" s="1176"/>
      <c r="M126" s="1176"/>
      <c r="N126" s="1176"/>
      <c r="O126" s="1176"/>
      <c r="P126" s="1176"/>
      <c r="Q126" s="1176"/>
      <c r="R126" s="1176"/>
      <c r="S126" s="1176"/>
      <c r="T126" s="1176"/>
      <c r="U126" s="1176"/>
      <c r="V126" s="1176"/>
      <c r="W126" s="1176"/>
      <c r="X126" s="1176"/>
      <c r="Y126" s="1176"/>
      <c r="Z126" s="1176"/>
      <c r="AA126" s="1176"/>
      <c r="AB126" s="1176"/>
      <c r="AC126" s="1176"/>
      <c r="AD126" s="1176"/>
      <c r="AE126" s="1176"/>
      <c r="AF126" s="1176"/>
      <c r="AG126" s="1176"/>
      <c r="AH126" s="1176"/>
      <c r="AI126" s="1176"/>
      <c r="AJ126" s="1176"/>
      <c r="AK126" s="1176"/>
      <c r="AL126" s="1176"/>
      <c r="AM126" s="1176"/>
      <c r="AN126" s="1176"/>
      <c r="AO126" s="1176"/>
      <c r="AP126" s="1176"/>
      <c r="AQ126" s="1176"/>
      <c r="AR126" s="1176"/>
      <c r="AS126" s="1176"/>
      <c r="AT126" s="1176"/>
      <c r="AU126" s="1176"/>
      <c r="AV126" s="1176"/>
      <c r="AW126" s="1176"/>
      <c r="AX126" s="1176"/>
      <c r="AY126" s="1176"/>
      <c r="AZ126" s="1176"/>
      <c r="BA126" s="1176"/>
      <c r="BB126" s="1176"/>
      <c r="BC126" s="1176"/>
      <c r="BD126" s="1176"/>
      <c r="BE126" s="1176"/>
      <c r="BF126" s="1176"/>
      <c r="BG126" s="1176"/>
      <c r="BH126" s="1176"/>
      <c r="BI126" s="1176"/>
      <c r="BJ126" s="1176"/>
      <c r="BK126" s="1176"/>
      <c r="BL126" s="1176"/>
      <c r="BM126" s="1176"/>
      <c r="BN126" s="1176"/>
      <c r="BO126" s="1176"/>
      <c r="BP126" s="1176"/>
      <c r="BQ126" s="1176"/>
      <c r="BR126" s="1176"/>
      <c r="BS126" s="1176"/>
      <c r="BT126" s="1176"/>
      <c r="BU126" s="1176"/>
      <c r="BV126" s="1176"/>
      <c r="BW126" s="1176"/>
      <c r="BX126" s="1176"/>
      <c r="BY126" s="1174" t="str">
        <f t="shared" si="102"/>
        <v>Tr.B 한도차감</v>
      </c>
      <c r="BZ126" s="1037"/>
      <c r="CA126"/>
      <c r="CB126"/>
      <c r="CC126"/>
      <c r="CD126"/>
      <c r="CE126"/>
      <c r="CF126"/>
      <c r="CG126"/>
      <c r="CH126"/>
      <c r="CI126"/>
      <c r="CJ126"/>
      <c r="CK126"/>
    </row>
    <row r="127" spans="2:89" s="1038" customFormat="1">
      <c r="B127" s="1168" t="s">
        <v>1050</v>
      </c>
      <c r="C127" s="1175"/>
      <c r="D127" s="1175"/>
      <c r="E127" s="1169">
        <f>K127</f>
        <v>0</v>
      </c>
      <c r="F127" s="1170">
        <f t="shared" si="119"/>
        <v>0</v>
      </c>
      <c r="G127" s="1171"/>
      <c r="H127" s="1173"/>
      <c r="I127" s="1173"/>
      <c r="J127" s="1173"/>
      <c r="K127" s="1173">
        <f>'사업수지표 '!R64-K125</f>
        <v>0</v>
      </c>
      <c r="L127" s="1173">
        <f>K127-L126-L125</f>
        <v>0</v>
      </c>
      <c r="M127" s="1173">
        <f t="shared" ref="M127:BU127" si="140">L127-M126-M125</f>
        <v>0</v>
      </c>
      <c r="N127" s="1173">
        <f t="shared" si="140"/>
        <v>0</v>
      </c>
      <c r="O127" s="1173">
        <f t="shared" si="140"/>
        <v>0</v>
      </c>
      <c r="P127" s="1173">
        <f t="shared" si="140"/>
        <v>0</v>
      </c>
      <c r="Q127" s="1173">
        <f t="shared" si="140"/>
        <v>0</v>
      </c>
      <c r="R127" s="1173">
        <f t="shared" si="140"/>
        <v>0</v>
      </c>
      <c r="S127" s="1173">
        <f t="shared" si="140"/>
        <v>0</v>
      </c>
      <c r="T127" s="1173">
        <f t="shared" si="140"/>
        <v>0</v>
      </c>
      <c r="U127" s="1173">
        <f t="shared" si="140"/>
        <v>0</v>
      </c>
      <c r="V127" s="1173">
        <f t="shared" si="140"/>
        <v>0</v>
      </c>
      <c r="W127" s="1173">
        <f t="shared" si="140"/>
        <v>0</v>
      </c>
      <c r="X127" s="1173">
        <f t="shared" si="140"/>
        <v>0</v>
      </c>
      <c r="Y127" s="1173">
        <f t="shared" si="140"/>
        <v>0</v>
      </c>
      <c r="Z127" s="1173">
        <f t="shared" si="140"/>
        <v>0</v>
      </c>
      <c r="AA127" s="1173">
        <f t="shared" si="140"/>
        <v>0</v>
      </c>
      <c r="AB127" s="1173">
        <f t="shared" si="140"/>
        <v>0</v>
      </c>
      <c r="AC127" s="1173">
        <f t="shared" si="140"/>
        <v>0</v>
      </c>
      <c r="AD127" s="1173">
        <f t="shared" si="140"/>
        <v>0</v>
      </c>
      <c r="AE127" s="1173">
        <f t="shared" si="140"/>
        <v>0</v>
      </c>
      <c r="AF127" s="1173">
        <f t="shared" si="140"/>
        <v>0</v>
      </c>
      <c r="AG127" s="1173">
        <f t="shared" si="140"/>
        <v>0</v>
      </c>
      <c r="AH127" s="1173">
        <f t="shared" si="140"/>
        <v>0</v>
      </c>
      <c r="AI127" s="1173">
        <f t="shared" si="140"/>
        <v>0</v>
      </c>
      <c r="AJ127" s="1173">
        <f t="shared" si="140"/>
        <v>0</v>
      </c>
      <c r="AK127" s="1173">
        <f t="shared" si="140"/>
        <v>0</v>
      </c>
      <c r="AL127" s="1173">
        <f t="shared" si="140"/>
        <v>0</v>
      </c>
      <c r="AM127" s="1173">
        <f t="shared" si="140"/>
        <v>0</v>
      </c>
      <c r="AN127" s="1173">
        <f t="shared" si="140"/>
        <v>0</v>
      </c>
      <c r="AO127" s="1173">
        <f t="shared" si="140"/>
        <v>0</v>
      </c>
      <c r="AP127" s="1173">
        <f t="shared" si="140"/>
        <v>0</v>
      </c>
      <c r="AQ127" s="1173">
        <f t="shared" si="140"/>
        <v>0</v>
      </c>
      <c r="AR127" s="1173">
        <f t="shared" si="140"/>
        <v>0</v>
      </c>
      <c r="AS127" s="1173">
        <f t="shared" si="140"/>
        <v>0</v>
      </c>
      <c r="AT127" s="1173">
        <f t="shared" si="140"/>
        <v>0</v>
      </c>
      <c r="AU127" s="1173">
        <f t="shared" si="140"/>
        <v>0</v>
      </c>
      <c r="AV127" s="1173">
        <f t="shared" si="140"/>
        <v>0</v>
      </c>
      <c r="AW127" s="1173">
        <f t="shared" si="140"/>
        <v>0</v>
      </c>
      <c r="AX127" s="1173">
        <f t="shared" si="140"/>
        <v>0</v>
      </c>
      <c r="AY127" s="1173">
        <f t="shared" si="140"/>
        <v>0</v>
      </c>
      <c r="AZ127" s="1173">
        <f t="shared" si="140"/>
        <v>0</v>
      </c>
      <c r="BA127" s="1173">
        <f t="shared" si="140"/>
        <v>0</v>
      </c>
      <c r="BB127" s="1173">
        <f t="shared" si="140"/>
        <v>0</v>
      </c>
      <c r="BC127" s="1173">
        <f t="shared" si="140"/>
        <v>0</v>
      </c>
      <c r="BD127" s="1173">
        <f t="shared" si="140"/>
        <v>0</v>
      </c>
      <c r="BE127" s="1173">
        <f t="shared" si="140"/>
        <v>0</v>
      </c>
      <c r="BF127" s="1173">
        <f t="shared" si="140"/>
        <v>0</v>
      </c>
      <c r="BG127" s="1173">
        <f t="shared" si="140"/>
        <v>0</v>
      </c>
      <c r="BH127" s="1173">
        <f t="shared" si="140"/>
        <v>0</v>
      </c>
      <c r="BI127" s="1173">
        <f t="shared" si="140"/>
        <v>0</v>
      </c>
      <c r="BJ127" s="1173">
        <f t="shared" si="140"/>
        <v>0</v>
      </c>
      <c r="BK127" s="1173">
        <f t="shared" si="140"/>
        <v>0</v>
      </c>
      <c r="BL127" s="1173">
        <f t="shared" si="140"/>
        <v>0</v>
      </c>
      <c r="BM127" s="1173">
        <f t="shared" si="140"/>
        <v>0</v>
      </c>
      <c r="BN127" s="1173">
        <f t="shared" si="140"/>
        <v>0</v>
      </c>
      <c r="BO127" s="1173">
        <f t="shared" si="140"/>
        <v>0</v>
      </c>
      <c r="BP127" s="1173">
        <f t="shared" si="140"/>
        <v>0</v>
      </c>
      <c r="BQ127" s="1173">
        <f t="shared" si="140"/>
        <v>0</v>
      </c>
      <c r="BR127" s="1173">
        <f t="shared" si="140"/>
        <v>0</v>
      </c>
      <c r="BS127" s="1173">
        <f t="shared" si="140"/>
        <v>0</v>
      </c>
      <c r="BT127" s="1173">
        <f t="shared" si="140"/>
        <v>0</v>
      </c>
      <c r="BU127" s="1173">
        <f t="shared" si="140"/>
        <v>0</v>
      </c>
      <c r="BV127" s="1173"/>
      <c r="BW127" s="1173"/>
      <c r="BX127" s="1173"/>
      <c r="BY127" s="1174" t="str">
        <f t="shared" si="102"/>
        <v>Tr.B 한도잔액</v>
      </c>
      <c r="BZ127" s="1037"/>
      <c r="CA127"/>
      <c r="CB127"/>
      <c r="CC127"/>
      <c r="CD127"/>
      <c r="CE127"/>
      <c r="CF127"/>
      <c r="CG127"/>
      <c r="CH127"/>
      <c r="CI127"/>
      <c r="CJ127"/>
      <c r="CK127"/>
    </row>
    <row r="128" spans="2:89" s="1038" customFormat="1">
      <c r="B128" s="1168" t="s">
        <v>1051</v>
      </c>
      <c r="C128" s="1175"/>
      <c r="D128" s="1175"/>
      <c r="E128" s="1177">
        <f>SUM(G128:BX128)</f>
        <v>0</v>
      </c>
      <c r="F128" s="1170">
        <f t="shared" si="119"/>
        <v>0</v>
      </c>
      <c r="G128" s="1171"/>
      <c r="H128" s="1173"/>
      <c r="I128" s="1173"/>
      <c r="J128" s="1173"/>
      <c r="K128" s="1918" t="str">
        <f t="shared" ref="K128:AP128" si="141">IF(K17="준공/입주",$D$125,"0")</f>
        <v>0</v>
      </c>
      <c r="L128" s="1918" t="str">
        <f t="shared" si="141"/>
        <v>0</v>
      </c>
      <c r="M128" s="1918" t="str">
        <f t="shared" si="141"/>
        <v>0</v>
      </c>
      <c r="N128" s="1918" t="str">
        <f t="shared" si="141"/>
        <v>0</v>
      </c>
      <c r="O128" s="1918" t="str">
        <f t="shared" si="141"/>
        <v>0</v>
      </c>
      <c r="P128" s="1918" t="str">
        <f t="shared" si="141"/>
        <v>0</v>
      </c>
      <c r="Q128" s="1918" t="str">
        <f t="shared" si="141"/>
        <v>0</v>
      </c>
      <c r="R128" s="1918" t="str">
        <f t="shared" si="141"/>
        <v>0</v>
      </c>
      <c r="S128" s="1918" t="str">
        <f t="shared" si="141"/>
        <v>0</v>
      </c>
      <c r="T128" s="1918" t="str">
        <f t="shared" si="141"/>
        <v>0</v>
      </c>
      <c r="U128" s="1918" t="str">
        <f t="shared" si="141"/>
        <v>0</v>
      </c>
      <c r="V128" s="1918" t="str">
        <f t="shared" si="141"/>
        <v>0</v>
      </c>
      <c r="W128" s="1918" t="str">
        <f t="shared" si="141"/>
        <v>0</v>
      </c>
      <c r="X128" s="1918" t="str">
        <f t="shared" si="141"/>
        <v>0</v>
      </c>
      <c r="Y128" s="1918" t="str">
        <f t="shared" si="141"/>
        <v>0</v>
      </c>
      <c r="Z128" s="1918" t="str">
        <f t="shared" si="141"/>
        <v>0</v>
      </c>
      <c r="AA128" s="1918" t="str">
        <f t="shared" si="141"/>
        <v>0</v>
      </c>
      <c r="AB128" s="1918" t="str">
        <f t="shared" si="141"/>
        <v>0</v>
      </c>
      <c r="AC128" s="1918" t="str">
        <f t="shared" si="141"/>
        <v>0</v>
      </c>
      <c r="AD128" s="1918" t="str">
        <f t="shared" si="141"/>
        <v>0</v>
      </c>
      <c r="AE128" s="1918" t="str">
        <f t="shared" si="141"/>
        <v>0</v>
      </c>
      <c r="AF128" s="1918" t="str">
        <f t="shared" si="141"/>
        <v>0</v>
      </c>
      <c r="AG128" s="1918" t="str">
        <f t="shared" si="141"/>
        <v>0</v>
      </c>
      <c r="AH128" s="1918" t="str">
        <f t="shared" si="141"/>
        <v>0</v>
      </c>
      <c r="AI128" s="1918" t="str">
        <f t="shared" si="141"/>
        <v>0</v>
      </c>
      <c r="AJ128" s="1918" t="str">
        <f t="shared" si="141"/>
        <v>0</v>
      </c>
      <c r="AK128" s="1918" t="str">
        <f t="shared" si="141"/>
        <v>0</v>
      </c>
      <c r="AL128" s="1918" t="str">
        <f t="shared" si="141"/>
        <v>0</v>
      </c>
      <c r="AM128" s="1918" t="str">
        <f t="shared" si="141"/>
        <v>0</v>
      </c>
      <c r="AN128" s="1918" t="str">
        <f t="shared" si="141"/>
        <v>0</v>
      </c>
      <c r="AO128" s="1918" t="str">
        <f t="shared" si="141"/>
        <v>0</v>
      </c>
      <c r="AP128" s="1918" t="str">
        <f t="shared" si="141"/>
        <v>0</v>
      </c>
      <c r="AQ128" s="1918" t="str">
        <f t="shared" ref="AQ128:BU128" si="142">IF(AQ17="준공/입주",$D$125,"0")</f>
        <v>0</v>
      </c>
      <c r="AR128" s="1918" t="str">
        <f t="shared" si="142"/>
        <v>0</v>
      </c>
      <c r="AS128" s="1918" t="str">
        <f t="shared" si="142"/>
        <v>0</v>
      </c>
      <c r="AT128" s="1918" t="str">
        <f t="shared" si="142"/>
        <v>0</v>
      </c>
      <c r="AU128" s="1918" t="str">
        <f t="shared" si="142"/>
        <v>0</v>
      </c>
      <c r="AV128" s="1918" t="str">
        <f t="shared" si="142"/>
        <v>0</v>
      </c>
      <c r="AW128" s="1918" t="str">
        <f t="shared" si="142"/>
        <v>0</v>
      </c>
      <c r="AX128" s="1918" t="str">
        <f t="shared" si="142"/>
        <v>0</v>
      </c>
      <c r="AY128" s="1918" t="str">
        <f t="shared" si="142"/>
        <v>0</v>
      </c>
      <c r="AZ128" s="1918" t="str">
        <f t="shared" si="142"/>
        <v>0</v>
      </c>
      <c r="BA128" s="1918" t="str">
        <f t="shared" si="142"/>
        <v>0</v>
      </c>
      <c r="BB128" s="1918" t="str">
        <f t="shared" si="142"/>
        <v>0</v>
      </c>
      <c r="BC128" s="1918" t="str">
        <f t="shared" si="142"/>
        <v>0</v>
      </c>
      <c r="BD128" s="1918" t="str">
        <f t="shared" si="142"/>
        <v>0</v>
      </c>
      <c r="BE128" s="1918" t="str">
        <f t="shared" si="142"/>
        <v>0</v>
      </c>
      <c r="BF128" s="1918" t="str">
        <f t="shared" si="142"/>
        <v>0</v>
      </c>
      <c r="BG128" s="1918" t="str">
        <f t="shared" si="142"/>
        <v>0</v>
      </c>
      <c r="BH128" s="1918" t="str">
        <f t="shared" si="142"/>
        <v>0</v>
      </c>
      <c r="BI128" s="1918" t="str">
        <f t="shared" si="142"/>
        <v>0</v>
      </c>
      <c r="BJ128" s="1918" t="str">
        <f t="shared" si="142"/>
        <v>0</v>
      </c>
      <c r="BK128" s="1918" t="str">
        <f t="shared" si="142"/>
        <v>0</v>
      </c>
      <c r="BL128" s="1918" t="str">
        <f t="shared" si="142"/>
        <v>0</v>
      </c>
      <c r="BM128" s="1918" t="str">
        <f t="shared" si="142"/>
        <v>0</v>
      </c>
      <c r="BN128" s="1918" t="str">
        <f t="shared" si="142"/>
        <v>0</v>
      </c>
      <c r="BO128" s="1918" t="str">
        <f t="shared" si="142"/>
        <v>0</v>
      </c>
      <c r="BP128" s="1918" t="str">
        <f t="shared" si="142"/>
        <v>0</v>
      </c>
      <c r="BQ128" s="1918" t="str">
        <f t="shared" si="142"/>
        <v>0</v>
      </c>
      <c r="BR128" s="1918" t="str">
        <f t="shared" si="142"/>
        <v>0</v>
      </c>
      <c r="BS128" s="1918" t="str">
        <f t="shared" si="142"/>
        <v>0</v>
      </c>
      <c r="BT128" s="1918" t="str">
        <f t="shared" si="142"/>
        <v>0</v>
      </c>
      <c r="BU128" s="1918" t="str">
        <f t="shared" si="142"/>
        <v>0</v>
      </c>
      <c r="BV128" s="1918">
        <f>IF(BV124&gt;0,0,IF((BV148-BV123)&gt;BU129,BU129,(BV148-BV123)))</f>
        <v>0</v>
      </c>
      <c r="BW128" s="1918">
        <f t="shared" ref="BW128:BX128" si="143">IF(BW124&gt;0,0,IF((BW148-BW123)&gt;BV129,BV129,(BW148-BW123)))</f>
        <v>0</v>
      </c>
      <c r="BX128" s="1918">
        <f t="shared" si="143"/>
        <v>0</v>
      </c>
      <c r="BY128" s="1174" t="str">
        <f t="shared" si="102"/>
        <v>Tr.B 상환</v>
      </c>
      <c r="BZ128" s="1037"/>
      <c r="CA128"/>
      <c r="CB128"/>
      <c r="CC128"/>
      <c r="CD128"/>
      <c r="CE128"/>
      <c r="CF128"/>
      <c r="CG128"/>
      <c r="CH128"/>
      <c r="CI128"/>
      <c r="CJ128"/>
      <c r="CK128"/>
    </row>
    <row r="129" spans="2:89" s="1038" customFormat="1" ht="18" thickBot="1">
      <c r="B129" s="1168" t="s">
        <v>1052</v>
      </c>
      <c r="C129" s="1175"/>
      <c r="D129" s="1175"/>
      <c r="E129" s="1178">
        <f>BV129</f>
        <v>0</v>
      </c>
      <c r="F129" s="1170">
        <f t="shared" si="119"/>
        <v>0</v>
      </c>
      <c r="G129" s="1171"/>
      <c r="H129" s="1173"/>
      <c r="I129" s="1179"/>
      <c r="J129" s="1179"/>
      <c r="K129" s="1179">
        <f>K125-K128</f>
        <v>0</v>
      </c>
      <c r="L129" s="1179">
        <f t="shared" ref="L129:AP129" si="144">K129+L125-L128</f>
        <v>0</v>
      </c>
      <c r="M129" s="1179">
        <f t="shared" si="144"/>
        <v>0</v>
      </c>
      <c r="N129" s="1179">
        <f t="shared" si="144"/>
        <v>0</v>
      </c>
      <c r="O129" s="1179">
        <f t="shared" si="144"/>
        <v>0</v>
      </c>
      <c r="P129" s="1179">
        <f t="shared" si="144"/>
        <v>0</v>
      </c>
      <c r="Q129" s="1179">
        <f t="shared" si="144"/>
        <v>0</v>
      </c>
      <c r="R129" s="1179">
        <f t="shared" si="144"/>
        <v>0</v>
      </c>
      <c r="S129" s="1179">
        <f t="shared" si="144"/>
        <v>0</v>
      </c>
      <c r="T129" s="1179">
        <f t="shared" si="144"/>
        <v>0</v>
      </c>
      <c r="U129" s="1179">
        <f t="shared" si="144"/>
        <v>0</v>
      </c>
      <c r="V129" s="1179">
        <f t="shared" si="144"/>
        <v>0</v>
      </c>
      <c r="W129" s="1179">
        <f t="shared" si="144"/>
        <v>0</v>
      </c>
      <c r="X129" s="1179">
        <f t="shared" si="144"/>
        <v>0</v>
      </c>
      <c r="Y129" s="1179">
        <f t="shared" si="144"/>
        <v>0</v>
      </c>
      <c r="Z129" s="1179">
        <f t="shared" si="144"/>
        <v>0</v>
      </c>
      <c r="AA129" s="1179">
        <f t="shared" si="144"/>
        <v>0</v>
      </c>
      <c r="AB129" s="1179">
        <f t="shared" si="144"/>
        <v>0</v>
      </c>
      <c r="AC129" s="1179">
        <f t="shared" si="144"/>
        <v>0</v>
      </c>
      <c r="AD129" s="1179">
        <f t="shared" si="144"/>
        <v>0</v>
      </c>
      <c r="AE129" s="1179">
        <f t="shared" si="144"/>
        <v>0</v>
      </c>
      <c r="AF129" s="1179">
        <f t="shared" si="144"/>
        <v>0</v>
      </c>
      <c r="AG129" s="1179">
        <f t="shared" si="144"/>
        <v>0</v>
      </c>
      <c r="AH129" s="1179">
        <f t="shared" si="144"/>
        <v>0</v>
      </c>
      <c r="AI129" s="1179">
        <f t="shared" si="144"/>
        <v>0</v>
      </c>
      <c r="AJ129" s="1179">
        <f t="shared" si="144"/>
        <v>0</v>
      </c>
      <c r="AK129" s="1179">
        <f t="shared" si="144"/>
        <v>0</v>
      </c>
      <c r="AL129" s="1179">
        <f t="shared" si="144"/>
        <v>0</v>
      </c>
      <c r="AM129" s="1179">
        <f t="shared" si="144"/>
        <v>0</v>
      </c>
      <c r="AN129" s="1179">
        <f t="shared" si="144"/>
        <v>0</v>
      </c>
      <c r="AO129" s="1179">
        <f t="shared" si="144"/>
        <v>0</v>
      </c>
      <c r="AP129" s="1179">
        <f t="shared" si="144"/>
        <v>0</v>
      </c>
      <c r="AQ129" s="1179">
        <f t="shared" ref="AQ129:BE129" si="145">AP129+AQ125-AQ128</f>
        <v>0</v>
      </c>
      <c r="AR129" s="1179">
        <f t="shared" si="145"/>
        <v>0</v>
      </c>
      <c r="AS129" s="1179">
        <f t="shared" si="145"/>
        <v>0</v>
      </c>
      <c r="AT129" s="1179">
        <f t="shared" si="145"/>
        <v>0</v>
      </c>
      <c r="AU129" s="1179">
        <f t="shared" si="145"/>
        <v>0</v>
      </c>
      <c r="AV129" s="1179">
        <f t="shared" si="145"/>
        <v>0</v>
      </c>
      <c r="AW129" s="1179">
        <f t="shared" si="145"/>
        <v>0</v>
      </c>
      <c r="AX129" s="1179">
        <f t="shared" si="145"/>
        <v>0</v>
      </c>
      <c r="AY129" s="1179">
        <f t="shared" si="145"/>
        <v>0</v>
      </c>
      <c r="AZ129" s="1179">
        <f t="shared" si="145"/>
        <v>0</v>
      </c>
      <c r="BA129" s="1179">
        <f t="shared" si="145"/>
        <v>0</v>
      </c>
      <c r="BB129" s="1179">
        <f t="shared" si="145"/>
        <v>0</v>
      </c>
      <c r="BC129" s="1179">
        <f t="shared" si="145"/>
        <v>0</v>
      </c>
      <c r="BD129" s="1179">
        <f t="shared" si="145"/>
        <v>0</v>
      </c>
      <c r="BE129" s="1179">
        <f t="shared" si="145"/>
        <v>0</v>
      </c>
      <c r="BF129" s="1179">
        <f t="shared" ref="BF129:BU129" si="146">BE129+BF125-BF128</f>
        <v>0</v>
      </c>
      <c r="BG129" s="1179">
        <f t="shared" si="146"/>
        <v>0</v>
      </c>
      <c r="BH129" s="1179">
        <f t="shared" si="146"/>
        <v>0</v>
      </c>
      <c r="BI129" s="1179">
        <f t="shared" si="146"/>
        <v>0</v>
      </c>
      <c r="BJ129" s="1179">
        <f t="shared" si="146"/>
        <v>0</v>
      </c>
      <c r="BK129" s="1179">
        <f t="shared" si="146"/>
        <v>0</v>
      </c>
      <c r="BL129" s="1179">
        <f t="shared" si="146"/>
        <v>0</v>
      </c>
      <c r="BM129" s="1179">
        <f t="shared" si="146"/>
        <v>0</v>
      </c>
      <c r="BN129" s="1179">
        <f t="shared" si="146"/>
        <v>0</v>
      </c>
      <c r="BO129" s="1179">
        <f t="shared" si="146"/>
        <v>0</v>
      </c>
      <c r="BP129" s="1179">
        <f t="shared" si="146"/>
        <v>0</v>
      </c>
      <c r="BQ129" s="1179">
        <f t="shared" si="146"/>
        <v>0</v>
      </c>
      <c r="BR129" s="1179">
        <f t="shared" si="146"/>
        <v>0</v>
      </c>
      <c r="BS129" s="1179">
        <f t="shared" si="146"/>
        <v>0</v>
      </c>
      <c r="BT129" s="1179">
        <f t="shared" si="146"/>
        <v>0</v>
      </c>
      <c r="BU129" s="1179">
        <f t="shared" si="146"/>
        <v>0</v>
      </c>
      <c r="BV129" s="1179">
        <f>BU129-BV128</f>
        <v>0</v>
      </c>
      <c r="BW129" s="1179">
        <f t="shared" ref="BW129:BX129" si="147">BV129-BW128</f>
        <v>0</v>
      </c>
      <c r="BX129" s="1179">
        <f t="shared" si="147"/>
        <v>0</v>
      </c>
      <c r="BY129" s="1174" t="str">
        <f t="shared" si="102"/>
        <v>Tr.B 잔액</v>
      </c>
      <c r="BZ129" s="1037"/>
      <c r="CA129"/>
      <c r="CB129"/>
      <c r="CC129"/>
      <c r="CD129"/>
      <c r="CE129"/>
      <c r="CF129"/>
      <c r="CG129"/>
      <c r="CH129"/>
      <c r="CI129"/>
      <c r="CJ129"/>
      <c r="CK129"/>
    </row>
    <row r="130" spans="2:89" s="1038" customFormat="1" ht="18" thickBot="1">
      <c r="B130" s="1180" t="s">
        <v>1053</v>
      </c>
      <c r="C130" s="1181"/>
      <c r="D130" s="1190">
        <f>K130</f>
        <v>0</v>
      </c>
      <c r="E130" s="1182">
        <f>SUM(L130:BU130)</f>
        <v>0</v>
      </c>
      <c r="F130" s="1183">
        <f t="shared" si="119"/>
        <v>0</v>
      </c>
      <c r="G130" s="1184"/>
      <c r="H130" s="1185"/>
      <c r="I130" s="1671"/>
      <c r="J130" s="1674"/>
      <c r="K130" s="1677">
        <f>'사업수지표 '!R46</f>
        <v>0</v>
      </c>
      <c r="L130" s="948"/>
      <c r="M130" s="948"/>
      <c r="N130" s="948"/>
      <c r="O130" s="948"/>
      <c r="P130" s="948"/>
      <c r="Q130" s="948"/>
      <c r="R130" s="948"/>
      <c r="S130" s="948"/>
      <c r="T130" s="948"/>
      <c r="U130" s="948"/>
      <c r="V130" s="948"/>
      <c r="W130" s="948"/>
      <c r="X130" s="948"/>
      <c r="Y130" s="948"/>
      <c r="Z130" s="948"/>
      <c r="AA130" s="948"/>
      <c r="AB130" s="948"/>
      <c r="AC130" s="948"/>
      <c r="AD130" s="948"/>
      <c r="AE130" s="948"/>
      <c r="AF130" s="948"/>
      <c r="AG130" s="948"/>
      <c r="AH130" s="948"/>
      <c r="AI130" s="948"/>
      <c r="AJ130" s="948"/>
      <c r="AK130" s="948"/>
      <c r="AL130" s="948"/>
      <c r="AM130" s="948"/>
      <c r="AN130" s="948"/>
      <c r="AO130" s="948"/>
      <c r="AP130" s="948"/>
      <c r="AQ130" s="948"/>
      <c r="AR130" s="948"/>
      <c r="AS130" s="948"/>
      <c r="AT130" s="948"/>
      <c r="AU130" s="948"/>
      <c r="AV130" s="948"/>
      <c r="AW130" s="948"/>
      <c r="AX130" s="948"/>
      <c r="AY130" s="948"/>
      <c r="AZ130" s="948"/>
      <c r="BA130" s="948"/>
      <c r="BB130" s="948"/>
      <c r="BC130" s="948"/>
      <c r="BD130" s="948"/>
      <c r="BE130" s="948"/>
      <c r="BF130" s="948"/>
      <c r="BG130" s="948"/>
      <c r="BH130" s="948"/>
      <c r="BI130" s="948"/>
      <c r="BJ130" s="948"/>
      <c r="BK130" s="948"/>
      <c r="BL130" s="948"/>
      <c r="BM130" s="948"/>
      <c r="BN130" s="948"/>
      <c r="BO130" s="948"/>
      <c r="BP130" s="948"/>
      <c r="BQ130" s="948"/>
      <c r="BR130" s="948"/>
      <c r="BS130" s="948"/>
      <c r="BT130" s="948"/>
      <c r="BU130" s="948"/>
      <c r="BV130" s="1399"/>
      <c r="BW130" s="1906"/>
      <c r="BX130" s="949"/>
      <c r="BY130" s="1397" t="str">
        <f t="shared" si="102"/>
        <v>Tr.C 인출</v>
      </c>
      <c r="BZ130" s="1037"/>
      <c r="CA130"/>
      <c r="CB130"/>
      <c r="CC130"/>
      <c r="CD130"/>
      <c r="CE130"/>
      <c r="CF130"/>
      <c r="CG130"/>
      <c r="CH130"/>
      <c r="CI130"/>
      <c r="CJ130"/>
      <c r="CK130"/>
    </row>
    <row r="131" spans="2:89" s="1038" customFormat="1">
      <c r="B131" s="1180" t="s">
        <v>1054</v>
      </c>
      <c r="C131" s="1181"/>
      <c r="D131" s="1181"/>
      <c r="E131" s="1188">
        <f>SUM(G131:BY131)</f>
        <v>0</v>
      </c>
      <c r="F131" s="1183">
        <f t="shared" si="119"/>
        <v>0</v>
      </c>
      <c r="G131" s="1184"/>
      <c r="H131" s="1186"/>
      <c r="I131" s="1189"/>
      <c r="J131" s="1189"/>
      <c r="K131" s="1189"/>
      <c r="L131" s="1189"/>
      <c r="M131" s="1189"/>
      <c r="N131" s="1189"/>
      <c r="O131" s="1189"/>
      <c r="P131" s="1189"/>
      <c r="Q131" s="1189"/>
      <c r="R131" s="1189"/>
      <c r="S131" s="1189"/>
      <c r="T131" s="1189"/>
      <c r="U131" s="1189"/>
      <c r="V131" s="1189"/>
      <c r="W131" s="1189"/>
      <c r="X131" s="1189"/>
      <c r="Y131" s="1189"/>
      <c r="Z131" s="1189"/>
      <c r="AA131" s="1189"/>
      <c r="AB131" s="1189"/>
      <c r="AC131" s="1189"/>
      <c r="AD131" s="1189"/>
      <c r="AE131" s="1189"/>
      <c r="AF131" s="1189"/>
      <c r="AG131" s="1189"/>
      <c r="AH131" s="1189"/>
      <c r="AI131" s="1189"/>
      <c r="AJ131" s="1189"/>
      <c r="AK131" s="1189"/>
      <c r="AL131" s="1189"/>
      <c r="AM131" s="1189"/>
      <c r="AN131" s="1189"/>
      <c r="AO131" s="1189"/>
      <c r="AP131" s="1189"/>
      <c r="AQ131" s="1189"/>
      <c r="AR131" s="1189"/>
      <c r="AS131" s="1189"/>
      <c r="AT131" s="1189"/>
      <c r="AU131" s="1189"/>
      <c r="AV131" s="1189"/>
      <c r="AW131" s="1189"/>
      <c r="AX131" s="1189"/>
      <c r="AY131" s="1189"/>
      <c r="AZ131" s="1189"/>
      <c r="BA131" s="1189"/>
      <c r="BB131" s="1189"/>
      <c r="BC131" s="1189"/>
      <c r="BD131" s="1189"/>
      <c r="BE131" s="1189"/>
      <c r="BF131" s="1189"/>
      <c r="BG131" s="1189"/>
      <c r="BH131" s="1189"/>
      <c r="BI131" s="1189"/>
      <c r="BJ131" s="1189"/>
      <c r="BK131" s="1189"/>
      <c r="BL131" s="1189"/>
      <c r="BM131" s="1189"/>
      <c r="BN131" s="1189"/>
      <c r="BO131" s="1189"/>
      <c r="BP131" s="1189"/>
      <c r="BQ131" s="1189"/>
      <c r="BR131" s="1189"/>
      <c r="BS131" s="1189"/>
      <c r="BT131" s="1189"/>
      <c r="BU131" s="1189"/>
      <c r="BV131" s="1189"/>
      <c r="BW131" s="1189"/>
      <c r="BX131" s="1189"/>
      <c r="BY131" s="1187" t="str">
        <f t="shared" si="102"/>
        <v>Tr.C 한도차감</v>
      </c>
      <c r="BZ131" s="1037"/>
      <c r="CA131"/>
      <c r="CB131"/>
      <c r="CC131"/>
      <c r="CD131"/>
      <c r="CE131"/>
      <c r="CF131"/>
      <c r="CG131"/>
      <c r="CH131"/>
      <c r="CI131"/>
      <c r="CJ131"/>
      <c r="CK131"/>
    </row>
    <row r="132" spans="2:89" s="1038" customFormat="1">
      <c r="B132" s="1180" t="s">
        <v>1055</v>
      </c>
      <c r="C132" s="1181"/>
      <c r="D132" s="1181"/>
      <c r="E132" s="1188">
        <f>K132</f>
        <v>0</v>
      </c>
      <c r="F132" s="1183">
        <f t="shared" si="119"/>
        <v>0</v>
      </c>
      <c r="G132" s="1184"/>
      <c r="H132" s="1186"/>
      <c r="I132" s="1186"/>
      <c r="J132" s="1186"/>
      <c r="K132" s="1186">
        <f>'사업수지표 '!R65-K130</f>
        <v>0</v>
      </c>
      <c r="L132" s="1186">
        <f>K132-L131-L130</f>
        <v>0</v>
      </c>
      <c r="M132" s="1186">
        <f>L132-M131-M130</f>
        <v>0</v>
      </c>
      <c r="N132" s="1186">
        <f>M132-N131-N130</f>
        <v>0</v>
      </c>
      <c r="O132" s="1186">
        <f t="shared" ref="O132:BU132" si="148">N132-O131-O130</f>
        <v>0</v>
      </c>
      <c r="P132" s="1186">
        <f t="shared" si="148"/>
        <v>0</v>
      </c>
      <c r="Q132" s="1186">
        <f t="shared" si="148"/>
        <v>0</v>
      </c>
      <c r="R132" s="1186">
        <f t="shared" si="148"/>
        <v>0</v>
      </c>
      <c r="S132" s="1186">
        <f t="shared" si="148"/>
        <v>0</v>
      </c>
      <c r="T132" s="1186">
        <f t="shared" si="148"/>
        <v>0</v>
      </c>
      <c r="U132" s="1186">
        <f t="shared" si="148"/>
        <v>0</v>
      </c>
      <c r="V132" s="1186">
        <f t="shared" si="148"/>
        <v>0</v>
      </c>
      <c r="W132" s="1186">
        <f t="shared" si="148"/>
        <v>0</v>
      </c>
      <c r="X132" s="1186">
        <f t="shared" si="148"/>
        <v>0</v>
      </c>
      <c r="Y132" s="1186">
        <f t="shared" si="148"/>
        <v>0</v>
      </c>
      <c r="Z132" s="1186">
        <f t="shared" si="148"/>
        <v>0</v>
      </c>
      <c r="AA132" s="1186">
        <f t="shared" si="148"/>
        <v>0</v>
      </c>
      <c r="AB132" s="1186">
        <f t="shared" si="148"/>
        <v>0</v>
      </c>
      <c r="AC132" s="1186">
        <f t="shared" si="148"/>
        <v>0</v>
      </c>
      <c r="AD132" s="1186">
        <f t="shared" si="148"/>
        <v>0</v>
      </c>
      <c r="AE132" s="1186">
        <f t="shared" si="148"/>
        <v>0</v>
      </c>
      <c r="AF132" s="1186">
        <f t="shared" si="148"/>
        <v>0</v>
      </c>
      <c r="AG132" s="1186">
        <f t="shared" si="148"/>
        <v>0</v>
      </c>
      <c r="AH132" s="1186">
        <f t="shared" si="148"/>
        <v>0</v>
      </c>
      <c r="AI132" s="1186">
        <f t="shared" si="148"/>
        <v>0</v>
      </c>
      <c r="AJ132" s="1186">
        <f t="shared" si="148"/>
        <v>0</v>
      </c>
      <c r="AK132" s="1186">
        <f t="shared" si="148"/>
        <v>0</v>
      </c>
      <c r="AL132" s="1186">
        <f t="shared" si="148"/>
        <v>0</v>
      </c>
      <c r="AM132" s="1186">
        <f t="shared" si="148"/>
        <v>0</v>
      </c>
      <c r="AN132" s="1186">
        <f t="shared" si="148"/>
        <v>0</v>
      </c>
      <c r="AO132" s="1186">
        <f t="shared" si="148"/>
        <v>0</v>
      </c>
      <c r="AP132" s="1186">
        <f t="shared" si="148"/>
        <v>0</v>
      </c>
      <c r="AQ132" s="1186">
        <f t="shared" si="148"/>
        <v>0</v>
      </c>
      <c r="AR132" s="1186">
        <f t="shared" si="148"/>
        <v>0</v>
      </c>
      <c r="AS132" s="1186">
        <f t="shared" si="148"/>
        <v>0</v>
      </c>
      <c r="AT132" s="1186">
        <f t="shared" si="148"/>
        <v>0</v>
      </c>
      <c r="AU132" s="1186">
        <f t="shared" si="148"/>
        <v>0</v>
      </c>
      <c r="AV132" s="1186">
        <f t="shared" si="148"/>
        <v>0</v>
      </c>
      <c r="AW132" s="1186">
        <f t="shared" si="148"/>
        <v>0</v>
      </c>
      <c r="AX132" s="1186">
        <f t="shared" si="148"/>
        <v>0</v>
      </c>
      <c r="AY132" s="1186">
        <f t="shared" si="148"/>
        <v>0</v>
      </c>
      <c r="AZ132" s="1186">
        <f t="shared" si="148"/>
        <v>0</v>
      </c>
      <c r="BA132" s="1186">
        <f t="shared" si="148"/>
        <v>0</v>
      </c>
      <c r="BB132" s="1186">
        <f t="shared" si="148"/>
        <v>0</v>
      </c>
      <c r="BC132" s="1186">
        <f t="shared" si="148"/>
        <v>0</v>
      </c>
      <c r="BD132" s="1186">
        <f t="shared" si="148"/>
        <v>0</v>
      </c>
      <c r="BE132" s="1186">
        <f t="shared" si="148"/>
        <v>0</v>
      </c>
      <c r="BF132" s="1186">
        <f t="shared" si="148"/>
        <v>0</v>
      </c>
      <c r="BG132" s="1186">
        <f t="shared" si="148"/>
        <v>0</v>
      </c>
      <c r="BH132" s="1186">
        <f t="shared" si="148"/>
        <v>0</v>
      </c>
      <c r="BI132" s="1186">
        <f t="shared" si="148"/>
        <v>0</v>
      </c>
      <c r="BJ132" s="1186">
        <f t="shared" si="148"/>
        <v>0</v>
      </c>
      <c r="BK132" s="1186">
        <f t="shared" si="148"/>
        <v>0</v>
      </c>
      <c r="BL132" s="1186">
        <f t="shared" si="148"/>
        <v>0</v>
      </c>
      <c r="BM132" s="1186">
        <f t="shared" si="148"/>
        <v>0</v>
      </c>
      <c r="BN132" s="1186">
        <f t="shared" si="148"/>
        <v>0</v>
      </c>
      <c r="BO132" s="1186">
        <f t="shared" si="148"/>
        <v>0</v>
      </c>
      <c r="BP132" s="1186">
        <f t="shared" si="148"/>
        <v>0</v>
      </c>
      <c r="BQ132" s="1186">
        <f t="shared" si="148"/>
        <v>0</v>
      </c>
      <c r="BR132" s="1186">
        <f t="shared" si="148"/>
        <v>0</v>
      </c>
      <c r="BS132" s="1186">
        <f t="shared" si="148"/>
        <v>0</v>
      </c>
      <c r="BT132" s="1186">
        <f t="shared" si="148"/>
        <v>0</v>
      </c>
      <c r="BU132" s="1186">
        <f t="shared" si="148"/>
        <v>0</v>
      </c>
      <c r="BV132" s="1186"/>
      <c r="BW132" s="1186"/>
      <c r="BX132" s="1186"/>
      <c r="BY132" s="1187" t="str">
        <f t="shared" si="102"/>
        <v>Tr.C 한도잔액</v>
      </c>
      <c r="BZ132" s="1037"/>
      <c r="CA132"/>
      <c r="CB132"/>
      <c r="CC132"/>
      <c r="CD132"/>
      <c r="CE132"/>
      <c r="CF132"/>
      <c r="CG132"/>
      <c r="CH132"/>
      <c r="CI132"/>
      <c r="CJ132"/>
      <c r="CK132"/>
    </row>
    <row r="133" spans="2:89" s="1038" customFormat="1">
      <c r="B133" s="1180" t="s">
        <v>1056</v>
      </c>
      <c r="C133" s="1181"/>
      <c r="D133" s="1181"/>
      <c r="E133" s="1188">
        <f>SUM(G133:BX133)</f>
        <v>0</v>
      </c>
      <c r="F133" s="1183">
        <f t="shared" si="119"/>
        <v>0</v>
      </c>
      <c r="G133" s="1184"/>
      <c r="H133" s="1186"/>
      <c r="I133" s="1186"/>
      <c r="J133" s="1186"/>
      <c r="K133" s="1187" t="str">
        <f t="shared" ref="K133:AP133" si="149">IF(K17="준공/입주",$E$130,"0")</f>
        <v>0</v>
      </c>
      <c r="L133" s="1187" t="str">
        <f t="shared" si="149"/>
        <v>0</v>
      </c>
      <c r="M133" s="1187" t="str">
        <f t="shared" si="149"/>
        <v>0</v>
      </c>
      <c r="N133" s="1187" t="str">
        <f t="shared" si="149"/>
        <v>0</v>
      </c>
      <c r="O133" s="1187" t="str">
        <f t="shared" si="149"/>
        <v>0</v>
      </c>
      <c r="P133" s="1187" t="str">
        <f t="shared" si="149"/>
        <v>0</v>
      </c>
      <c r="Q133" s="1187" t="str">
        <f t="shared" si="149"/>
        <v>0</v>
      </c>
      <c r="R133" s="1187" t="str">
        <f t="shared" si="149"/>
        <v>0</v>
      </c>
      <c r="S133" s="1187" t="str">
        <f t="shared" si="149"/>
        <v>0</v>
      </c>
      <c r="T133" s="1187" t="str">
        <f t="shared" si="149"/>
        <v>0</v>
      </c>
      <c r="U133" s="1187" t="str">
        <f t="shared" si="149"/>
        <v>0</v>
      </c>
      <c r="V133" s="1187" t="str">
        <f t="shared" si="149"/>
        <v>0</v>
      </c>
      <c r="W133" s="1187" t="str">
        <f t="shared" si="149"/>
        <v>0</v>
      </c>
      <c r="X133" s="1187" t="str">
        <f t="shared" si="149"/>
        <v>0</v>
      </c>
      <c r="Y133" s="1187" t="str">
        <f t="shared" si="149"/>
        <v>0</v>
      </c>
      <c r="Z133" s="1187" t="str">
        <f t="shared" si="149"/>
        <v>0</v>
      </c>
      <c r="AA133" s="1187" t="str">
        <f t="shared" si="149"/>
        <v>0</v>
      </c>
      <c r="AB133" s="1187" t="str">
        <f t="shared" si="149"/>
        <v>0</v>
      </c>
      <c r="AC133" s="1187" t="str">
        <f t="shared" si="149"/>
        <v>0</v>
      </c>
      <c r="AD133" s="1187" t="str">
        <f t="shared" si="149"/>
        <v>0</v>
      </c>
      <c r="AE133" s="1187" t="str">
        <f t="shared" si="149"/>
        <v>0</v>
      </c>
      <c r="AF133" s="1187" t="str">
        <f t="shared" si="149"/>
        <v>0</v>
      </c>
      <c r="AG133" s="1187" t="str">
        <f t="shared" si="149"/>
        <v>0</v>
      </c>
      <c r="AH133" s="1187" t="str">
        <f t="shared" si="149"/>
        <v>0</v>
      </c>
      <c r="AI133" s="1187" t="str">
        <f t="shared" si="149"/>
        <v>0</v>
      </c>
      <c r="AJ133" s="1187" t="str">
        <f t="shared" si="149"/>
        <v>0</v>
      </c>
      <c r="AK133" s="1187" t="str">
        <f t="shared" si="149"/>
        <v>0</v>
      </c>
      <c r="AL133" s="1187" t="str">
        <f t="shared" si="149"/>
        <v>0</v>
      </c>
      <c r="AM133" s="1187" t="str">
        <f t="shared" si="149"/>
        <v>0</v>
      </c>
      <c r="AN133" s="1187" t="str">
        <f t="shared" si="149"/>
        <v>0</v>
      </c>
      <c r="AO133" s="1187" t="str">
        <f t="shared" si="149"/>
        <v>0</v>
      </c>
      <c r="AP133" s="1187" t="str">
        <f t="shared" si="149"/>
        <v>0</v>
      </c>
      <c r="AQ133" s="1187" t="str">
        <f t="shared" ref="AQ133:BU133" si="150">IF(AQ17="준공/입주",$E$130,"0")</f>
        <v>0</v>
      </c>
      <c r="AR133" s="1187" t="str">
        <f t="shared" si="150"/>
        <v>0</v>
      </c>
      <c r="AS133" s="1187" t="str">
        <f t="shared" si="150"/>
        <v>0</v>
      </c>
      <c r="AT133" s="1187" t="str">
        <f t="shared" si="150"/>
        <v>0</v>
      </c>
      <c r="AU133" s="1187" t="str">
        <f t="shared" si="150"/>
        <v>0</v>
      </c>
      <c r="AV133" s="1187" t="str">
        <f t="shared" si="150"/>
        <v>0</v>
      </c>
      <c r="AW133" s="1187" t="str">
        <f t="shared" si="150"/>
        <v>0</v>
      </c>
      <c r="AX133" s="1187" t="str">
        <f t="shared" si="150"/>
        <v>0</v>
      </c>
      <c r="AY133" s="1187" t="str">
        <f t="shared" si="150"/>
        <v>0</v>
      </c>
      <c r="AZ133" s="1187" t="str">
        <f t="shared" si="150"/>
        <v>0</v>
      </c>
      <c r="BA133" s="1187" t="str">
        <f t="shared" si="150"/>
        <v>0</v>
      </c>
      <c r="BB133" s="1187" t="str">
        <f t="shared" si="150"/>
        <v>0</v>
      </c>
      <c r="BC133" s="1187" t="str">
        <f t="shared" si="150"/>
        <v>0</v>
      </c>
      <c r="BD133" s="1187" t="str">
        <f t="shared" si="150"/>
        <v>0</v>
      </c>
      <c r="BE133" s="1187" t="str">
        <f t="shared" si="150"/>
        <v>0</v>
      </c>
      <c r="BF133" s="1187" t="str">
        <f t="shared" si="150"/>
        <v>0</v>
      </c>
      <c r="BG133" s="1187" t="str">
        <f t="shared" si="150"/>
        <v>0</v>
      </c>
      <c r="BH133" s="1187" t="str">
        <f t="shared" si="150"/>
        <v>0</v>
      </c>
      <c r="BI133" s="1187" t="str">
        <f t="shared" si="150"/>
        <v>0</v>
      </c>
      <c r="BJ133" s="1187" t="str">
        <f t="shared" si="150"/>
        <v>0</v>
      </c>
      <c r="BK133" s="1187" t="str">
        <f t="shared" si="150"/>
        <v>0</v>
      </c>
      <c r="BL133" s="1187" t="str">
        <f t="shared" si="150"/>
        <v>0</v>
      </c>
      <c r="BM133" s="1187" t="str">
        <f t="shared" si="150"/>
        <v>0</v>
      </c>
      <c r="BN133" s="1187" t="str">
        <f t="shared" si="150"/>
        <v>0</v>
      </c>
      <c r="BO133" s="1187" t="str">
        <f t="shared" si="150"/>
        <v>0</v>
      </c>
      <c r="BP133" s="1187" t="str">
        <f t="shared" si="150"/>
        <v>0</v>
      </c>
      <c r="BQ133" s="1187" t="str">
        <f t="shared" si="150"/>
        <v>0</v>
      </c>
      <c r="BR133" s="1187" t="str">
        <f t="shared" si="150"/>
        <v>0</v>
      </c>
      <c r="BS133" s="1187" t="str">
        <f t="shared" si="150"/>
        <v>0</v>
      </c>
      <c r="BT133" s="1187" t="str">
        <f t="shared" si="150"/>
        <v>0</v>
      </c>
      <c r="BU133" s="1187" t="str">
        <f t="shared" si="150"/>
        <v>0</v>
      </c>
      <c r="BV133" s="1187">
        <f>IF(BV129&gt;0,0,IF((BV148-BV128)&gt;BU134,BU134,(BV148-BV128)))</f>
        <v>0</v>
      </c>
      <c r="BW133" s="1187">
        <f>IF(BW129&gt;0,0,IF((BW148-BW128)&gt;BV134,BV134,(BW148-BW128)))</f>
        <v>0</v>
      </c>
      <c r="BX133" s="1187">
        <f>IF(BX129&gt;0,0,IF((BX148-BX128)&gt;BW134,BW134,(BX148-BX128)))</f>
        <v>0</v>
      </c>
      <c r="BY133" s="1187" t="str">
        <f t="shared" si="102"/>
        <v>Tr.C 상환</v>
      </c>
      <c r="BZ133" s="1037"/>
      <c r="CA133"/>
      <c r="CB133"/>
      <c r="CC133"/>
      <c r="CD133"/>
      <c r="CE133"/>
      <c r="CF133"/>
      <c r="CG133"/>
      <c r="CH133"/>
      <c r="CI133"/>
      <c r="CJ133"/>
      <c r="CK133"/>
    </row>
    <row r="134" spans="2:89" s="1038" customFormat="1">
      <c r="B134" s="1180" t="s">
        <v>1057</v>
      </c>
      <c r="C134" s="1181"/>
      <c r="D134" s="1181"/>
      <c r="E134" s="1190">
        <f>BV134</f>
        <v>0</v>
      </c>
      <c r="F134" s="1183">
        <f t="shared" si="119"/>
        <v>0</v>
      </c>
      <c r="G134" s="1184"/>
      <c r="H134" s="1186"/>
      <c r="I134" s="1186"/>
      <c r="J134" s="1186"/>
      <c r="K134" s="1186">
        <f>K130-K133</f>
        <v>0</v>
      </c>
      <c r="L134" s="1186">
        <f>K134+L130-L133</f>
        <v>0</v>
      </c>
      <c r="M134" s="1186">
        <f t="shared" ref="M134:AN134" si="151">L134+M130-M133</f>
        <v>0</v>
      </c>
      <c r="N134" s="1186">
        <f t="shared" si="151"/>
        <v>0</v>
      </c>
      <c r="O134" s="1186">
        <f t="shared" si="151"/>
        <v>0</v>
      </c>
      <c r="P134" s="1186">
        <f t="shared" si="151"/>
        <v>0</v>
      </c>
      <c r="Q134" s="1186">
        <f t="shared" si="151"/>
        <v>0</v>
      </c>
      <c r="R134" s="1186">
        <f t="shared" si="151"/>
        <v>0</v>
      </c>
      <c r="S134" s="1186">
        <f t="shared" si="151"/>
        <v>0</v>
      </c>
      <c r="T134" s="1186">
        <f t="shared" si="151"/>
        <v>0</v>
      </c>
      <c r="U134" s="1186">
        <f t="shared" si="151"/>
        <v>0</v>
      </c>
      <c r="V134" s="1186">
        <f t="shared" si="151"/>
        <v>0</v>
      </c>
      <c r="W134" s="1186">
        <f t="shared" si="151"/>
        <v>0</v>
      </c>
      <c r="X134" s="1186">
        <f t="shared" si="151"/>
        <v>0</v>
      </c>
      <c r="Y134" s="1186">
        <f t="shared" si="151"/>
        <v>0</v>
      </c>
      <c r="Z134" s="1186">
        <f t="shared" si="151"/>
        <v>0</v>
      </c>
      <c r="AA134" s="1186">
        <f t="shared" si="151"/>
        <v>0</v>
      </c>
      <c r="AB134" s="1186">
        <f t="shared" si="151"/>
        <v>0</v>
      </c>
      <c r="AC134" s="1186">
        <f t="shared" si="151"/>
        <v>0</v>
      </c>
      <c r="AD134" s="1186">
        <f t="shared" si="151"/>
        <v>0</v>
      </c>
      <c r="AE134" s="1186">
        <f t="shared" si="151"/>
        <v>0</v>
      </c>
      <c r="AF134" s="1186">
        <f t="shared" si="151"/>
        <v>0</v>
      </c>
      <c r="AG134" s="1186">
        <f t="shared" si="151"/>
        <v>0</v>
      </c>
      <c r="AH134" s="1186">
        <f t="shared" si="151"/>
        <v>0</v>
      </c>
      <c r="AI134" s="1186">
        <f t="shared" si="151"/>
        <v>0</v>
      </c>
      <c r="AJ134" s="1186">
        <f t="shared" si="151"/>
        <v>0</v>
      </c>
      <c r="AK134" s="1186">
        <f t="shared" si="151"/>
        <v>0</v>
      </c>
      <c r="AL134" s="1186">
        <f t="shared" si="151"/>
        <v>0</v>
      </c>
      <c r="AM134" s="1186">
        <f t="shared" si="151"/>
        <v>0</v>
      </c>
      <c r="AN134" s="1186">
        <f t="shared" si="151"/>
        <v>0</v>
      </c>
      <c r="AO134" s="1186">
        <f t="shared" ref="AO134:BE134" si="152">AN134+AO130-AO133</f>
        <v>0</v>
      </c>
      <c r="AP134" s="1186">
        <f t="shared" si="152"/>
        <v>0</v>
      </c>
      <c r="AQ134" s="1186">
        <f t="shared" si="152"/>
        <v>0</v>
      </c>
      <c r="AR134" s="1186">
        <f t="shared" si="152"/>
        <v>0</v>
      </c>
      <c r="AS134" s="1186">
        <f t="shared" si="152"/>
        <v>0</v>
      </c>
      <c r="AT134" s="1186">
        <f t="shared" si="152"/>
        <v>0</v>
      </c>
      <c r="AU134" s="1186">
        <f t="shared" si="152"/>
        <v>0</v>
      </c>
      <c r="AV134" s="1186">
        <f t="shared" si="152"/>
        <v>0</v>
      </c>
      <c r="AW134" s="1186">
        <f t="shared" si="152"/>
        <v>0</v>
      </c>
      <c r="AX134" s="1186">
        <f t="shared" si="152"/>
        <v>0</v>
      </c>
      <c r="AY134" s="1186">
        <f t="shared" si="152"/>
        <v>0</v>
      </c>
      <c r="AZ134" s="1186">
        <f t="shared" si="152"/>
        <v>0</v>
      </c>
      <c r="BA134" s="1186">
        <f t="shared" si="152"/>
        <v>0</v>
      </c>
      <c r="BB134" s="1186">
        <f t="shared" si="152"/>
        <v>0</v>
      </c>
      <c r="BC134" s="1186">
        <f t="shared" si="152"/>
        <v>0</v>
      </c>
      <c r="BD134" s="1186">
        <f t="shared" si="152"/>
        <v>0</v>
      </c>
      <c r="BE134" s="1186">
        <f t="shared" si="152"/>
        <v>0</v>
      </c>
      <c r="BF134" s="1186">
        <f t="shared" ref="BF134:BU134" si="153">BE134+BF130-BF133</f>
        <v>0</v>
      </c>
      <c r="BG134" s="1186">
        <f t="shared" si="153"/>
        <v>0</v>
      </c>
      <c r="BH134" s="1186">
        <f t="shared" si="153"/>
        <v>0</v>
      </c>
      <c r="BI134" s="1186">
        <f t="shared" si="153"/>
        <v>0</v>
      </c>
      <c r="BJ134" s="1186">
        <f t="shared" si="153"/>
        <v>0</v>
      </c>
      <c r="BK134" s="1186">
        <f t="shared" si="153"/>
        <v>0</v>
      </c>
      <c r="BL134" s="1186">
        <f t="shared" si="153"/>
        <v>0</v>
      </c>
      <c r="BM134" s="1186">
        <f t="shared" si="153"/>
        <v>0</v>
      </c>
      <c r="BN134" s="1186">
        <f t="shared" si="153"/>
        <v>0</v>
      </c>
      <c r="BO134" s="1186">
        <f t="shared" si="153"/>
        <v>0</v>
      </c>
      <c r="BP134" s="1186">
        <f t="shared" si="153"/>
        <v>0</v>
      </c>
      <c r="BQ134" s="1186">
        <f t="shared" si="153"/>
        <v>0</v>
      </c>
      <c r="BR134" s="1186">
        <f t="shared" si="153"/>
        <v>0</v>
      </c>
      <c r="BS134" s="1186">
        <f t="shared" si="153"/>
        <v>0</v>
      </c>
      <c r="BT134" s="1186">
        <f t="shared" si="153"/>
        <v>0</v>
      </c>
      <c r="BU134" s="1186">
        <f t="shared" si="153"/>
        <v>0</v>
      </c>
      <c r="BV134" s="1186">
        <f>BU134-BV133</f>
        <v>0</v>
      </c>
      <c r="BW134" s="1186">
        <f t="shared" ref="BW134:BX134" si="154">BV134-BW133</f>
        <v>0</v>
      </c>
      <c r="BX134" s="1186">
        <f t="shared" si="154"/>
        <v>0</v>
      </c>
      <c r="BY134" s="1187" t="str">
        <f t="shared" si="102"/>
        <v>Tr.C 잔액</v>
      </c>
      <c r="BZ134" s="1037"/>
      <c r="CA134"/>
      <c r="CB134"/>
      <c r="CC134"/>
      <c r="CD134"/>
      <c r="CE134"/>
      <c r="CF134"/>
      <c r="CG134"/>
      <c r="CH134"/>
      <c r="CI134"/>
      <c r="CJ134"/>
      <c r="CK134"/>
    </row>
    <row r="135" spans="2:89" s="1038" customFormat="1">
      <c r="B135" s="1191" t="s">
        <v>1058</v>
      </c>
      <c r="C135" s="1192"/>
      <c r="D135" s="1192"/>
      <c r="E135" s="1193">
        <f>E123+E128+E133</f>
        <v>22000000</v>
      </c>
      <c r="F135" s="1058">
        <f t="shared" si="119"/>
        <v>0</v>
      </c>
      <c r="G135" s="959"/>
      <c r="H135" s="960"/>
      <c r="I135" s="960"/>
      <c r="J135" s="960"/>
      <c r="K135" s="1194">
        <f>K120+K125+K130</f>
        <v>22000000</v>
      </c>
      <c r="L135" s="1057">
        <f t="shared" ref="L135:AP135" si="155">K135+L120+L125+L130-L123-L128-L133</f>
        <v>22000000</v>
      </c>
      <c r="M135" s="1194">
        <f t="shared" si="155"/>
        <v>22000000</v>
      </c>
      <c r="N135" s="1194">
        <f t="shared" si="155"/>
        <v>22000000</v>
      </c>
      <c r="O135" s="1057">
        <f t="shared" si="155"/>
        <v>22000000</v>
      </c>
      <c r="P135" s="1194">
        <f t="shared" si="155"/>
        <v>22000000</v>
      </c>
      <c r="Q135" s="1194">
        <f t="shared" si="155"/>
        <v>22000000</v>
      </c>
      <c r="R135" s="1057">
        <f t="shared" si="155"/>
        <v>22000000</v>
      </c>
      <c r="S135" s="1194">
        <f t="shared" si="155"/>
        <v>22000000</v>
      </c>
      <c r="T135" s="1194">
        <f t="shared" si="155"/>
        <v>22000000</v>
      </c>
      <c r="U135" s="1057">
        <f t="shared" si="155"/>
        <v>22000000</v>
      </c>
      <c r="V135" s="1194">
        <f t="shared" si="155"/>
        <v>22000000</v>
      </c>
      <c r="W135" s="1194">
        <f t="shared" si="155"/>
        <v>22000000</v>
      </c>
      <c r="X135" s="1057">
        <f t="shared" si="155"/>
        <v>22000000</v>
      </c>
      <c r="Y135" s="1194">
        <f t="shared" si="155"/>
        <v>22000000</v>
      </c>
      <c r="Z135" s="1194">
        <f t="shared" si="155"/>
        <v>22000000</v>
      </c>
      <c r="AA135" s="1057">
        <f t="shared" si="155"/>
        <v>22000000</v>
      </c>
      <c r="AB135" s="1194">
        <f t="shared" si="155"/>
        <v>22000000</v>
      </c>
      <c r="AC135" s="1194">
        <f t="shared" si="155"/>
        <v>22000000</v>
      </c>
      <c r="AD135" s="1057">
        <f t="shared" si="155"/>
        <v>22000000</v>
      </c>
      <c r="AE135" s="1194">
        <f t="shared" si="155"/>
        <v>22000000</v>
      </c>
      <c r="AF135" s="1194">
        <f t="shared" si="155"/>
        <v>22000000</v>
      </c>
      <c r="AG135" s="1057">
        <f t="shared" si="155"/>
        <v>22000000</v>
      </c>
      <c r="AH135" s="1194">
        <f t="shared" si="155"/>
        <v>22000000</v>
      </c>
      <c r="AI135" s="1194">
        <f t="shared" si="155"/>
        <v>22000000</v>
      </c>
      <c r="AJ135" s="1057">
        <f t="shared" si="155"/>
        <v>22000000</v>
      </c>
      <c r="AK135" s="1194">
        <f t="shared" si="155"/>
        <v>22000000</v>
      </c>
      <c r="AL135" s="1194">
        <f t="shared" si="155"/>
        <v>22000000</v>
      </c>
      <c r="AM135" s="1057">
        <f t="shared" si="155"/>
        <v>22000000</v>
      </c>
      <c r="AN135" s="1194">
        <f t="shared" si="155"/>
        <v>22000000</v>
      </c>
      <c r="AO135" s="1194">
        <f t="shared" si="155"/>
        <v>22000000</v>
      </c>
      <c r="AP135" s="1194">
        <f t="shared" si="155"/>
        <v>22000000</v>
      </c>
      <c r="AQ135" s="1194">
        <f t="shared" ref="AQ135" si="156">AP135+AQ120+AQ125+AQ130-AQ123-AQ128-AQ133</f>
        <v>22000000</v>
      </c>
      <c r="AR135" s="1194">
        <f t="shared" ref="AR135" si="157">AQ135+AR120+AR125+AR130-AR123-AR128-AR133</f>
        <v>22000000</v>
      </c>
      <c r="AS135" s="1194">
        <f t="shared" ref="AS135" si="158">AR135+AS120+AS125+AS130-AS123-AS128-AS133</f>
        <v>22000000</v>
      </c>
      <c r="AT135" s="1194">
        <f t="shared" ref="AT135" si="159">AS135+AT120+AT125+AT130-AT123-AT128-AT133</f>
        <v>22000000</v>
      </c>
      <c r="AU135" s="1194">
        <f t="shared" ref="AU135:BE135" si="160">AT135+AU120+AU125+AU130-AU123-AU128-AU133</f>
        <v>22000000</v>
      </c>
      <c r="AV135" s="1194">
        <f t="shared" si="160"/>
        <v>22000000</v>
      </c>
      <c r="AW135" s="1194">
        <f t="shared" si="160"/>
        <v>22000000</v>
      </c>
      <c r="AX135" s="1194">
        <f t="shared" si="160"/>
        <v>22000000</v>
      </c>
      <c r="AY135" s="1194">
        <f t="shared" si="160"/>
        <v>22000000</v>
      </c>
      <c r="AZ135" s="1194">
        <f t="shared" si="160"/>
        <v>22000000</v>
      </c>
      <c r="BA135" s="1194">
        <f t="shared" si="160"/>
        <v>22000000</v>
      </c>
      <c r="BB135" s="1194">
        <f t="shared" si="160"/>
        <v>22000000</v>
      </c>
      <c r="BC135" s="1194">
        <f t="shared" si="160"/>
        <v>22000000</v>
      </c>
      <c r="BD135" s="1194">
        <f t="shared" si="160"/>
        <v>22000000</v>
      </c>
      <c r="BE135" s="1194">
        <f t="shared" si="160"/>
        <v>22000000</v>
      </c>
      <c r="BF135" s="1194">
        <f t="shared" ref="BF135:BT135" si="161">BE135+BF120+BF125+BF130-BF123-BF128-BF133</f>
        <v>22000000</v>
      </c>
      <c r="BG135" s="1194">
        <f t="shared" si="161"/>
        <v>22000000</v>
      </c>
      <c r="BH135" s="1194">
        <f t="shared" si="161"/>
        <v>22000000</v>
      </c>
      <c r="BI135" s="1194">
        <f t="shared" si="161"/>
        <v>22000000</v>
      </c>
      <c r="BJ135" s="1194">
        <f t="shared" si="161"/>
        <v>22000000</v>
      </c>
      <c r="BK135" s="1194">
        <f t="shared" si="161"/>
        <v>22000000</v>
      </c>
      <c r="BL135" s="1194">
        <f t="shared" si="161"/>
        <v>22000000</v>
      </c>
      <c r="BM135" s="1194">
        <f t="shared" si="161"/>
        <v>22000000</v>
      </c>
      <c r="BN135" s="1194">
        <f t="shared" si="161"/>
        <v>22000000</v>
      </c>
      <c r="BO135" s="1194">
        <f t="shared" si="161"/>
        <v>22000000</v>
      </c>
      <c r="BP135" s="1194">
        <f t="shared" si="161"/>
        <v>22000000</v>
      </c>
      <c r="BQ135" s="1194">
        <f t="shared" si="161"/>
        <v>22000000</v>
      </c>
      <c r="BR135" s="1194">
        <f t="shared" si="161"/>
        <v>22000000</v>
      </c>
      <c r="BS135" s="1194">
        <f t="shared" si="161"/>
        <v>22000000</v>
      </c>
      <c r="BT135" s="1194">
        <f t="shared" si="161"/>
        <v>22000000</v>
      </c>
      <c r="BU135" s="1194">
        <f>BT135+BU120+BU125+BU130-BU123-BU128-BU133</f>
        <v>22000000</v>
      </c>
      <c r="BV135" s="1194"/>
      <c r="BW135" s="1194"/>
      <c r="BX135" s="1194"/>
      <c r="BY135" s="1148" t="str">
        <f t="shared" si="102"/>
        <v>PF 누계</v>
      </c>
      <c r="BZ135" s="1037"/>
      <c r="CA135"/>
      <c r="CB135"/>
      <c r="CC135"/>
      <c r="CD135"/>
      <c r="CE135"/>
      <c r="CF135"/>
      <c r="CG135"/>
      <c r="CH135"/>
      <c r="CI135"/>
      <c r="CJ135"/>
      <c r="CK135"/>
    </row>
    <row r="136" spans="2:89" s="1038" customFormat="1">
      <c r="B136" s="1149">
        <f>'사업수지표 '!R42+'사업수지표 '!R43</f>
        <v>36000000</v>
      </c>
      <c r="C136" s="1149"/>
      <c r="D136" s="1149">
        <f>'사업수지표 '!R44+'사업수지표 '!R45</f>
        <v>0</v>
      </c>
      <c r="E136" s="1149">
        <f>'사업수지표 '!R46+'사업수지표 '!R47</f>
        <v>0</v>
      </c>
      <c r="F136" s="1141"/>
      <c r="G136" s="998"/>
      <c r="H136" s="998"/>
      <c r="I136" s="998"/>
      <c r="J136" s="998"/>
      <c r="K136" s="998"/>
      <c r="L136" s="998"/>
      <c r="M136" s="998"/>
      <c r="N136" s="1401"/>
      <c r="O136" s="1401"/>
      <c r="P136" s="1401"/>
      <c r="Q136" s="1401"/>
      <c r="R136" s="1401"/>
      <c r="S136" s="1401"/>
      <c r="T136" s="1401"/>
      <c r="U136" s="1401"/>
      <c r="V136" s="1401"/>
      <c r="W136" s="1401"/>
      <c r="X136" s="1401"/>
      <c r="Y136" s="1401"/>
      <c r="Z136" s="1401"/>
      <c r="AA136" s="1401"/>
      <c r="AB136" s="1401"/>
      <c r="AC136" s="1401"/>
      <c r="AD136" s="1401"/>
      <c r="AE136" s="1401"/>
      <c r="AF136" s="1401"/>
      <c r="AG136" s="1401"/>
      <c r="AH136" s="1401"/>
      <c r="AI136" s="1401"/>
      <c r="AJ136" s="1401"/>
      <c r="AK136" s="1401"/>
      <c r="AL136" s="1401"/>
      <c r="AM136" s="1401"/>
      <c r="AN136" s="1401"/>
      <c r="AO136" s="1401"/>
      <c r="AP136" s="1401"/>
      <c r="AQ136" s="1401"/>
      <c r="AR136" s="1401"/>
      <c r="AS136" s="1401"/>
      <c r="AT136" s="1401"/>
      <c r="AU136" s="1401"/>
      <c r="AV136" s="1401"/>
      <c r="AW136" s="1401"/>
      <c r="AX136" s="1401"/>
      <c r="AY136" s="1401"/>
      <c r="AZ136" s="1401"/>
      <c r="BA136" s="1401"/>
      <c r="BB136" s="1401"/>
      <c r="BC136" s="1401"/>
      <c r="BD136" s="1401"/>
      <c r="BE136" s="1401"/>
      <c r="BF136" s="1401"/>
      <c r="BG136" s="1401"/>
      <c r="BH136" s="1401"/>
      <c r="BI136" s="1401"/>
      <c r="BJ136" s="1401"/>
      <c r="BK136" s="1401"/>
      <c r="BL136" s="1401"/>
      <c r="BM136" s="1401"/>
      <c r="BN136" s="1401"/>
      <c r="BO136" s="1401"/>
      <c r="BP136" s="1401"/>
      <c r="BQ136" s="1401"/>
      <c r="BR136" s="1401"/>
      <c r="BS136" s="1401"/>
      <c r="BT136" s="1401"/>
      <c r="BU136" s="1401"/>
      <c r="BV136" s="1401"/>
      <c r="BW136" s="1401"/>
      <c r="BX136" s="998"/>
      <c r="BY136" s="1148"/>
      <c r="BZ136" s="1037"/>
      <c r="CA136"/>
      <c r="CB136"/>
      <c r="CC136"/>
      <c r="CD136"/>
      <c r="CE136"/>
      <c r="CF136"/>
      <c r="CG136"/>
      <c r="CH136"/>
      <c r="CI136"/>
      <c r="CJ136"/>
      <c r="CK136"/>
    </row>
    <row r="137" spans="2:89" s="1038" customFormat="1">
      <c r="B137" s="1149">
        <f>B136-D120-E120-E121</f>
        <v>0</v>
      </c>
      <c r="C137" s="1149"/>
      <c r="D137" s="1149">
        <f>D136-D125-E125-E126</f>
        <v>0</v>
      </c>
      <c r="E137" s="1149">
        <f>E136-D130-E130-E131</f>
        <v>0</v>
      </c>
      <c r="F137" s="1141"/>
      <c r="G137" s="998"/>
      <c r="H137" s="998"/>
      <c r="I137" s="998"/>
      <c r="J137" s="998"/>
      <c r="K137" s="998"/>
      <c r="L137" s="998"/>
      <c r="M137" s="998"/>
      <c r="N137" s="1401"/>
      <c r="O137" s="1401"/>
      <c r="P137" s="1401"/>
      <c r="Q137" s="1401"/>
      <c r="R137" s="1401"/>
      <c r="S137" s="1401"/>
      <c r="T137" s="1401"/>
      <c r="U137" s="1401"/>
      <c r="V137" s="1401"/>
      <c r="W137" s="1401"/>
      <c r="X137" s="1401"/>
      <c r="Y137" s="1401"/>
      <c r="Z137" s="1401"/>
      <c r="AA137" s="1401"/>
      <c r="AB137" s="1401"/>
      <c r="AC137" s="1401"/>
      <c r="AD137" s="1401"/>
      <c r="AE137" s="1401"/>
      <c r="AF137" s="1401"/>
      <c r="AG137" s="1401"/>
      <c r="AH137" s="1401"/>
      <c r="AI137" s="1401"/>
      <c r="AJ137" s="1401"/>
      <c r="AK137" s="1401"/>
      <c r="AL137" s="1401"/>
      <c r="AM137" s="1401"/>
      <c r="AN137" s="1401"/>
      <c r="AO137" s="1401"/>
      <c r="AP137" s="1401"/>
      <c r="AQ137" s="1401"/>
      <c r="AR137" s="1401"/>
      <c r="AS137" s="1401"/>
      <c r="AT137" s="1401"/>
      <c r="AU137" s="1401"/>
      <c r="AV137" s="1401"/>
      <c r="AW137" s="1401"/>
      <c r="AX137" s="1401"/>
      <c r="AY137" s="1401"/>
      <c r="AZ137" s="1401"/>
      <c r="BA137" s="1401"/>
      <c r="BB137" s="1401"/>
      <c r="BC137" s="1401"/>
      <c r="BD137" s="1401"/>
      <c r="BE137" s="1401"/>
      <c r="BF137" s="1401"/>
      <c r="BG137" s="1401"/>
      <c r="BH137" s="1401"/>
      <c r="BI137" s="1401"/>
      <c r="BJ137" s="1401"/>
      <c r="BK137" s="1401"/>
      <c r="BL137" s="1401"/>
      <c r="BM137" s="1401"/>
      <c r="BN137" s="1401"/>
      <c r="BO137" s="1401"/>
      <c r="BP137" s="1401"/>
      <c r="BQ137" s="1401"/>
      <c r="BR137" s="1401"/>
      <c r="BS137" s="1401"/>
      <c r="BT137" s="1401"/>
      <c r="BU137" s="1401"/>
      <c r="BV137" s="1401"/>
      <c r="BW137" s="1401"/>
      <c r="BX137" s="998"/>
      <c r="BY137" s="1148"/>
      <c r="BZ137" s="1037"/>
      <c r="CA137"/>
      <c r="CB137"/>
      <c r="CC137"/>
      <c r="CD137"/>
      <c r="CE137"/>
      <c r="CF137"/>
      <c r="CG137"/>
      <c r="CH137"/>
      <c r="CI137"/>
      <c r="CJ137"/>
      <c r="CK137"/>
    </row>
    <row r="138" spans="2:89" s="1038" customFormat="1">
      <c r="B138" s="1687" t="s">
        <v>1518</v>
      </c>
      <c r="C138" s="1687" t="s">
        <v>1602</v>
      </c>
      <c r="D138" s="1687" t="s">
        <v>1603</v>
      </c>
      <c r="E138" s="1149">
        <f t="shared" ref="E138:E146" si="162">SUM(G138:BX138)</f>
        <v>71930742.257880017</v>
      </c>
      <c r="F138" s="1141"/>
      <c r="G138" s="1685">
        <f t="shared" ref="G138:M138" si="163">SUM(G139:G146)</f>
        <v>0</v>
      </c>
      <c r="H138" s="1685">
        <f t="shared" si="163"/>
        <v>0</v>
      </c>
      <c r="I138" s="1685">
        <f t="shared" si="163"/>
        <v>0</v>
      </c>
      <c r="J138" s="1685">
        <f t="shared" si="163"/>
        <v>0</v>
      </c>
      <c r="K138" s="1685">
        <f t="shared" si="163"/>
        <v>0</v>
      </c>
      <c r="L138" s="1685">
        <f t="shared" si="163"/>
        <v>0</v>
      </c>
      <c r="M138" s="1685">
        <f t="shared" si="163"/>
        <v>0</v>
      </c>
      <c r="N138" s="1685">
        <f>SUM(N139:N146)</f>
        <v>628216.66155600001</v>
      </c>
      <c r="O138" s="1685">
        <f t="shared" ref="O138:BV138" si="164">SUM(O139:O146)</f>
        <v>471162.49616699998</v>
      </c>
      <c r="P138" s="1685">
        <f t="shared" si="164"/>
        <v>376929.99693359999</v>
      </c>
      <c r="Q138" s="1685">
        <f t="shared" si="164"/>
        <v>314108.330778</v>
      </c>
      <c r="R138" s="1685">
        <f t="shared" si="164"/>
        <v>2235894.5577473999</v>
      </c>
      <c r="S138" s="1685">
        <f t="shared" si="164"/>
        <v>433602.83541960013</v>
      </c>
      <c r="T138" s="1685">
        <f t="shared" si="164"/>
        <v>371659.57321680029</v>
      </c>
      <c r="U138" s="1685">
        <f t="shared" si="164"/>
        <v>309716.31101400015</v>
      </c>
      <c r="V138" s="1685">
        <f t="shared" si="164"/>
        <v>2996570.0740140001</v>
      </c>
      <c r="W138" s="1685">
        <f t="shared" si="164"/>
        <v>369902.76531120058</v>
      </c>
      <c r="X138" s="1685">
        <f t="shared" si="164"/>
        <v>369902.76531119982</v>
      </c>
      <c r="Y138" s="1685">
        <f t="shared" si="164"/>
        <v>369902.76531120058</v>
      </c>
      <c r="Z138" s="1685">
        <f t="shared" si="164"/>
        <v>3053242.9125000006</v>
      </c>
      <c r="AA138" s="1685">
        <f t="shared" si="164"/>
        <v>0</v>
      </c>
      <c r="AB138" s="1685">
        <f t="shared" si="164"/>
        <v>0</v>
      </c>
      <c r="AC138" s="1685">
        <f t="shared" si="164"/>
        <v>0</v>
      </c>
      <c r="AD138" s="1685">
        <f t="shared" si="164"/>
        <v>3053242.9125000006</v>
      </c>
      <c r="AE138" s="1685">
        <f t="shared" si="164"/>
        <v>0</v>
      </c>
      <c r="AF138" s="1685">
        <f t="shared" si="164"/>
        <v>0</v>
      </c>
      <c r="AG138" s="1685">
        <f t="shared" si="164"/>
        <v>0</v>
      </c>
      <c r="AH138" s="1685">
        <f t="shared" si="164"/>
        <v>3053242.9125000006</v>
      </c>
      <c r="AI138" s="1685">
        <f t="shared" si="164"/>
        <v>0</v>
      </c>
      <c r="AJ138" s="1685">
        <f t="shared" si="164"/>
        <v>0</v>
      </c>
      <c r="AK138" s="1685">
        <f t="shared" si="164"/>
        <v>19166.400000000001</v>
      </c>
      <c r="AL138" s="1685">
        <f t="shared" si="164"/>
        <v>3058034.5125000007</v>
      </c>
      <c r="AM138" s="1685">
        <f t="shared" si="164"/>
        <v>23958</v>
      </c>
      <c r="AN138" s="1685">
        <f t="shared" si="164"/>
        <v>0</v>
      </c>
      <c r="AO138" s="1685">
        <f t="shared" si="164"/>
        <v>35937</v>
      </c>
      <c r="AP138" s="1685">
        <f t="shared" si="164"/>
        <v>0</v>
      </c>
      <c r="AQ138" s="1685">
        <f t="shared" si="164"/>
        <v>35937</v>
      </c>
      <c r="AR138" s="1685">
        <f t="shared" si="164"/>
        <v>0</v>
      </c>
      <c r="AS138" s="1685">
        <f t="shared" si="164"/>
        <v>0</v>
      </c>
      <c r="AT138" s="1685">
        <f t="shared" si="164"/>
        <v>0</v>
      </c>
      <c r="AU138" s="1685">
        <f t="shared" si="164"/>
        <v>0</v>
      </c>
      <c r="AV138" s="1685">
        <f t="shared" si="164"/>
        <v>0</v>
      </c>
      <c r="AW138" s="1685">
        <f t="shared" si="164"/>
        <v>0</v>
      </c>
      <c r="AX138" s="1685">
        <f t="shared" si="164"/>
        <v>0</v>
      </c>
      <c r="AY138" s="1685">
        <f t="shared" si="164"/>
        <v>0</v>
      </c>
      <c r="AZ138" s="1685">
        <f t="shared" si="164"/>
        <v>0</v>
      </c>
      <c r="BA138" s="1685">
        <f t="shared" si="164"/>
        <v>0</v>
      </c>
      <c r="BB138" s="1685">
        <f t="shared" si="164"/>
        <v>0</v>
      </c>
      <c r="BC138" s="1685">
        <f t="shared" si="164"/>
        <v>0</v>
      </c>
      <c r="BD138" s="1685">
        <f t="shared" si="164"/>
        <v>0</v>
      </c>
      <c r="BE138" s="1685">
        <f t="shared" si="164"/>
        <v>0</v>
      </c>
      <c r="BF138" s="1685">
        <f t="shared" si="164"/>
        <v>0</v>
      </c>
      <c r="BG138" s="1685">
        <f t="shared" si="164"/>
        <v>0</v>
      </c>
      <c r="BH138" s="1685">
        <f t="shared" si="164"/>
        <v>0</v>
      </c>
      <c r="BI138" s="1685">
        <f t="shared" si="164"/>
        <v>0</v>
      </c>
      <c r="BJ138" s="1685">
        <f t="shared" si="164"/>
        <v>0</v>
      </c>
      <c r="BK138" s="1685">
        <f t="shared" si="164"/>
        <v>0</v>
      </c>
      <c r="BL138" s="1685">
        <f t="shared" si="164"/>
        <v>0</v>
      </c>
      <c r="BM138" s="1685">
        <f t="shared" si="164"/>
        <v>0</v>
      </c>
      <c r="BN138" s="1685">
        <f t="shared" si="164"/>
        <v>0</v>
      </c>
      <c r="BO138" s="1685">
        <f t="shared" si="164"/>
        <v>0</v>
      </c>
      <c r="BP138" s="1685">
        <f t="shared" si="164"/>
        <v>0</v>
      </c>
      <c r="BQ138" s="1685">
        <f t="shared" si="164"/>
        <v>0</v>
      </c>
      <c r="BR138" s="1685">
        <f t="shared" si="164"/>
        <v>0</v>
      </c>
      <c r="BS138" s="1685">
        <f t="shared" si="164"/>
        <v>0</v>
      </c>
      <c r="BT138" s="1685">
        <f t="shared" si="164"/>
        <v>0</v>
      </c>
      <c r="BU138" s="1685">
        <f t="shared" si="164"/>
        <v>0</v>
      </c>
      <c r="BV138" s="1685">
        <f t="shared" si="164"/>
        <v>5035041.1475100014</v>
      </c>
      <c r="BW138" s="1685">
        <f t="shared" ref="BW138:BX138" si="165">SUM(BW139:BW146)</f>
        <v>10010187.295020003</v>
      </c>
      <c r="BX138" s="1685">
        <f t="shared" si="165"/>
        <v>35305183.032570004</v>
      </c>
      <c r="BY138" s="1148"/>
      <c r="BZ138" s="1037"/>
      <c r="CA138"/>
      <c r="CB138"/>
      <c r="CC138"/>
      <c r="CD138"/>
      <c r="CE138"/>
      <c r="CF138"/>
      <c r="CG138"/>
      <c r="CH138"/>
      <c r="CI138"/>
      <c r="CJ138"/>
      <c r="CK138"/>
    </row>
    <row r="139" spans="2:89" s="1038" customFormat="1">
      <c r="B139" s="1149" t="str">
        <f>'사업수지표 '!B11</f>
        <v>공동주택</v>
      </c>
      <c r="C139" s="1686">
        <f>Equity!M6</f>
        <v>0.2</v>
      </c>
      <c r="D139" s="1686">
        <f>Equity!N6</f>
        <v>0.2</v>
      </c>
      <c r="E139" s="1149">
        <f t="shared" si="162"/>
        <v>67171344.075000018</v>
      </c>
      <c r="F139" s="1141"/>
      <c r="G139" s="1685">
        <f>G202*$D$139</f>
        <v>0</v>
      </c>
      <c r="H139" s="1685">
        <f>H202*$D$139</f>
        <v>0</v>
      </c>
      <c r="I139" s="1749">
        <f t="shared" ref="I139:AN139" si="166">$C$139*I194+$D$139*SUM(I195:I200)</f>
        <v>0</v>
      </c>
      <c r="J139" s="1749">
        <f t="shared" si="166"/>
        <v>0</v>
      </c>
      <c r="K139" s="1749">
        <f t="shared" si="166"/>
        <v>0</v>
      </c>
      <c r="L139" s="1749">
        <f t="shared" si="166"/>
        <v>0</v>
      </c>
      <c r="M139" s="1749">
        <f t="shared" si="166"/>
        <v>0</v>
      </c>
      <c r="N139" s="1749">
        <f t="shared" si="166"/>
        <v>610648.58250000002</v>
      </c>
      <c r="O139" s="1749">
        <f t="shared" si="166"/>
        <v>457986.43687499996</v>
      </c>
      <c r="P139" s="1749">
        <f t="shared" si="166"/>
        <v>366389.1495</v>
      </c>
      <c r="Q139" s="1749">
        <f t="shared" si="166"/>
        <v>305324.29125000001</v>
      </c>
      <c r="R139" s="1749">
        <f t="shared" si="166"/>
        <v>2228867.3261249997</v>
      </c>
      <c r="S139" s="1749">
        <f t="shared" si="166"/>
        <v>427454.00775000011</v>
      </c>
      <c r="T139" s="1749">
        <f t="shared" si="166"/>
        <v>366389.14950000029</v>
      </c>
      <c r="U139" s="1749">
        <f t="shared" si="166"/>
        <v>305324.29125000013</v>
      </c>
      <c r="V139" s="1749">
        <f t="shared" si="166"/>
        <v>2992178.05425</v>
      </c>
      <c r="W139" s="1749">
        <f t="shared" si="166"/>
        <v>366389.14950000058</v>
      </c>
      <c r="X139" s="1749">
        <f t="shared" si="166"/>
        <v>366389.14949999982</v>
      </c>
      <c r="Y139" s="1749">
        <f t="shared" si="166"/>
        <v>366389.14950000058</v>
      </c>
      <c r="Z139" s="1749">
        <f t="shared" si="166"/>
        <v>3053242.9125000006</v>
      </c>
      <c r="AA139" s="1749">
        <f t="shared" si="166"/>
        <v>0</v>
      </c>
      <c r="AB139" s="1749">
        <f t="shared" si="166"/>
        <v>0</v>
      </c>
      <c r="AC139" s="1749">
        <f t="shared" si="166"/>
        <v>0</v>
      </c>
      <c r="AD139" s="1749">
        <f t="shared" si="166"/>
        <v>3053242.9125000006</v>
      </c>
      <c r="AE139" s="1749">
        <f t="shared" si="166"/>
        <v>0</v>
      </c>
      <c r="AF139" s="1749">
        <f t="shared" si="166"/>
        <v>0</v>
      </c>
      <c r="AG139" s="1749">
        <f t="shared" si="166"/>
        <v>0</v>
      </c>
      <c r="AH139" s="1749">
        <f t="shared" si="166"/>
        <v>3053242.9125000006</v>
      </c>
      <c r="AI139" s="1749">
        <f t="shared" si="166"/>
        <v>0</v>
      </c>
      <c r="AJ139" s="1749">
        <f t="shared" si="166"/>
        <v>0</v>
      </c>
      <c r="AK139" s="1749">
        <f t="shared" si="166"/>
        <v>0</v>
      </c>
      <c r="AL139" s="1749">
        <f t="shared" si="166"/>
        <v>3053242.9125000006</v>
      </c>
      <c r="AM139" s="1749">
        <f t="shared" si="166"/>
        <v>0</v>
      </c>
      <c r="AN139" s="1749">
        <f t="shared" si="166"/>
        <v>0</v>
      </c>
      <c r="AO139" s="1749">
        <f t="shared" ref="AO139:BU139" si="167">$C$139*AO194+$D$139*SUM(AO195:AO200)</f>
        <v>0</v>
      </c>
      <c r="AP139" s="1749">
        <f t="shared" si="167"/>
        <v>0</v>
      </c>
      <c r="AQ139" s="1749">
        <f t="shared" si="167"/>
        <v>0</v>
      </c>
      <c r="AR139" s="1749">
        <f t="shared" si="167"/>
        <v>0</v>
      </c>
      <c r="AS139" s="1749">
        <f t="shared" si="167"/>
        <v>0</v>
      </c>
      <c r="AT139" s="1749">
        <f t="shared" si="167"/>
        <v>0</v>
      </c>
      <c r="AU139" s="1749">
        <f t="shared" si="167"/>
        <v>0</v>
      </c>
      <c r="AV139" s="1749">
        <f t="shared" si="167"/>
        <v>0</v>
      </c>
      <c r="AW139" s="1749">
        <f t="shared" si="167"/>
        <v>0</v>
      </c>
      <c r="AX139" s="1749">
        <f t="shared" si="167"/>
        <v>0</v>
      </c>
      <c r="AY139" s="1749">
        <f t="shared" si="167"/>
        <v>0</v>
      </c>
      <c r="AZ139" s="1749">
        <f t="shared" si="167"/>
        <v>0</v>
      </c>
      <c r="BA139" s="1749">
        <f t="shared" si="167"/>
        <v>0</v>
      </c>
      <c r="BB139" s="1749">
        <f t="shared" si="167"/>
        <v>0</v>
      </c>
      <c r="BC139" s="1749">
        <f t="shared" si="167"/>
        <v>0</v>
      </c>
      <c r="BD139" s="1749">
        <f t="shared" si="167"/>
        <v>0</v>
      </c>
      <c r="BE139" s="1749">
        <f t="shared" si="167"/>
        <v>0</v>
      </c>
      <c r="BF139" s="1749">
        <f t="shared" si="167"/>
        <v>0</v>
      </c>
      <c r="BG139" s="1749">
        <f t="shared" si="167"/>
        <v>0</v>
      </c>
      <c r="BH139" s="1749">
        <f t="shared" si="167"/>
        <v>0</v>
      </c>
      <c r="BI139" s="1749">
        <f t="shared" si="167"/>
        <v>0</v>
      </c>
      <c r="BJ139" s="1749">
        <f t="shared" si="167"/>
        <v>0</v>
      </c>
      <c r="BK139" s="1749">
        <f t="shared" si="167"/>
        <v>0</v>
      </c>
      <c r="BL139" s="1749">
        <f t="shared" si="167"/>
        <v>0</v>
      </c>
      <c r="BM139" s="1749">
        <f t="shared" si="167"/>
        <v>0</v>
      </c>
      <c r="BN139" s="1749">
        <f t="shared" si="167"/>
        <v>0</v>
      </c>
      <c r="BO139" s="1749">
        <f t="shared" si="167"/>
        <v>0</v>
      </c>
      <c r="BP139" s="1749">
        <f t="shared" si="167"/>
        <v>0</v>
      </c>
      <c r="BQ139" s="1749">
        <f t="shared" si="167"/>
        <v>0</v>
      </c>
      <c r="BR139" s="1749">
        <f t="shared" si="167"/>
        <v>0</v>
      </c>
      <c r="BS139" s="1749">
        <f t="shared" si="167"/>
        <v>0</v>
      </c>
      <c r="BT139" s="1749">
        <f t="shared" si="167"/>
        <v>0</v>
      </c>
      <c r="BU139" s="1749">
        <f t="shared" si="167"/>
        <v>0</v>
      </c>
      <c r="BV139" s="1685">
        <f>BV201</f>
        <v>4579864.3687500013</v>
      </c>
      <c r="BW139" s="1685">
        <f t="shared" ref="BW139:BX139" si="168">BW201</f>
        <v>9159728.7375000026</v>
      </c>
      <c r="BX139" s="1685">
        <f t="shared" si="168"/>
        <v>32059050.581250004</v>
      </c>
      <c r="BY139" s="1148"/>
      <c r="BZ139" s="1037"/>
      <c r="CA139"/>
      <c r="CB139"/>
      <c r="CC139"/>
      <c r="CD139"/>
      <c r="CE139"/>
      <c r="CF139"/>
      <c r="CG139"/>
      <c r="CH139"/>
      <c r="CI139"/>
      <c r="CJ139"/>
      <c r="CK139"/>
    </row>
    <row r="140" spans="2:89" s="1038" customFormat="1">
      <c r="B140" s="1149" t="str">
        <f>'사업수지표 '!B12</f>
        <v>오피스텔</v>
      </c>
      <c r="C140" s="1686">
        <f>Equity!M7</f>
        <v>0.2</v>
      </c>
      <c r="D140" s="1686">
        <f>Equity!N7</f>
        <v>0.2</v>
      </c>
      <c r="E140" s="1149">
        <f t="shared" si="162"/>
        <v>0</v>
      </c>
      <c r="F140" s="1141"/>
      <c r="G140" s="1685">
        <f>G212*$D$140</f>
        <v>0</v>
      </c>
      <c r="H140" s="1685">
        <f>H212*$D$140</f>
        <v>0</v>
      </c>
      <c r="I140" s="1749">
        <f t="shared" ref="I140:AN140" si="169">$C$140*I204+$D$140*SUM(I205:I210)</f>
        <v>0</v>
      </c>
      <c r="J140" s="1749">
        <f t="shared" si="169"/>
        <v>0</v>
      </c>
      <c r="K140" s="1749">
        <f t="shared" si="169"/>
        <v>0</v>
      </c>
      <c r="L140" s="1749">
        <f t="shared" si="169"/>
        <v>0</v>
      </c>
      <c r="M140" s="1749">
        <f t="shared" si="169"/>
        <v>0</v>
      </c>
      <c r="N140" s="1749">
        <f t="shared" si="169"/>
        <v>0</v>
      </c>
      <c r="O140" s="1749">
        <f t="shared" si="169"/>
        <v>0</v>
      </c>
      <c r="P140" s="1749">
        <f t="shared" si="169"/>
        <v>0</v>
      </c>
      <c r="Q140" s="1749">
        <f t="shared" si="169"/>
        <v>0</v>
      </c>
      <c r="R140" s="1749">
        <f t="shared" si="169"/>
        <v>0</v>
      </c>
      <c r="S140" s="1749">
        <f t="shared" si="169"/>
        <v>0</v>
      </c>
      <c r="T140" s="1749">
        <f t="shared" si="169"/>
        <v>0</v>
      </c>
      <c r="U140" s="1749">
        <f t="shared" si="169"/>
        <v>0</v>
      </c>
      <c r="V140" s="1749">
        <f t="shared" si="169"/>
        <v>0</v>
      </c>
      <c r="W140" s="1749">
        <f t="shared" si="169"/>
        <v>0</v>
      </c>
      <c r="X140" s="1749">
        <f t="shared" si="169"/>
        <v>0</v>
      </c>
      <c r="Y140" s="1749">
        <f t="shared" si="169"/>
        <v>0</v>
      </c>
      <c r="Z140" s="1749">
        <f t="shared" si="169"/>
        <v>0</v>
      </c>
      <c r="AA140" s="1749">
        <f t="shared" si="169"/>
        <v>0</v>
      </c>
      <c r="AB140" s="1749">
        <f t="shared" si="169"/>
        <v>0</v>
      </c>
      <c r="AC140" s="1749">
        <f t="shared" si="169"/>
        <v>0</v>
      </c>
      <c r="AD140" s="1749">
        <f t="shared" si="169"/>
        <v>0</v>
      </c>
      <c r="AE140" s="1749">
        <f t="shared" si="169"/>
        <v>0</v>
      </c>
      <c r="AF140" s="1749">
        <f t="shared" si="169"/>
        <v>0</v>
      </c>
      <c r="AG140" s="1749">
        <f t="shared" si="169"/>
        <v>0</v>
      </c>
      <c r="AH140" s="1749">
        <f t="shared" si="169"/>
        <v>0</v>
      </c>
      <c r="AI140" s="1749">
        <f t="shared" si="169"/>
        <v>0</v>
      </c>
      <c r="AJ140" s="1749">
        <f t="shared" si="169"/>
        <v>0</v>
      </c>
      <c r="AK140" s="1749">
        <f t="shared" si="169"/>
        <v>0</v>
      </c>
      <c r="AL140" s="1749">
        <f t="shared" si="169"/>
        <v>0</v>
      </c>
      <c r="AM140" s="1749">
        <f t="shared" si="169"/>
        <v>0</v>
      </c>
      <c r="AN140" s="1749">
        <f t="shared" si="169"/>
        <v>0</v>
      </c>
      <c r="AO140" s="1749">
        <f t="shared" ref="AO140:BU140" si="170">$C$140*AO204+$D$140*SUM(AO205:AO210)</f>
        <v>0</v>
      </c>
      <c r="AP140" s="1749">
        <f t="shared" si="170"/>
        <v>0</v>
      </c>
      <c r="AQ140" s="1749">
        <f t="shared" si="170"/>
        <v>0</v>
      </c>
      <c r="AR140" s="1749">
        <f t="shared" si="170"/>
        <v>0</v>
      </c>
      <c r="AS140" s="1749">
        <f t="shared" si="170"/>
        <v>0</v>
      </c>
      <c r="AT140" s="1749">
        <f t="shared" si="170"/>
        <v>0</v>
      </c>
      <c r="AU140" s="1749">
        <f t="shared" si="170"/>
        <v>0</v>
      </c>
      <c r="AV140" s="1749">
        <f t="shared" si="170"/>
        <v>0</v>
      </c>
      <c r="AW140" s="1749">
        <f t="shared" si="170"/>
        <v>0</v>
      </c>
      <c r="AX140" s="1749">
        <f t="shared" si="170"/>
        <v>0</v>
      </c>
      <c r="AY140" s="1749">
        <f t="shared" si="170"/>
        <v>0</v>
      </c>
      <c r="AZ140" s="1749">
        <f t="shared" si="170"/>
        <v>0</v>
      </c>
      <c r="BA140" s="1749">
        <f t="shared" si="170"/>
        <v>0</v>
      </c>
      <c r="BB140" s="1749">
        <f t="shared" si="170"/>
        <v>0</v>
      </c>
      <c r="BC140" s="1749">
        <f t="shared" si="170"/>
        <v>0</v>
      </c>
      <c r="BD140" s="1749">
        <f t="shared" si="170"/>
        <v>0</v>
      </c>
      <c r="BE140" s="1749">
        <f t="shared" si="170"/>
        <v>0</v>
      </c>
      <c r="BF140" s="1749">
        <f t="shared" si="170"/>
        <v>0</v>
      </c>
      <c r="BG140" s="1749">
        <f t="shared" si="170"/>
        <v>0</v>
      </c>
      <c r="BH140" s="1749">
        <f t="shared" si="170"/>
        <v>0</v>
      </c>
      <c r="BI140" s="1749">
        <f t="shared" si="170"/>
        <v>0</v>
      </c>
      <c r="BJ140" s="1749">
        <f t="shared" si="170"/>
        <v>0</v>
      </c>
      <c r="BK140" s="1749">
        <f t="shared" si="170"/>
        <v>0</v>
      </c>
      <c r="BL140" s="1749">
        <f t="shared" si="170"/>
        <v>0</v>
      </c>
      <c r="BM140" s="1749">
        <f t="shared" si="170"/>
        <v>0</v>
      </c>
      <c r="BN140" s="1749">
        <f t="shared" si="170"/>
        <v>0</v>
      </c>
      <c r="BO140" s="1749">
        <f t="shared" si="170"/>
        <v>0</v>
      </c>
      <c r="BP140" s="1749">
        <f t="shared" si="170"/>
        <v>0</v>
      </c>
      <c r="BQ140" s="1749">
        <f t="shared" si="170"/>
        <v>0</v>
      </c>
      <c r="BR140" s="1749">
        <f t="shared" si="170"/>
        <v>0</v>
      </c>
      <c r="BS140" s="1749">
        <f t="shared" si="170"/>
        <v>0</v>
      </c>
      <c r="BT140" s="1749">
        <f t="shared" si="170"/>
        <v>0</v>
      </c>
      <c r="BU140" s="1749">
        <f t="shared" si="170"/>
        <v>0</v>
      </c>
      <c r="BV140" s="1685">
        <f>BV211</f>
        <v>0</v>
      </c>
      <c r="BW140" s="1685">
        <f t="shared" ref="BW140:BX140" si="171">BW211</f>
        <v>0</v>
      </c>
      <c r="BX140" s="1685">
        <f t="shared" si="171"/>
        <v>0</v>
      </c>
      <c r="BY140" s="1148"/>
      <c r="BZ140" s="1037"/>
      <c r="CA140"/>
      <c r="CB140"/>
      <c r="CC140"/>
      <c r="CD140"/>
      <c r="CE140"/>
      <c r="CF140"/>
      <c r="CG140"/>
      <c r="CH140"/>
      <c r="CI140"/>
      <c r="CJ140"/>
      <c r="CK140"/>
    </row>
    <row r="141" spans="2:89" s="1038" customFormat="1">
      <c r="B141" s="1149" t="str">
        <f>'사업수지표 '!B13</f>
        <v>근린생활시설</v>
      </c>
      <c r="C141" s="1686">
        <f>Equity!M8</f>
        <v>0.2</v>
      </c>
      <c r="D141" s="1686">
        <f>Equity!N8</f>
        <v>0.2</v>
      </c>
      <c r="E141" s="1149">
        <f t="shared" si="162"/>
        <v>718740</v>
      </c>
      <c r="F141" s="1141"/>
      <c r="G141" s="1685">
        <f>G222*$D$141</f>
        <v>0</v>
      </c>
      <c r="H141" s="1685">
        <f>H222*$D$141</f>
        <v>0</v>
      </c>
      <c r="I141" s="1749">
        <f t="shared" ref="I141:AN141" si="172">$C$141*I214+$D$141*SUM(I215:I220)</f>
        <v>0</v>
      </c>
      <c r="J141" s="1749">
        <f t="shared" si="172"/>
        <v>0</v>
      </c>
      <c r="K141" s="1749">
        <f t="shared" si="172"/>
        <v>0</v>
      </c>
      <c r="L141" s="1749">
        <f t="shared" si="172"/>
        <v>0</v>
      </c>
      <c r="M141" s="1749">
        <f t="shared" si="172"/>
        <v>0</v>
      </c>
      <c r="N141" s="1749">
        <f t="shared" si="172"/>
        <v>0</v>
      </c>
      <c r="O141" s="1749">
        <f t="shared" si="172"/>
        <v>0</v>
      </c>
      <c r="P141" s="1749">
        <f t="shared" si="172"/>
        <v>0</v>
      </c>
      <c r="Q141" s="1749">
        <f t="shared" si="172"/>
        <v>0</v>
      </c>
      <c r="R141" s="1749">
        <f t="shared" si="172"/>
        <v>0</v>
      </c>
      <c r="S141" s="1749">
        <f t="shared" si="172"/>
        <v>0</v>
      </c>
      <c r="T141" s="1749">
        <f t="shared" si="172"/>
        <v>0</v>
      </c>
      <c r="U141" s="1749">
        <f t="shared" si="172"/>
        <v>0</v>
      </c>
      <c r="V141" s="1749">
        <f t="shared" si="172"/>
        <v>0</v>
      </c>
      <c r="W141" s="1749">
        <f t="shared" si="172"/>
        <v>0</v>
      </c>
      <c r="X141" s="1749">
        <f t="shared" si="172"/>
        <v>0</v>
      </c>
      <c r="Y141" s="1749">
        <f t="shared" si="172"/>
        <v>0</v>
      </c>
      <c r="Z141" s="1749">
        <f t="shared" si="172"/>
        <v>0</v>
      </c>
      <c r="AA141" s="1749">
        <f t="shared" si="172"/>
        <v>0</v>
      </c>
      <c r="AB141" s="1749">
        <f t="shared" si="172"/>
        <v>0</v>
      </c>
      <c r="AC141" s="1749">
        <f t="shared" si="172"/>
        <v>0</v>
      </c>
      <c r="AD141" s="1749">
        <f t="shared" si="172"/>
        <v>0</v>
      </c>
      <c r="AE141" s="1749">
        <f t="shared" si="172"/>
        <v>0</v>
      </c>
      <c r="AF141" s="1749">
        <f t="shared" si="172"/>
        <v>0</v>
      </c>
      <c r="AG141" s="1749">
        <f t="shared" si="172"/>
        <v>0</v>
      </c>
      <c r="AH141" s="1749">
        <f t="shared" si="172"/>
        <v>0</v>
      </c>
      <c r="AI141" s="1749">
        <f t="shared" si="172"/>
        <v>0</v>
      </c>
      <c r="AJ141" s="1749">
        <f t="shared" si="172"/>
        <v>0</v>
      </c>
      <c r="AK141" s="1749">
        <f t="shared" si="172"/>
        <v>19166.400000000001</v>
      </c>
      <c r="AL141" s="1749">
        <f t="shared" si="172"/>
        <v>4791.6000000000004</v>
      </c>
      <c r="AM141" s="1749">
        <f t="shared" si="172"/>
        <v>23958</v>
      </c>
      <c r="AN141" s="1749">
        <f t="shared" si="172"/>
        <v>0</v>
      </c>
      <c r="AO141" s="1749">
        <f t="shared" ref="AO141:BU141" si="173">$C$141*AO214+$D$141*SUM(AO215:AO220)</f>
        <v>35937</v>
      </c>
      <c r="AP141" s="1749">
        <f t="shared" si="173"/>
        <v>0</v>
      </c>
      <c r="AQ141" s="1749">
        <f t="shared" si="173"/>
        <v>35937</v>
      </c>
      <c r="AR141" s="1749">
        <f t="shared" si="173"/>
        <v>0</v>
      </c>
      <c r="AS141" s="1749">
        <f t="shared" si="173"/>
        <v>0</v>
      </c>
      <c r="AT141" s="1749">
        <f t="shared" si="173"/>
        <v>0</v>
      </c>
      <c r="AU141" s="1749">
        <f t="shared" si="173"/>
        <v>0</v>
      </c>
      <c r="AV141" s="1749">
        <f t="shared" si="173"/>
        <v>0</v>
      </c>
      <c r="AW141" s="1749">
        <f t="shared" si="173"/>
        <v>0</v>
      </c>
      <c r="AX141" s="1749">
        <f t="shared" si="173"/>
        <v>0</v>
      </c>
      <c r="AY141" s="1749">
        <f t="shared" si="173"/>
        <v>0</v>
      </c>
      <c r="AZ141" s="1749">
        <f t="shared" si="173"/>
        <v>0</v>
      </c>
      <c r="BA141" s="1749">
        <f t="shared" si="173"/>
        <v>0</v>
      </c>
      <c r="BB141" s="1749">
        <f t="shared" si="173"/>
        <v>0</v>
      </c>
      <c r="BC141" s="1749">
        <f t="shared" si="173"/>
        <v>0</v>
      </c>
      <c r="BD141" s="1749">
        <f t="shared" si="173"/>
        <v>0</v>
      </c>
      <c r="BE141" s="1749">
        <f t="shared" si="173"/>
        <v>0</v>
      </c>
      <c r="BF141" s="1749">
        <f t="shared" si="173"/>
        <v>0</v>
      </c>
      <c r="BG141" s="1749">
        <f t="shared" si="173"/>
        <v>0</v>
      </c>
      <c r="BH141" s="1749">
        <f t="shared" si="173"/>
        <v>0</v>
      </c>
      <c r="BI141" s="1749">
        <f t="shared" si="173"/>
        <v>0</v>
      </c>
      <c r="BJ141" s="1749">
        <f t="shared" si="173"/>
        <v>0</v>
      </c>
      <c r="BK141" s="1749">
        <f t="shared" si="173"/>
        <v>0</v>
      </c>
      <c r="BL141" s="1749">
        <f t="shared" si="173"/>
        <v>0</v>
      </c>
      <c r="BM141" s="1749">
        <f t="shared" si="173"/>
        <v>0</v>
      </c>
      <c r="BN141" s="1749">
        <f t="shared" si="173"/>
        <v>0</v>
      </c>
      <c r="BO141" s="1749">
        <f t="shared" si="173"/>
        <v>0</v>
      </c>
      <c r="BP141" s="1749">
        <f t="shared" si="173"/>
        <v>0</v>
      </c>
      <c r="BQ141" s="1749">
        <f t="shared" si="173"/>
        <v>0</v>
      </c>
      <c r="BR141" s="1749">
        <f t="shared" si="173"/>
        <v>0</v>
      </c>
      <c r="BS141" s="1749">
        <f t="shared" si="173"/>
        <v>0</v>
      </c>
      <c r="BT141" s="1749">
        <f t="shared" si="173"/>
        <v>0</v>
      </c>
      <c r="BU141" s="1749">
        <f t="shared" si="173"/>
        <v>0</v>
      </c>
      <c r="BV141" s="1685">
        <f>BV221</f>
        <v>59895</v>
      </c>
      <c r="BW141" s="1685">
        <f t="shared" ref="BW141:BX141" si="174">BW221</f>
        <v>59895</v>
      </c>
      <c r="BX141" s="1685">
        <f t="shared" si="174"/>
        <v>479160</v>
      </c>
      <c r="BY141" s="1148"/>
      <c r="BZ141" s="1037"/>
      <c r="CA141"/>
      <c r="CB141"/>
      <c r="CC141"/>
      <c r="CD141"/>
      <c r="CE141"/>
      <c r="CF141"/>
      <c r="CG141"/>
      <c r="CH141"/>
      <c r="CI141"/>
      <c r="CJ141"/>
      <c r="CK141"/>
    </row>
    <row r="142" spans="2:89" s="1038" customFormat="1">
      <c r="B142" s="1149" t="str">
        <f>'사업수지표 '!B14</f>
        <v>도시형생활주택</v>
      </c>
      <c r="C142" s="1686">
        <f>Equity!M9</f>
        <v>0.2</v>
      </c>
      <c r="D142" s="1686">
        <f>Equity!N9</f>
        <v>0.2</v>
      </c>
      <c r="E142" s="1149">
        <f t="shared" si="162"/>
        <v>0</v>
      </c>
      <c r="F142" s="1141"/>
      <c r="G142" s="1685">
        <f>G232*$D$142</f>
        <v>0</v>
      </c>
      <c r="H142" s="1685">
        <f>H232*$D$142</f>
        <v>0</v>
      </c>
      <c r="I142" s="1749">
        <f t="shared" ref="I142:AN142" si="175">$C$142*I224+$D$142*SUM(I225:I230)</f>
        <v>0</v>
      </c>
      <c r="J142" s="1749">
        <f t="shared" si="175"/>
        <v>0</v>
      </c>
      <c r="K142" s="1749">
        <f t="shared" si="175"/>
        <v>0</v>
      </c>
      <c r="L142" s="1749">
        <f t="shared" si="175"/>
        <v>0</v>
      </c>
      <c r="M142" s="1749">
        <f t="shared" si="175"/>
        <v>0</v>
      </c>
      <c r="N142" s="1749">
        <f t="shared" si="175"/>
        <v>0</v>
      </c>
      <c r="O142" s="1749">
        <f t="shared" si="175"/>
        <v>0</v>
      </c>
      <c r="P142" s="1749">
        <f t="shared" si="175"/>
        <v>0</v>
      </c>
      <c r="Q142" s="1749">
        <f t="shared" si="175"/>
        <v>0</v>
      </c>
      <c r="R142" s="1749">
        <f t="shared" si="175"/>
        <v>0</v>
      </c>
      <c r="S142" s="1749">
        <f t="shared" si="175"/>
        <v>0</v>
      </c>
      <c r="T142" s="1749">
        <f t="shared" si="175"/>
        <v>0</v>
      </c>
      <c r="U142" s="1749">
        <f t="shared" si="175"/>
        <v>0</v>
      </c>
      <c r="V142" s="1749">
        <f t="shared" si="175"/>
        <v>0</v>
      </c>
      <c r="W142" s="1749">
        <f t="shared" si="175"/>
        <v>0</v>
      </c>
      <c r="X142" s="1749">
        <f t="shared" si="175"/>
        <v>0</v>
      </c>
      <c r="Y142" s="1749">
        <f t="shared" si="175"/>
        <v>0</v>
      </c>
      <c r="Z142" s="1749">
        <f t="shared" si="175"/>
        <v>0</v>
      </c>
      <c r="AA142" s="1749">
        <f t="shared" si="175"/>
        <v>0</v>
      </c>
      <c r="AB142" s="1749">
        <f t="shared" si="175"/>
        <v>0</v>
      </c>
      <c r="AC142" s="1749">
        <f t="shared" si="175"/>
        <v>0</v>
      </c>
      <c r="AD142" s="1749">
        <f t="shared" si="175"/>
        <v>0</v>
      </c>
      <c r="AE142" s="1749">
        <f t="shared" si="175"/>
        <v>0</v>
      </c>
      <c r="AF142" s="1749">
        <f t="shared" si="175"/>
        <v>0</v>
      </c>
      <c r="AG142" s="1749">
        <f t="shared" si="175"/>
        <v>0</v>
      </c>
      <c r="AH142" s="1749">
        <f t="shared" si="175"/>
        <v>0</v>
      </c>
      <c r="AI142" s="1749">
        <f t="shared" si="175"/>
        <v>0</v>
      </c>
      <c r="AJ142" s="1749">
        <f t="shared" si="175"/>
        <v>0</v>
      </c>
      <c r="AK142" s="1749">
        <f t="shared" si="175"/>
        <v>0</v>
      </c>
      <c r="AL142" s="1749">
        <f t="shared" si="175"/>
        <v>0</v>
      </c>
      <c r="AM142" s="1749">
        <f t="shared" si="175"/>
        <v>0</v>
      </c>
      <c r="AN142" s="1749">
        <f t="shared" si="175"/>
        <v>0</v>
      </c>
      <c r="AO142" s="1749">
        <f t="shared" ref="AO142:BU142" si="176">$C$142*AO224+$D$142*SUM(AO225:AO230)</f>
        <v>0</v>
      </c>
      <c r="AP142" s="1749">
        <f t="shared" si="176"/>
        <v>0</v>
      </c>
      <c r="AQ142" s="1749">
        <f t="shared" si="176"/>
        <v>0</v>
      </c>
      <c r="AR142" s="1749">
        <f t="shared" si="176"/>
        <v>0</v>
      </c>
      <c r="AS142" s="1749">
        <f t="shared" si="176"/>
        <v>0</v>
      </c>
      <c r="AT142" s="1749">
        <f t="shared" si="176"/>
        <v>0</v>
      </c>
      <c r="AU142" s="1749">
        <f t="shared" si="176"/>
        <v>0</v>
      </c>
      <c r="AV142" s="1749">
        <f t="shared" si="176"/>
        <v>0</v>
      </c>
      <c r="AW142" s="1749">
        <f t="shared" si="176"/>
        <v>0</v>
      </c>
      <c r="AX142" s="1749">
        <f t="shared" si="176"/>
        <v>0</v>
      </c>
      <c r="AY142" s="1749">
        <f t="shared" si="176"/>
        <v>0</v>
      </c>
      <c r="AZ142" s="1749">
        <f t="shared" si="176"/>
        <v>0</v>
      </c>
      <c r="BA142" s="1749">
        <f t="shared" si="176"/>
        <v>0</v>
      </c>
      <c r="BB142" s="1749">
        <f t="shared" si="176"/>
        <v>0</v>
      </c>
      <c r="BC142" s="1749">
        <f t="shared" si="176"/>
        <v>0</v>
      </c>
      <c r="BD142" s="1749">
        <f t="shared" si="176"/>
        <v>0</v>
      </c>
      <c r="BE142" s="1749">
        <f t="shared" si="176"/>
        <v>0</v>
      </c>
      <c r="BF142" s="1749">
        <f t="shared" si="176"/>
        <v>0</v>
      </c>
      <c r="BG142" s="1749">
        <f t="shared" si="176"/>
        <v>0</v>
      </c>
      <c r="BH142" s="1749">
        <f t="shared" si="176"/>
        <v>0</v>
      </c>
      <c r="BI142" s="1749">
        <f t="shared" si="176"/>
        <v>0</v>
      </c>
      <c r="BJ142" s="1749">
        <f t="shared" si="176"/>
        <v>0</v>
      </c>
      <c r="BK142" s="1749">
        <f t="shared" si="176"/>
        <v>0</v>
      </c>
      <c r="BL142" s="1749">
        <f t="shared" si="176"/>
        <v>0</v>
      </c>
      <c r="BM142" s="1749">
        <f t="shared" si="176"/>
        <v>0</v>
      </c>
      <c r="BN142" s="1749">
        <f t="shared" si="176"/>
        <v>0</v>
      </c>
      <c r="BO142" s="1749">
        <f t="shared" si="176"/>
        <v>0</v>
      </c>
      <c r="BP142" s="1749">
        <f t="shared" si="176"/>
        <v>0</v>
      </c>
      <c r="BQ142" s="1749">
        <f t="shared" si="176"/>
        <v>0</v>
      </c>
      <c r="BR142" s="1749">
        <f t="shared" si="176"/>
        <v>0</v>
      </c>
      <c r="BS142" s="1749">
        <f t="shared" si="176"/>
        <v>0</v>
      </c>
      <c r="BT142" s="1749">
        <f t="shared" si="176"/>
        <v>0</v>
      </c>
      <c r="BU142" s="1749">
        <f t="shared" si="176"/>
        <v>0</v>
      </c>
      <c r="BV142" s="1685">
        <f>BV231</f>
        <v>0</v>
      </c>
      <c r="BW142" s="1685">
        <f t="shared" ref="BW142:BX142" si="177">BW231</f>
        <v>0</v>
      </c>
      <c r="BX142" s="1685">
        <f t="shared" si="177"/>
        <v>0</v>
      </c>
      <c r="BY142" s="1148"/>
      <c r="BZ142" s="1037"/>
      <c r="CA142"/>
      <c r="CB142"/>
      <c r="CC142"/>
      <c r="CD142"/>
      <c r="CE142"/>
      <c r="CF142"/>
      <c r="CG142"/>
      <c r="CH142"/>
      <c r="CI142"/>
      <c r="CJ142"/>
      <c r="CK142"/>
    </row>
    <row r="143" spans="2:89" s="1038" customFormat="1">
      <c r="B143" s="1149" t="str">
        <f>'사업수지표 '!B15</f>
        <v>지식산업센터</v>
      </c>
      <c r="C143" s="1686">
        <f>Equity!M10</f>
        <v>0.2</v>
      </c>
      <c r="D143" s="1686">
        <f>Equity!N10</f>
        <v>0.2</v>
      </c>
      <c r="E143" s="1149">
        <f t="shared" si="162"/>
        <v>0</v>
      </c>
      <c r="F143" s="1141"/>
      <c r="G143" s="1685">
        <f>G242*$D$143</f>
        <v>0</v>
      </c>
      <c r="H143" s="1685">
        <f>H242*$D$143</f>
        <v>0</v>
      </c>
      <c r="I143" s="1749">
        <f t="shared" ref="I143:AN143" si="178">$C$143*I234+$D$143*SUM(I235:I240)</f>
        <v>0</v>
      </c>
      <c r="J143" s="1749">
        <f t="shared" si="178"/>
        <v>0</v>
      </c>
      <c r="K143" s="1749">
        <f t="shared" si="178"/>
        <v>0</v>
      </c>
      <c r="L143" s="1749">
        <f t="shared" si="178"/>
        <v>0</v>
      </c>
      <c r="M143" s="1749">
        <f t="shared" si="178"/>
        <v>0</v>
      </c>
      <c r="N143" s="1749">
        <f t="shared" si="178"/>
        <v>0</v>
      </c>
      <c r="O143" s="1749">
        <f t="shared" si="178"/>
        <v>0</v>
      </c>
      <c r="P143" s="1749">
        <f t="shared" si="178"/>
        <v>0</v>
      </c>
      <c r="Q143" s="1749">
        <f t="shared" si="178"/>
        <v>0</v>
      </c>
      <c r="R143" s="1749">
        <f t="shared" si="178"/>
        <v>0</v>
      </c>
      <c r="S143" s="1749">
        <f t="shared" si="178"/>
        <v>0</v>
      </c>
      <c r="T143" s="1749">
        <f t="shared" si="178"/>
        <v>0</v>
      </c>
      <c r="U143" s="1749">
        <f t="shared" si="178"/>
        <v>0</v>
      </c>
      <c r="V143" s="1749">
        <f t="shared" si="178"/>
        <v>0</v>
      </c>
      <c r="W143" s="1749">
        <f t="shared" si="178"/>
        <v>0</v>
      </c>
      <c r="X143" s="1749">
        <f t="shared" si="178"/>
        <v>0</v>
      </c>
      <c r="Y143" s="1749">
        <f t="shared" si="178"/>
        <v>0</v>
      </c>
      <c r="Z143" s="1749">
        <f t="shared" si="178"/>
        <v>0</v>
      </c>
      <c r="AA143" s="1749">
        <f t="shared" si="178"/>
        <v>0</v>
      </c>
      <c r="AB143" s="1749">
        <f t="shared" si="178"/>
        <v>0</v>
      </c>
      <c r="AC143" s="1749">
        <f t="shared" si="178"/>
        <v>0</v>
      </c>
      <c r="AD143" s="1749">
        <f t="shared" si="178"/>
        <v>0</v>
      </c>
      <c r="AE143" s="1749">
        <f t="shared" si="178"/>
        <v>0</v>
      </c>
      <c r="AF143" s="1749">
        <f t="shared" si="178"/>
        <v>0</v>
      </c>
      <c r="AG143" s="1749">
        <f t="shared" si="178"/>
        <v>0</v>
      </c>
      <c r="AH143" s="1749">
        <f t="shared" si="178"/>
        <v>0</v>
      </c>
      <c r="AI143" s="1749">
        <f t="shared" si="178"/>
        <v>0</v>
      </c>
      <c r="AJ143" s="1749">
        <f t="shared" si="178"/>
        <v>0</v>
      </c>
      <c r="AK143" s="1749">
        <f t="shared" si="178"/>
        <v>0</v>
      </c>
      <c r="AL143" s="1749">
        <f t="shared" si="178"/>
        <v>0</v>
      </c>
      <c r="AM143" s="1749">
        <f t="shared" si="178"/>
        <v>0</v>
      </c>
      <c r="AN143" s="1749">
        <f t="shared" si="178"/>
        <v>0</v>
      </c>
      <c r="AO143" s="1749">
        <f t="shared" ref="AO143:BU143" si="179">$C$143*AO234+$D$143*SUM(AO235:AO240)</f>
        <v>0</v>
      </c>
      <c r="AP143" s="1749">
        <f t="shared" si="179"/>
        <v>0</v>
      </c>
      <c r="AQ143" s="1749">
        <f t="shared" si="179"/>
        <v>0</v>
      </c>
      <c r="AR143" s="1749">
        <f t="shared" si="179"/>
        <v>0</v>
      </c>
      <c r="AS143" s="1749">
        <f t="shared" si="179"/>
        <v>0</v>
      </c>
      <c r="AT143" s="1749">
        <f t="shared" si="179"/>
        <v>0</v>
      </c>
      <c r="AU143" s="1749">
        <f t="shared" si="179"/>
        <v>0</v>
      </c>
      <c r="AV143" s="1749">
        <f t="shared" si="179"/>
        <v>0</v>
      </c>
      <c r="AW143" s="1749">
        <f t="shared" si="179"/>
        <v>0</v>
      </c>
      <c r="AX143" s="1749">
        <f t="shared" si="179"/>
        <v>0</v>
      </c>
      <c r="AY143" s="1749">
        <f t="shared" si="179"/>
        <v>0</v>
      </c>
      <c r="AZ143" s="1749">
        <f t="shared" si="179"/>
        <v>0</v>
      </c>
      <c r="BA143" s="1749">
        <f t="shared" si="179"/>
        <v>0</v>
      </c>
      <c r="BB143" s="1749">
        <f t="shared" si="179"/>
        <v>0</v>
      </c>
      <c r="BC143" s="1749">
        <f t="shared" si="179"/>
        <v>0</v>
      </c>
      <c r="BD143" s="1749">
        <f t="shared" si="179"/>
        <v>0</v>
      </c>
      <c r="BE143" s="1749">
        <f t="shared" si="179"/>
        <v>0</v>
      </c>
      <c r="BF143" s="1749">
        <f t="shared" si="179"/>
        <v>0</v>
      </c>
      <c r="BG143" s="1749">
        <f t="shared" si="179"/>
        <v>0</v>
      </c>
      <c r="BH143" s="1749">
        <f t="shared" si="179"/>
        <v>0</v>
      </c>
      <c r="BI143" s="1749">
        <f t="shared" si="179"/>
        <v>0</v>
      </c>
      <c r="BJ143" s="1749">
        <f t="shared" si="179"/>
        <v>0</v>
      </c>
      <c r="BK143" s="1749">
        <f t="shared" si="179"/>
        <v>0</v>
      </c>
      <c r="BL143" s="1749">
        <f t="shared" si="179"/>
        <v>0</v>
      </c>
      <c r="BM143" s="1749">
        <f t="shared" si="179"/>
        <v>0</v>
      </c>
      <c r="BN143" s="1749">
        <f t="shared" si="179"/>
        <v>0</v>
      </c>
      <c r="BO143" s="1749">
        <f t="shared" si="179"/>
        <v>0</v>
      </c>
      <c r="BP143" s="1749">
        <f t="shared" si="179"/>
        <v>0</v>
      </c>
      <c r="BQ143" s="1749">
        <f t="shared" si="179"/>
        <v>0</v>
      </c>
      <c r="BR143" s="1749">
        <f t="shared" si="179"/>
        <v>0</v>
      </c>
      <c r="BS143" s="1749">
        <f t="shared" si="179"/>
        <v>0</v>
      </c>
      <c r="BT143" s="1749">
        <f t="shared" si="179"/>
        <v>0</v>
      </c>
      <c r="BU143" s="1749">
        <f t="shared" si="179"/>
        <v>0</v>
      </c>
      <c r="BV143" s="1685">
        <f>BV241</f>
        <v>0</v>
      </c>
      <c r="BW143" s="1685">
        <f t="shared" ref="BW143:BX143" si="180">BW241</f>
        <v>0</v>
      </c>
      <c r="BX143" s="1685">
        <f t="shared" si="180"/>
        <v>0</v>
      </c>
      <c r="BY143" s="1148"/>
      <c r="BZ143" s="1037"/>
      <c r="CA143"/>
      <c r="CB143"/>
      <c r="CC143"/>
      <c r="CD143"/>
      <c r="CE143"/>
      <c r="CF143"/>
      <c r="CG143"/>
      <c r="CH143"/>
      <c r="CI143"/>
      <c r="CJ143"/>
      <c r="CK143"/>
    </row>
    <row r="144" spans="2:89" s="1038" customFormat="1">
      <c r="B144" s="1149" t="str">
        <f>'사업수지표 '!B17</f>
        <v>생활형숙박시설</v>
      </c>
      <c r="C144" s="1686">
        <f>Equity!M11</f>
        <v>0.2</v>
      </c>
      <c r="D144" s="1686">
        <f>Equity!N11</f>
        <v>0.2</v>
      </c>
      <c r="E144" s="1149">
        <f t="shared" si="162"/>
        <v>0</v>
      </c>
      <c r="F144" s="1141"/>
      <c r="G144" s="1685">
        <f>G262*$D$144</f>
        <v>0</v>
      </c>
      <c r="H144" s="1685">
        <f>H262*$D$144</f>
        <v>0</v>
      </c>
      <c r="I144" s="1749">
        <f t="shared" ref="I144:AN144" si="181">$C$144*I244+$D$144*SUM(I245:I250)</f>
        <v>0</v>
      </c>
      <c r="J144" s="1749">
        <f t="shared" si="181"/>
        <v>0</v>
      </c>
      <c r="K144" s="1749">
        <f t="shared" si="181"/>
        <v>0</v>
      </c>
      <c r="L144" s="1749">
        <f t="shared" si="181"/>
        <v>0</v>
      </c>
      <c r="M144" s="1749">
        <f t="shared" si="181"/>
        <v>0</v>
      </c>
      <c r="N144" s="1749">
        <f t="shared" si="181"/>
        <v>0</v>
      </c>
      <c r="O144" s="1749">
        <f t="shared" si="181"/>
        <v>0</v>
      </c>
      <c r="P144" s="1749">
        <f t="shared" si="181"/>
        <v>0</v>
      </c>
      <c r="Q144" s="1749">
        <f t="shared" si="181"/>
        <v>0</v>
      </c>
      <c r="R144" s="1749">
        <f t="shared" si="181"/>
        <v>0</v>
      </c>
      <c r="S144" s="1749">
        <f t="shared" si="181"/>
        <v>0</v>
      </c>
      <c r="T144" s="1749">
        <f t="shared" si="181"/>
        <v>0</v>
      </c>
      <c r="U144" s="1749">
        <f t="shared" si="181"/>
        <v>0</v>
      </c>
      <c r="V144" s="1749">
        <f t="shared" si="181"/>
        <v>0</v>
      </c>
      <c r="W144" s="1749">
        <f t="shared" si="181"/>
        <v>0</v>
      </c>
      <c r="X144" s="1749">
        <f t="shared" si="181"/>
        <v>0</v>
      </c>
      <c r="Y144" s="1749">
        <f t="shared" si="181"/>
        <v>0</v>
      </c>
      <c r="Z144" s="1749">
        <f t="shared" si="181"/>
        <v>0</v>
      </c>
      <c r="AA144" s="1749">
        <f t="shared" si="181"/>
        <v>0</v>
      </c>
      <c r="AB144" s="1749">
        <f t="shared" si="181"/>
        <v>0</v>
      </c>
      <c r="AC144" s="1749">
        <f t="shared" si="181"/>
        <v>0</v>
      </c>
      <c r="AD144" s="1749">
        <f t="shared" si="181"/>
        <v>0</v>
      </c>
      <c r="AE144" s="1749">
        <f t="shared" si="181"/>
        <v>0</v>
      </c>
      <c r="AF144" s="1749">
        <f t="shared" si="181"/>
        <v>0</v>
      </c>
      <c r="AG144" s="1749">
        <f t="shared" si="181"/>
        <v>0</v>
      </c>
      <c r="AH144" s="1749">
        <f t="shared" si="181"/>
        <v>0</v>
      </c>
      <c r="AI144" s="1749">
        <f t="shared" si="181"/>
        <v>0</v>
      </c>
      <c r="AJ144" s="1749">
        <f t="shared" si="181"/>
        <v>0</v>
      </c>
      <c r="AK144" s="1749">
        <f t="shared" si="181"/>
        <v>0</v>
      </c>
      <c r="AL144" s="1749">
        <f t="shared" si="181"/>
        <v>0</v>
      </c>
      <c r="AM144" s="1749">
        <f t="shared" si="181"/>
        <v>0</v>
      </c>
      <c r="AN144" s="1749">
        <f t="shared" si="181"/>
        <v>0</v>
      </c>
      <c r="AO144" s="1749">
        <f t="shared" ref="AO144:BU144" si="182">$C$144*AO244+$D$144*SUM(AO245:AO250)</f>
        <v>0</v>
      </c>
      <c r="AP144" s="1749">
        <f t="shared" si="182"/>
        <v>0</v>
      </c>
      <c r="AQ144" s="1749">
        <f t="shared" si="182"/>
        <v>0</v>
      </c>
      <c r="AR144" s="1749">
        <f t="shared" si="182"/>
        <v>0</v>
      </c>
      <c r="AS144" s="1749">
        <f t="shared" si="182"/>
        <v>0</v>
      </c>
      <c r="AT144" s="1749">
        <f t="shared" si="182"/>
        <v>0</v>
      </c>
      <c r="AU144" s="1749">
        <f t="shared" si="182"/>
        <v>0</v>
      </c>
      <c r="AV144" s="1749">
        <f t="shared" si="182"/>
        <v>0</v>
      </c>
      <c r="AW144" s="1749">
        <f t="shared" si="182"/>
        <v>0</v>
      </c>
      <c r="AX144" s="1749">
        <f t="shared" si="182"/>
        <v>0</v>
      </c>
      <c r="AY144" s="1749">
        <f t="shared" si="182"/>
        <v>0</v>
      </c>
      <c r="AZ144" s="1749">
        <f t="shared" si="182"/>
        <v>0</v>
      </c>
      <c r="BA144" s="1749">
        <f t="shared" si="182"/>
        <v>0</v>
      </c>
      <c r="BB144" s="1749">
        <f t="shared" si="182"/>
        <v>0</v>
      </c>
      <c r="BC144" s="1749">
        <f t="shared" si="182"/>
        <v>0</v>
      </c>
      <c r="BD144" s="1749">
        <f t="shared" si="182"/>
        <v>0</v>
      </c>
      <c r="BE144" s="1749">
        <f t="shared" si="182"/>
        <v>0</v>
      </c>
      <c r="BF144" s="1749">
        <f t="shared" si="182"/>
        <v>0</v>
      </c>
      <c r="BG144" s="1749">
        <f t="shared" si="182"/>
        <v>0</v>
      </c>
      <c r="BH144" s="1749">
        <f t="shared" si="182"/>
        <v>0</v>
      </c>
      <c r="BI144" s="1749">
        <f t="shared" si="182"/>
        <v>0</v>
      </c>
      <c r="BJ144" s="1749">
        <f t="shared" si="182"/>
        <v>0</v>
      </c>
      <c r="BK144" s="1749">
        <f t="shared" si="182"/>
        <v>0</v>
      </c>
      <c r="BL144" s="1749">
        <f t="shared" si="182"/>
        <v>0</v>
      </c>
      <c r="BM144" s="1749">
        <f t="shared" si="182"/>
        <v>0</v>
      </c>
      <c r="BN144" s="1749">
        <f t="shared" si="182"/>
        <v>0</v>
      </c>
      <c r="BO144" s="1749">
        <f t="shared" si="182"/>
        <v>0</v>
      </c>
      <c r="BP144" s="1749">
        <f t="shared" si="182"/>
        <v>0</v>
      </c>
      <c r="BQ144" s="1749">
        <f t="shared" si="182"/>
        <v>0</v>
      </c>
      <c r="BR144" s="1749">
        <f t="shared" si="182"/>
        <v>0</v>
      </c>
      <c r="BS144" s="1749">
        <f t="shared" si="182"/>
        <v>0</v>
      </c>
      <c r="BT144" s="1749">
        <f t="shared" si="182"/>
        <v>0</v>
      </c>
      <c r="BU144" s="1749">
        <f t="shared" si="182"/>
        <v>0</v>
      </c>
      <c r="BV144" s="1685">
        <f>BV261</f>
        <v>0</v>
      </c>
      <c r="BW144" s="1685">
        <f t="shared" ref="BW144:BX144" si="183">BW261</f>
        <v>0</v>
      </c>
      <c r="BX144" s="1685">
        <f t="shared" si="183"/>
        <v>0</v>
      </c>
      <c r="BY144" s="1148"/>
      <c r="BZ144" s="1037"/>
      <c r="CA144"/>
      <c r="CB144"/>
      <c r="CC144"/>
      <c r="CD144"/>
      <c r="CE144"/>
      <c r="CF144"/>
      <c r="CG144"/>
      <c r="CH144"/>
      <c r="CI144"/>
      <c r="CJ144"/>
      <c r="CK144"/>
    </row>
    <row r="145" spans="2:89" s="1038" customFormat="1">
      <c r="B145" s="1149" t="str">
        <f>'사업수지표 '!B18</f>
        <v>분양형호텔</v>
      </c>
      <c r="C145" s="1686">
        <f>Equity!M12</f>
        <v>0.2</v>
      </c>
      <c r="D145" s="1686">
        <f>Equity!N12</f>
        <v>0.2</v>
      </c>
      <c r="E145" s="1149">
        <f t="shared" si="162"/>
        <v>0</v>
      </c>
      <c r="F145" s="1141"/>
      <c r="G145" s="1685">
        <f>G272*$D$145</f>
        <v>0</v>
      </c>
      <c r="H145" s="1685">
        <f>H272*$D$145</f>
        <v>0</v>
      </c>
      <c r="I145" s="1749">
        <f t="shared" ref="I145:AN145" si="184">$C$145*I254+$D$145*SUM(I255:I260)</f>
        <v>0</v>
      </c>
      <c r="J145" s="1749">
        <f t="shared" si="184"/>
        <v>0</v>
      </c>
      <c r="K145" s="1749">
        <f t="shared" si="184"/>
        <v>0</v>
      </c>
      <c r="L145" s="1749">
        <f t="shared" si="184"/>
        <v>0</v>
      </c>
      <c r="M145" s="1749">
        <f t="shared" si="184"/>
        <v>0</v>
      </c>
      <c r="N145" s="1749">
        <f t="shared" si="184"/>
        <v>0</v>
      </c>
      <c r="O145" s="1749">
        <f t="shared" si="184"/>
        <v>0</v>
      </c>
      <c r="P145" s="1749">
        <f t="shared" si="184"/>
        <v>0</v>
      </c>
      <c r="Q145" s="1749">
        <f t="shared" si="184"/>
        <v>0</v>
      </c>
      <c r="R145" s="1749">
        <f t="shared" si="184"/>
        <v>0</v>
      </c>
      <c r="S145" s="1749">
        <f t="shared" si="184"/>
        <v>0</v>
      </c>
      <c r="T145" s="1749">
        <f t="shared" si="184"/>
        <v>0</v>
      </c>
      <c r="U145" s="1749">
        <f t="shared" si="184"/>
        <v>0</v>
      </c>
      <c r="V145" s="1749">
        <f t="shared" si="184"/>
        <v>0</v>
      </c>
      <c r="W145" s="1749">
        <f t="shared" si="184"/>
        <v>0</v>
      </c>
      <c r="X145" s="1749">
        <f t="shared" si="184"/>
        <v>0</v>
      </c>
      <c r="Y145" s="1749">
        <f t="shared" si="184"/>
        <v>0</v>
      </c>
      <c r="Z145" s="1749">
        <f t="shared" si="184"/>
        <v>0</v>
      </c>
      <c r="AA145" s="1749">
        <f t="shared" si="184"/>
        <v>0</v>
      </c>
      <c r="AB145" s="1749">
        <f t="shared" si="184"/>
        <v>0</v>
      </c>
      <c r="AC145" s="1749">
        <f t="shared" si="184"/>
        <v>0</v>
      </c>
      <c r="AD145" s="1749">
        <f t="shared" si="184"/>
        <v>0</v>
      </c>
      <c r="AE145" s="1749">
        <f t="shared" si="184"/>
        <v>0</v>
      </c>
      <c r="AF145" s="1749">
        <f t="shared" si="184"/>
        <v>0</v>
      </c>
      <c r="AG145" s="1749">
        <f t="shared" si="184"/>
        <v>0</v>
      </c>
      <c r="AH145" s="1749">
        <f t="shared" si="184"/>
        <v>0</v>
      </c>
      <c r="AI145" s="1749">
        <f t="shared" si="184"/>
        <v>0</v>
      </c>
      <c r="AJ145" s="1749">
        <f t="shared" si="184"/>
        <v>0</v>
      </c>
      <c r="AK145" s="1749">
        <f t="shared" si="184"/>
        <v>0</v>
      </c>
      <c r="AL145" s="1749">
        <f t="shared" si="184"/>
        <v>0</v>
      </c>
      <c r="AM145" s="1749">
        <f t="shared" si="184"/>
        <v>0</v>
      </c>
      <c r="AN145" s="1749">
        <f t="shared" si="184"/>
        <v>0</v>
      </c>
      <c r="AO145" s="1749">
        <f t="shared" ref="AO145:BU145" si="185">$C$145*AO254+$D$145*SUM(AO255:AO260)</f>
        <v>0</v>
      </c>
      <c r="AP145" s="1749">
        <f t="shared" si="185"/>
        <v>0</v>
      </c>
      <c r="AQ145" s="1749">
        <f t="shared" si="185"/>
        <v>0</v>
      </c>
      <c r="AR145" s="1749">
        <f t="shared" si="185"/>
        <v>0</v>
      </c>
      <c r="AS145" s="1749">
        <f t="shared" si="185"/>
        <v>0</v>
      </c>
      <c r="AT145" s="1749">
        <f t="shared" si="185"/>
        <v>0</v>
      </c>
      <c r="AU145" s="1749">
        <f t="shared" si="185"/>
        <v>0</v>
      </c>
      <c r="AV145" s="1749">
        <f t="shared" si="185"/>
        <v>0</v>
      </c>
      <c r="AW145" s="1749">
        <f t="shared" si="185"/>
        <v>0</v>
      </c>
      <c r="AX145" s="1749">
        <f t="shared" si="185"/>
        <v>0</v>
      </c>
      <c r="AY145" s="1749">
        <f t="shared" si="185"/>
        <v>0</v>
      </c>
      <c r="AZ145" s="1749">
        <f t="shared" si="185"/>
        <v>0</v>
      </c>
      <c r="BA145" s="1749">
        <f t="shared" si="185"/>
        <v>0</v>
      </c>
      <c r="BB145" s="1749">
        <f t="shared" si="185"/>
        <v>0</v>
      </c>
      <c r="BC145" s="1749">
        <f t="shared" si="185"/>
        <v>0</v>
      </c>
      <c r="BD145" s="1749">
        <f t="shared" si="185"/>
        <v>0</v>
      </c>
      <c r="BE145" s="1749">
        <f t="shared" si="185"/>
        <v>0</v>
      </c>
      <c r="BF145" s="1749">
        <f t="shared" si="185"/>
        <v>0</v>
      </c>
      <c r="BG145" s="1749">
        <f t="shared" si="185"/>
        <v>0</v>
      </c>
      <c r="BH145" s="1749">
        <f t="shared" si="185"/>
        <v>0</v>
      </c>
      <c r="BI145" s="1749">
        <f t="shared" si="185"/>
        <v>0</v>
      </c>
      <c r="BJ145" s="1749">
        <f t="shared" si="185"/>
        <v>0</v>
      </c>
      <c r="BK145" s="1749">
        <f t="shared" si="185"/>
        <v>0</v>
      </c>
      <c r="BL145" s="1749">
        <f t="shared" si="185"/>
        <v>0</v>
      </c>
      <c r="BM145" s="1749">
        <f t="shared" si="185"/>
        <v>0</v>
      </c>
      <c r="BN145" s="1749">
        <f t="shared" si="185"/>
        <v>0</v>
      </c>
      <c r="BO145" s="1749">
        <f t="shared" si="185"/>
        <v>0</v>
      </c>
      <c r="BP145" s="1749">
        <f t="shared" si="185"/>
        <v>0</v>
      </c>
      <c r="BQ145" s="1749">
        <f t="shared" si="185"/>
        <v>0</v>
      </c>
      <c r="BR145" s="1749">
        <f t="shared" si="185"/>
        <v>0</v>
      </c>
      <c r="BS145" s="1749">
        <f t="shared" si="185"/>
        <v>0</v>
      </c>
      <c r="BT145" s="1749">
        <f t="shared" si="185"/>
        <v>0</v>
      </c>
      <c r="BU145" s="1749">
        <f t="shared" si="185"/>
        <v>0</v>
      </c>
      <c r="BV145" s="1685">
        <f>BV271</f>
        <v>0</v>
      </c>
      <c r="BW145" s="1685">
        <f t="shared" ref="BW145:BX145" si="186">BW271</f>
        <v>0</v>
      </c>
      <c r="BX145" s="1685">
        <f t="shared" si="186"/>
        <v>0</v>
      </c>
      <c r="BY145" s="1148"/>
      <c r="BZ145" s="1037"/>
      <c r="CA145"/>
      <c r="CB145"/>
      <c r="CC145"/>
      <c r="CD145"/>
      <c r="CE145"/>
      <c r="CF145"/>
      <c r="CG145"/>
      <c r="CH145"/>
      <c r="CI145"/>
      <c r="CJ145"/>
      <c r="CK145"/>
    </row>
    <row r="146" spans="2:89" s="1038" customFormat="1">
      <c r="B146" s="1149" t="str">
        <f>'사업수지표 '!B19</f>
        <v>발코니확장비</v>
      </c>
      <c r="C146" s="1686">
        <f>Equity!M13</f>
        <v>0.2</v>
      </c>
      <c r="D146" s="1686">
        <f>Equity!N13</f>
        <v>0.2</v>
      </c>
      <c r="E146" s="1149">
        <f t="shared" si="162"/>
        <v>4040658.1828800002</v>
      </c>
      <c r="F146" s="1141"/>
      <c r="G146" s="1685">
        <f>G276*$D$146</f>
        <v>0</v>
      </c>
      <c r="H146" s="1685">
        <f>H276*$D$146</f>
        <v>0</v>
      </c>
      <c r="I146" s="1749">
        <f t="shared" ref="I146:AN146" si="187">$C$146*I274</f>
        <v>0</v>
      </c>
      <c r="J146" s="1749">
        <f t="shared" si="187"/>
        <v>0</v>
      </c>
      <c r="K146" s="1749">
        <f t="shared" si="187"/>
        <v>0</v>
      </c>
      <c r="L146" s="1749">
        <f t="shared" si="187"/>
        <v>0</v>
      </c>
      <c r="M146" s="1749">
        <f t="shared" si="187"/>
        <v>0</v>
      </c>
      <c r="N146" s="1749">
        <f t="shared" si="187"/>
        <v>17568.079056000002</v>
      </c>
      <c r="O146" s="1749">
        <f t="shared" si="187"/>
        <v>13176.059292</v>
      </c>
      <c r="P146" s="1749">
        <f t="shared" si="187"/>
        <v>10540.8474336</v>
      </c>
      <c r="Q146" s="1749">
        <f t="shared" si="187"/>
        <v>8784.0395280000012</v>
      </c>
      <c r="R146" s="1749">
        <f t="shared" si="187"/>
        <v>7027.2316224000015</v>
      </c>
      <c r="S146" s="1749">
        <f t="shared" si="187"/>
        <v>6148.8276696000021</v>
      </c>
      <c r="T146" s="1749">
        <f t="shared" si="187"/>
        <v>5270.4237168</v>
      </c>
      <c r="U146" s="1749">
        <f t="shared" si="187"/>
        <v>4392.0197640000006</v>
      </c>
      <c r="V146" s="1749">
        <f t="shared" si="187"/>
        <v>4392.0197640000006</v>
      </c>
      <c r="W146" s="1749">
        <f t="shared" si="187"/>
        <v>3513.6158112000007</v>
      </c>
      <c r="X146" s="1749">
        <f t="shared" si="187"/>
        <v>3513.6158112000007</v>
      </c>
      <c r="Y146" s="1749">
        <f t="shared" si="187"/>
        <v>3513.6158112000007</v>
      </c>
      <c r="Z146" s="1749">
        <f t="shared" si="187"/>
        <v>0</v>
      </c>
      <c r="AA146" s="1749">
        <f t="shared" si="187"/>
        <v>0</v>
      </c>
      <c r="AB146" s="1749">
        <f t="shared" si="187"/>
        <v>0</v>
      </c>
      <c r="AC146" s="1749">
        <f t="shared" si="187"/>
        <v>0</v>
      </c>
      <c r="AD146" s="1749">
        <f t="shared" si="187"/>
        <v>0</v>
      </c>
      <c r="AE146" s="1749">
        <f t="shared" si="187"/>
        <v>0</v>
      </c>
      <c r="AF146" s="1749">
        <f t="shared" si="187"/>
        <v>0</v>
      </c>
      <c r="AG146" s="1749">
        <f t="shared" si="187"/>
        <v>0</v>
      </c>
      <c r="AH146" s="1749">
        <f t="shared" si="187"/>
        <v>0</v>
      </c>
      <c r="AI146" s="1749">
        <f t="shared" si="187"/>
        <v>0</v>
      </c>
      <c r="AJ146" s="1749">
        <f t="shared" si="187"/>
        <v>0</v>
      </c>
      <c r="AK146" s="1749">
        <f t="shared" si="187"/>
        <v>0</v>
      </c>
      <c r="AL146" s="1749">
        <f t="shared" si="187"/>
        <v>0</v>
      </c>
      <c r="AM146" s="1749">
        <f t="shared" si="187"/>
        <v>0</v>
      </c>
      <c r="AN146" s="1749">
        <f t="shared" si="187"/>
        <v>0</v>
      </c>
      <c r="AO146" s="1749">
        <f t="shared" ref="AO146:BU146" si="188">$C$146*AO274</f>
        <v>0</v>
      </c>
      <c r="AP146" s="1749">
        <f t="shared" si="188"/>
        <v>0</v>
      </c>
      <c r="AQ146" s="1749">
        <f t="shared" si="188"/>
        <v>0</v>
      </c>
      <c r="AR146" s="1749">
        <f t="shared" si="188"/>
        <v>0</v>
      </c>
      <c r="AS146" s="1749">
        <f t="shared" si="188"/>
        <v>0</v>
      </c>
      <c r="AT146" s="1749">
        <f t="shared" si="188"/>
        <v>0</v>
      </c>
      <c r="AU146" s="1749">
        <f t="shared" si="188"/>
        <v>0</v>
      </c>
      <c r="AV146" s="1749">
        <f t="shared" si="188"/>
        <v>0</v>
      </c>
      <c r="AW146" s="1749">
        <f t="shared" si="188"/>
        <v>0</v>
      </c>
      <c r="AX146" s="1749">
        <f t="shared" si="188"/>
        <v>0</v>
      </c>
      <c r="AY146" s="1749">
        <f t="shared" si="188"/>
        <v>0</v>
      </c>
      <c r="AZ146" s="1749">
        <f t="shared" si="188"/>
        <v>0</v>
      </c>
      <c r="BA146" s="1749">
        <f t="shared" si="188"/>
        <v>0</v>
      </c>
      <c r="BB146" s="1749">
        <f t="shared" si="188"/>
        <v>0</v>
      </c>
      <c r="BC146" s="1749">
        <f t="shared" si="188"/>
        <v>0</v>
      </c>
      <c r="BD146" s="1749">
        <f t="shared" si="188"/>
        <v>0</v>
      </c>
      <c r="BE146" s="1749">
        <f t="shared" si="188"/>
        <v>0</v>
      </c>
      <c r="BF146" s="1749">
        <f t="shared" si="188"/>
        <v>0</v>
      </c>
      <c r="BG146" s="1749">
        <f t="shared" si="188"/>
        <v>0</v>
      </c>
      <c r="BH146" s="1749">
        <f t="shared" si="188"/>
        <v>0</v>
      </c>
      <c r="BI146" s="1749">
        <f t="shared" si="188"/>
        <v>0</v>
      </c>
      <c r="BJ146" s="1749">
        <f t="shared" si="188"/>
        <v>0</v>
      </c>
      <c r="BK146" s="1749">
        <f t="shared" si="188"/>
        <v>0</v>
      </c>
      <c r="BL146" s="1749">
        <f t="shared" si="188"/>
        <v>0</v>
      </c>
      <c r="BM146" s="1749">
        <f t="shared" si="188"/>
        <v>0</v>
      </c>
      <c r="BN146" s="1749">
        <f t="shared" si="188"/>
        <v>0</v>
      </c>
      <c r="BO146" s="1749">
        <f t="shared" si="188"/>
        <v>0</v>
      </c>
      <c r="BP146" s="1749">
        <f t="shared" si="188"/>
        <v>0</v>
      </c>
      <c r="BQ146" s="1749">
        <f t="shared" si="188"/>
        <v>0</v>
      </c>
      <c r="BR146" s="1749">
        <f t="shared" si="188"/>
        <v>0</v>
      </c>
      <c r="BS146" s="1749">
        <f t="shared" si="188"/>
        <v>0</v>
      </c>
      <c r="BT146" s="1749">
        <f t="shared" si="188"/>
        <v>0</v>
      </c>
      <c r="BU146" s="1749">
        <f t="shared" si="188"/>
        <v>0</v>
      </c>
      <c r="BV146" s="1685">
        <f>BV275</f>
        <v>395281.77876000007</v>
      </c>
      <c r="BW146" s="1685">
        <f t="shared" ref="BW146:BX146" si="189">BW275</f>
        <v>790563.55752000015</v>
      </c>
      <c r="BX146" s="1685">
        <f t="shared" si="189"/>
        <v>2766972.45132</v>
      </c>
      <c r="BY146" s="1148"/>
      <c r="BZ146" s="1037"/>
      <c r="CA146"/>
      <c r="CB146"/>
      <c r="CC146"/>
      <c r="CD146"/>
      <c r="CE146"/>
      <c r="CF146"/>
      <c r="CG146"/>
      <c r="CH146"/>
      <c r="CI146"/>
      <c r="CJ146"/>
      <c r="CK146"/>
    </row>
    <row r="147" spans="2:89" s="1038" customFormat="1">
      <c r="B147" s="1149"/>
      <c r="C147" s="1149"/>
      <c r="D147" s="1149"/>
      <c r="E147" s="1149"/>
      <c r="F147" s="1141"/>
      <c r="G147" s="998"/>
      <c r="H147" s="998"/>
      <c r="I147" s="998"/>
      <c r="J147" s="998"/>
      <c r="K147" s="998"/>
      <c r="L147" s="998"/>
      <c r="M147" s="998"/>
      <c r="N147" s="1401"/>
      <c r="O147" s="1401"/>
      <c r="P147" s="1401"/>
      <c r="Q147" s="1401"/>
      <c r="R147" s="1401"/>
      <c r="S147" s="1401"/>
      <c r="T147" s="1401"/>
      <c r="U147" s="1401"/>
      <c r="V147" s="1401"/>
      <c r="W147" s="1401"/>
      <c r="X147" s="1401"/>
      <c r="Y147" s="1401"/>
      <c r="Z147" s="1401"/>
      <c r="AA147" s="1401"/>
      <c r="AB147" s="1401"/>
      <c r="AC147" s="1401"/>
      <c r="AD147" s="1401"/>
      <c r="AE147" s="1401"/>
      <c r="AF147" s="1401"/>
      <c r="AG147" s="1401"/>
      <c r="AH147" s="1401"/>
      <c r="AI147" s="1401"/>
      <c r="AJ147" s="1401"/>
      <c r="AK147" s="1401"/>
      <c r="AL147" s="1401"/>
      <c r="AM147" s="1401"/>
      <c r="AN147" s="1401"/>
      <c r="AO147" s="1401"/>
      <c r="AP147" s="1401"/>
      <c r="AQ147" s="1401"/>
      <c r="AR147" s="1401"/>
      <c r="AS147" s="1401"/>
      <c r="AT147" s="1401"/>
      <c r="AU147" s="1401"/>
      <c r="AV147" s="1401"/>
      <c r="AW147" s="1401"/>
      <c r="AX147" s="1401"/>
      <c r="AY147" s="1401"/>
      <c r="AZ147" s="1401"/>
      <c r="BA147" s="1401"/>
      <c r="BB147" s="1401"/>
      <c r="BC147" s="1401"/>
      <c r="BD147" s="1401"/>
      <c r="BE147" s="1401"/>
      <c r="BF147" s="1401"/>
      <c r="BG147" s="1401"/>
      <c r="BH147" s="1401"/>
      <c r="BI147" s="1401"/>
      <c r="BJ147" s="1401"/>
      <c r="BK147" s="1401"/>
      <c r="BL147" s="1401"/>
      <c r="BM147" s="1401"/>
      <c r="BN147" s="1401"/>
      <c r="BO147" s="1401"/>
      <c r="BP147" s="1401"/>
      <c r="BQ147" s="1401"/>
      <c r="BR147" s="1401"/>
      <c r="BS147" s="1401"/>
      <c r="BT147" s="1401"/>
      <c r="BU147" s="1401"/>
      <c r="BV147" s="1401"/>
      <c r="BW147" s="1401"/>
      <c r="BX147" s="998"/>
      <c r="BY147" s="1148"/>
      <c r="BZ147" s="1037"/>
      <c r="CA147"/>
      <c r="CB147"/>
      <c r="CC147"/>
      <c r="CD147"/>
      <c r="CE147"/>
      <c r="CF147"/>
      <c r="CG147"/>
      <c r="CH147"/>
      <c r="CI147"/>
      <c r="CJ147"/>
      <c r="CK147"/>
    </row>
    <row r="148" spans="2:89" s="1038" customFormat="1">
      <c r="B148" s="1154" t="s">
        <v>1059</v>
      </c>
      <c r="C148" s="1155"/>
      <c r="D148" s="1155"/>
      <c r="E148" s="1195" t="str">
        <f>민감도분석!E17</f>
        <v>Equity 시트</v>
      </c>
      <c r="F148" s="1196"/>
      <c r="G148" s="959"/>
      <c r="H148" s="960"/>
      <c r="I148" s="1058">
        <f>IF((H149+I138)&gt;='사업수지표 '!$R$48,($BU$135-CF분석!H149),I138)</f>
        <v>0</v>
      </c>
      <c r="J148" s="1058">
        <f>IF((I149+J138)&gt;='사업수지표 '!$R$48,($BU$135-CF분석!I149),J138)</f>
        <v>0</v>
      </c>
      <c r="K148" s="1058">
        <f>IF((J149+K138)&gt;='사업수지표 '!$R$48,($BU$135-CF분석!J149),K138)</f>
        <v>0</v>
      </c>
      <c r="L148" s="1058">
        <f>IF((K149+L138)&gt;='사업수지표 '!$R$48,($BU$135-CF분석!K149),L138)</f>
        <v>0</v>
      </c>
      <c r="M148" s="1058">
        <f>IF((L149+M138)&gt;='사업수지표 '!$R$48,($BU$135-CF분석!L149),M138)</f>
        <v>0</v>
      </c>
      <c r="N148" s="1058">
        <f>N138</f>
        <v>628216.66155600001</v>
      </c>
      <c r="O148" s="1058">
        <f t="shared" ref="O148:BU148" si="190">O138</f>
        <v>471162.49616699998</v>
      </c>
      <c r="P148" s="1058">
        <f t="shared" si="190"/>
        <v>376929.99693359999</v>
      </c>
      <c r="Q148" s="1058">
        <f t="shared" si="190"/>
        <v>314108.330778</v>
      </c>
      <c r="R148" s="1058">
        <f t="shared" si="190"/>
        <v>2235894.5577473999</v>
      </c>
      <c r="S148" s="1058">
        <f t="shared" si="190"/>
        <v>433602.83541960013</v>
      </c>
      <c r="T148" s="1058">
        <f t="shared" si="190"/>
        <v>371659.57321680029</v>
      </c>
      <c r="U148" s="1058">
        <f t="shared" si="190"/>
        <v>309716.31101400015</v>
      </c>
      <c r="V148" s="1058">
        <f t="shared" si="190"/>
        <v>2996570.0740140001</v>
      </c>
      <c r="W148" s="1058">
        <f t="shared" si="190"/>
        <v>369902.76531120058</v>
      </c>
      <c r="X148" s="1058">
        <f t="shared" si="190"/>
        <v>369902.76531119982</v>
      </c>
      <c r="Y148" s="1058">
        <f t="shared" si="190"/>
        <v>369902.76531120058</v>
      </c>
      <c r="Z148" s="1058">
        <f t="shared" si="190"/>
        <v>3053242.9125000006</v>
      </c>
      <c r="AA148" s="1058">
        <f t="shared" si="190"/>
        <v>0</v>
      </c>
      <c r="AB148" s="1058">
        <f t="shared" si="190"/>
        <v>0</v>
      </c>
      <c r="AC148" s="1058">
        <f t="shared" si="190"/>
        <v>0</v>
      </c>
      <c r="AD148" s="1058">
        <f t="shared" si="190"/>
        <v>3053242.9125000006</v>
      </c>
      <c r="AE148" s="1058">
        <f t="shared" si="190"/>
        <v>0</v>
      </c>
      <c r="AF148" s="1058">
        <f t="shared" si="190"/>
        <v>0</v>
      </c>
      <c r="AG148" s="1058">
        <f t="shared" si="190"/>
        <v>0</v>
      </c>
      <c r="AH148" s="1058">
        <f t="shared" si="190"/>
        <v>3053242.9125000006</v>
      </c>
      <c r="AI148" s="1058">
        <f t="shared" si="190"/>
        <v>0</v>
      </c>
      <c r="AJ148" s="1058">
        <f t="shared" si="190"/>
        <v>0</v>
      </c>
      <c r="AK148" s="1058">
        <f t="shared" si="190"/>
        <v>19166.400000000001</v>
      </c>
      <c r="AL148" s="1058">
        <f t="shared" si="190"/>
        <v>3058034.5125000007</v>
      </c>
      <c r="AM148" s="1058">
        <f t="shared" si="190"/>
        <v>23958</v>
      </c>
      <c r="AN148" s="1058">
        <f t="shared" si="190"/>
        <v>0</v>
      </c>
      <c r="AO148" s="1058">
        <f t="shared" si="190"/>
        <v>35937</v>
      </c>
      <c r="AP148" s="1058">
        <f t="shared" si="190"/>
        <v>0</v>
      </c>
      <c r="AQ148" s="1058">
        <f t="shared" si="190"/>
        <v>35937</v>
      </c>
      <c r="AR148" s="1058">
        <f t="shared" si="190"/>
        <v>0</v>
      </c>
      <c r="AS148" s="1058">
        <f t="shared" si="190"/>
        <v>0</v>
      </c>
      <c r="AT148" s="1058">
        <f t="shared" si="190"/>
        <v>0</v>
      </c>
      <c r="AU148" s="1058">
        <f t="shared" si="190"/>
        <v>0</v>
      </c>
      <c r="AV148" s="1058">
        <f t="shared" si="190"/>
        <v>0</v>
      </c>
      <c r="AW148" s="1058">
        <f t="shared" si="190"/>
        <v>0</v>
      </c>
      <c r="AX148" s="1058">
        <f t="shared" si="190"/>
        <v>0</v>
      </c>
      <c r="AY148" s="1058">
        <f t="shared" si="190"/>
        <v>0</v>
      </c>
      <c r="AZ148" s="1058">
        <f t="shared" si="190"/>
        <v>0</v>
      </c>
      <c r="BA148" s="1058">
        <f t="shared" si="190"/>
        <v>0</v>
      </c>
      <c r="BB148" s="1058">
        <f t="shared" si="190"/>
        <v>0</v>
      </c>
      <c r="BC148" s="1058">
        <f t="shared" si="190"/>
        <v>0</v>
      </c>
      <c r="BD148" s="1058">
        <f t="shared" si="190"/>
        <v>0</v>
      </c>
      <c r="BE148" s="1058">
        <f t="shared" si="190"/>
        <v>0</v>
      </c>
      <c r="BF148" s="1058">
        <f t="shared" si="190"/>
        <v>0</v>
      </c>
      <c r="BG148" s="1058">
        <f t="shared" si="190"/>
        <v>0</v>
      </c>
      <c r="BH148" s="1058">
        <f t="shared" si="190"/>
        <v>0</v>
      </c>
      <c r="BI148" s="1058">
        <f t="shared" si="190"/>
        <v>0</v>
      </c>
      <c r="BJ148" s="1058">
        <f t="shared" si="190"/>
        <v>0</v>
      </c>
      <c r="BK148" s="1058">
        <f t="shared" si="190"/>
        <v>0</v>
      </c>
      <c r="BL148" s="1058">
        <f t="shared" si="190"/>
        <v>0</v>
      </c>
      <c r="BM148" s="1058">
        <f t="shared" si="190"/>
        <v>0</v>
      </c>
      <c r="BN148" s="1058">
        <f t="shared" si="190"/>
        <v>0</v>
      </c>
      <c r="BO148" s="1058">
        <f t="shared" si="190"/>
        <v>0</v>
      </c>
      <c r="BP148" s="1058">
        <f t="shared" si="190"/>
        <v>0</v>
      </c>
      <c r="BQ148" s="1058">
        <f t="shared" si="190"/>
        <v>0</v>
      </c>
      <c r="BR148" s="1058">
        <f t="shared" si="190"/>
        <v>0</v>
      </c>
      <c r="BS148" s="1058">
        <f t="shared" si="190"/>
        <v>0</v>
      </c>
      <c r="BT148" s="1058">
        <f t="shared" si="190"/>
        <v>0</v>
      </c>
      <c r="BU148" s="1058">
        <f t="shared" si="190"/>
        <v>0</v>
      </c>
      <c r="BV148" s="1058">
        <f>BV277+CB149</f>
        <v>12615371.930290004</v>
      </c>
      <c r="BW148" s="1058">
        <f t="shared" ref="BW148:BX148" si="191">BW277</f>
        <v>10010187.295020003</v>
      </c>
      <c r="BX148" s="1058">
        <f t="shared" si="191"/>
        <v>35305183.032570004</v>
      </c>
      <c r="BY148" s="1148" t="str">
        <f>B148</f>
        <v>상환계좌 입금액</v>
      </c>
      <c r="BZ148" s="1957" t="s">
        <v>1637</v>
      </c>
      <c r="CA148" s="1957" t="s">
        <v>1635</v>
      </c>
      <c r="CB148" s="1957" t="s">
        <v>1634</v>
      </c>
      <c r="CC148"/>
      <c r="CD148"/>
      <c r="CE148"/>
      <c r="CF148"/>
      <c r="CG148"/>
      <c r="CH148"/>
      <c r="CI148"/>
      <c r="CJ148"/>
      <c r="CK148"/>
    </row>
    <row r="149" spans="2:89" s="1038" customFormat="1">
      <c r="B149" s="1197" t="s">
        <v>1060</v>
      </c>
      <c r="C149" s="1104"/>
      <c r="D149" s="1104"/>
      <c r="E149" s="1198"/>
      <c r="F149" s="1196"/>
      <c r="G149" s="959"/>
      <c r="H149" s="960"/>
      <c r="I149" s="1194">
        <f t="shared" ref="I149" si="192">H149+I148</f>
        <v>0</v>
      </c>
      <c r="J149" s="1194">
        <f t="shared" ref="J149" si="193">I149+J148</f>
        <v>0</v>
      </c>
      <c r="K149" s="1194">
        <f t="shared" ref="K149:M149" si="194">J149+K148</f>
        <v>0</v>
      </c>
      <c r="L149" s="1194">
        <f t="shared" si="194"/>
        <v>0</v>
      </c>
      <c r="M149" s="1194">
        <f t="shared" si="194"/>
        <v>0</v>
      </c>
      <c r="N149" s="1194">
        <f>M149+N148</f>
        <v>628216.66155600001</v>
      </c>
      <c r="O149" s="1194">
        <f t="shared" ref="O149:BV149" si="195">N149+O148</f>
        <v>1099379.157723</v>
      </c>
      <c r="P149" s="1194">
        <f t="shared" si="195"/>
        <v>1476309.1546566</v>
      </c>
      <c r="Q149" s="1194">
        <f t="shared" si="195"/>
        <v>1790417.4854345999</v>
      </c>
      <c r="R149" s="1194">
        <f t="shared" si="195"/>
        <v>4026312.0431819996</v>
      </c>
      <c r="S149" s="1194">
        <f t="shared" si="195"/>
        <v>4459914.8786015995</v>
      </c>
      <c r="T149" s="1194">
        <f t="shared" si="195"/>
        <v>4831574.4518184001</v>
      </c>
      <c r="U149" s="1194">
        <f t="shared" si="195"/>
        <v>5141290.7628324004</v>
      </c>
      <c r="V149" s="1194">
        <f t="shared" si="195"/>
        <v>8137860.8368464001</v>
      </c>
      <c r="W149" s="1194">
        <f t="shared" si="195"/>
        <v>8507763.6021576002</v>
      </c>
      <c r="X149" s="1194">
        <f t="shared" si="195"/>
        <v>8877666.3674688004</v>
      </c>
      <c r="Y149" s="1194">
        <f t="shared" si="195"/>
        <v>9247569.1327800006</v>
      </c>
      <c r="Z149" s="1194">
        <f t="shared" si="195"/>
        <v>12300812.045280002</v>
      </c>
      <c r="AA149" s="1194">
        <f t="shared" si="195"/>
        <v>12300812.045280002</v>
      </c>
      <c r="AB149" s="1194">
        <f t="shared" si="195"/>
        <v>12300812.045280002</v>
      </c>
      <c r="AC149" s="1194">
        <f t="shared" si="195"/>
        <v>12300812.045280002</v>
      </c>
      <c r="AD149" s="1194">
        <f t="shared" si="195"/>
        <v>15354054.957780004</v>
      </c>
      <c r="AE149" s="1194">
        <f t="shared" si="195"/>
        <v>15354054.957780004</v>
      </c>
      <c r="AF149" s="1194">
        <f t="shared" si="195"/>
        <v>15354054.957780004</v>
      </c>
      <c r="AG149" s="1194">
        <f t="shared" si="195"/>
        <v>15354054.957780004</v>
      </c>
      <c r="AH149" s="1194">
        <f t="shared" si="195"/>
        <v>18407297.870280005</v>
      </c>
      <c r="AI149" s="1194">
        <f t="shared" si="195"/>
        <v>18407297.870280005</v>
      </c>
      <c r="AJ149" s="1194">
        <f t="shared" si="195"/>
        <v>18407297.870280005</v>
      </c>
      <c r="AK149" s="1194">
        <f t="shared" si="195"/>
        <v>18426464.270280004</v>
      </c>
      <c r="AL149" s="1194">
        <f t="shared" ref="AL149" si="196">AK149+AL148</f>
        <v>21484498.782780003</v>
      </c>
      <c r="AM149" s="1194">
        <f t="shared" ref="AM149" si="197">AL149+AM148</f>
        <v>21508456.782780003</v>
      </c>
      <c r="AN149" s="1194">
        <f t="shared" ref="AN149" si="198">AM149+AN148</f>
        <v>21508456.782780003</v>
      </c>
      <c r="AO149" s="1194">
        <f t="shared" si="195"/>
        <v>21544393.782780003</v>
      </c>
      <c r="AP149" s="1194">
        <f t="shared" si="195"/>
        <v>21544393.782780003</v>
      </c>
      <c r="AQ149" s="1194">
        <f t="shared" si="195"/>
        <v>21580330.782780003</v>
      </c>
      <c r="AR149" s="1194">
        <f t="shared" si="195"/>
        <v>21580330.782780003</v>
      </c>
      <c r="AS149" s="1194">
        <f t="shared" si="195"/>
        <v>21580330.782780003</v>
      </c>
      <c r="AT149" s="1194">
        <f t="shared" si="195"/>
        <v>21580330.782780003</v>
      </c>
      <c r="AU149" s="1194">
        <f t="shared" si="195"/>
        <v>21580330.782780003</v>
      </c>
      <c r="AV149" s="1194">
        <f t="shared" si="195"/>
        <v>21580330.782780003</v>
      </c>
      <c r="AW149" s="1194">
        <f t="shared" si="195"/>
        <v>21580330.782780003</v>
      </c>
      <c r="AX149" s="1194">
        <f t="shared" si="195"/>
        <v>21580330.782780003</v>
      </c>
      <c r="AY149" s="1194">
        <f t="shared" si="195"/>
        <v>21580330.782780003</v>
      </c>
      <c r="AZ149" s="1194">
        <f t="shared" si="195"/>
        <v>21580330.782780003</v>
      </c>
      <c r="BA149" s="1194">
        <f t="shared" si="195"/>
        <v>21580330.782780003</v>
      </c>
      <c r="BB149" s="1194">
        <f t="shared" si="195"/>
        <v>21580330.782780003</v>
      </c>
      <c r="BC149" s="1194">
        <f t="shared" si="195"/>
        <v>21580330.782780003</v>
      </c>
      <c r="BD149" s="1194">
        <f t="shared" si="195"/>
        <v>21580330.782780003</v>
      </c>
      <c r="BE149" s="1194">
        <f t="shared" si="195"/>
        <v>21580330.782780003</v>
      </c>
      <c r="BF149" s="1194">
        <f t="shared" si="195"/>
        <v>21580330.782780003</v>
      </c>
      <c r="BG149" s="1194">
        <f t="shared" si="195"/>
        <v>21580330.782780003</v>
      </c>
      <c r="BH149" s="1194">
        <f t="shared" si="195"/>
        <v>21580330.782780003</v>
      </c>
      <c r="BI149" s="1194">
        <f t="shared" si="195"/>
        <v>21580330.782780003</v>
      </c>
      <c r="BJ149" s="1194">
        <f t="shared" si="195"/>
        <v>21580330.782780003</v>
      </c>
      <c r="BK149" s="1194">
        <f t="shared" si="195"/>
        <v>21580330.782780003</v>
      </c>
      <c r="BL149" s="1194">
        <f t="shared" si="195"/>
        <v>21580330.782780003</v>
      </c>
      <c r="BM149" s="1194">
        <f t="shared" si="195"/>
        <v>21580330.782780003</v>
      </c>
      <c r="BN149" s="1194">
        <f t="shared" si="195"/>
        <v>21580330.782780003</v>
      </c>
      <c r="BO149" s="1194">
        <f t="shared" si="195"/>
        <v>21580330.782780003</v>
      </c>
      <c r="BP149" s="1194">
        <f t="shared" si="195"/>
        <v>21580330.782780003</v>
      </c>
      <c r="BQ149" s="1194">
        <f t="shared" si="195"/>
        <v>21580330.782780003</v>
      </c>
      <c r="BR149" s="1194">
        <f t="shared" si="195"/>
        <v>21580330.782780003</v>
      </c>
      <c r="BS149" s="1194">
        <f t="shared" si="195"/>
        <v>21580330.782780003</v>
      </c>
      <c r="BT149" s="1194">
        <f t="shared" si="195"/>
        <v>21580330.782780003</v>
      </c>
      <c r="BU149" s="1194">
        <f t="shared" si="195"/>
        <v>21580330.782780003</v>
      </c>
      <c r="BV149" s="1194">
        <f t="shared" si="195"/>
        <v>34195702.713070005</v>
      </c>
      <c r="BW149" s="1194">
        <f t="shared" ref="BW149:BX149" si="199">BV149+BW148</f>
        <v>44205890.008090004</v>
      </c>
      <c r="BX149" s="1194">
        <f t="shared" si="199"/>
        <v>79511073.040660009</v>
      </c>
      <c r="BY149" s="1148" t="str">
        <f>B149</f>
        <v>상환계좌 입금 누적액</v>
      </c>
      <c r="BZ149" s="1958">
        <f>SUM(I148:BU148)</f>
        <v>21580330.782780003</v>
      </c>
      <c r="CA149" s="930">
        <f>SUM(K121:BU121)</f>
        <v>14000000</v>
      </c>
      <c r="CB149" s="930">
        <f>BZ149-CA149</f>
        <v>7580330.7827800028</v>
      </c>
      <c r="CC149"/>
      <c r="CD149"/>
      <c r="CE149"/>
      <c r="CF149"/>
      <c r="CG149"/>
      <c r="CH149"/>
      <c r="CI149"/>
      <c r="CJ149"/>
      <c r="CK149"/>
    </row>
    <row r="150" spans="2:89" s="1038" customFormat="1">
      <c r="B150" s="1197" t="s">
        <v>1061</v>
      </c>
      <c r="C150" s="1104"/>
      <c r="D150" s="1104"/>
      <c r="E150" s="1198">
        <f>민감도분석!F17</f>
        <v>0.2</v>
      </c>
      <c r="F150" s="1196"/>
      <c r="G150" s="959"/>
      <c r="H150" s="960"/>
      <c r="I150" s="1194">
        <f t="shared" ref="I150:AN150" si="200">I277-I148</f>
        <v>0</v>
      </c>
      <c r="J150" s="1194">
        <f t="shared" si="200"/>
        <v>0</v>
      </c>
      <c r="K150" s="1194">
        <f t="shared" si="200"/>
        <v>0</v>
      </c>
      <c r="L150" s="1194">
        <f t="shared" si="200"/>
        <v>0</v>
      </c>
      <c r="M150" s="1194">
        <f t="shared" si="200"/>
        <v>0</v>
      </c>
      <c r="N150" s="1194">
        <f t="shared" si="200"/>
        <v>2512866.646224</v>
      </c>
      <c r="O150" s="1194">
        <f t="shared" si="200"/>
        <v>1884649.9846679997</v>
      </c>
      <c r="P150" s="1194">
        <f t="shared" si="200"/>
        <v>1507719.9877344</v>
      </c>
      <c r="Q150" s="1194">
        <f t="shared" si="200"/>
        <v>1256433.323112</v>
      </c>
      <c r="R150" s="1194">
        <f t="shared" si="200"/>
        <v>8943578.2309895996</v>
      </c>
      <c r="S150" s="1194">
        <f t="shared" si="200"/>
        <v>1734411.3416784003</v>
      </c>
      <c r="T150" s="1194">
        <f t="shared" si="200"/>
        <v>1486638.2928672007</v>
      </c>
      <c r="U150" s="1194">
        <f t="shared" si="200"/>
        <v>1238865.2440560001</v>
      </c>
      <c r="V150" s="1194">
        <f t="shared" si="200"/>
        <v>11986280.296056001</v>
      </c>
      <c r="W150" s="1194">
        <f t="shared" si="200"/>
        <v>1479611.0612448023</v>
      </c>
      <c r="X150" s="1194">
        <f t="shared" si="200"/>
        <v>1479611.0612447993</v>
      </c>
      <c r="Y150" s="1194">
        <f t="shared" si="200"/>
        <v>1479611.0612448023</v>
      </c>
      <c r="Z150" s="1194">
        <f t="shared" si="200"/>
        <v>12212971.650000002</v>
      </c>
      <c r="AA150" s="1194">
        <f t="shared" si="200"/>
        <v>0</v>
      </c>
      <c r="AB150" s="1194">
        <f t="shared" si="200"/>
        <v>0</v>
      </c>
      <c r="AC150" s="1194">
        <f t="shared" si="200"/>
        <v>0</v>
      </c>
      <c r="AD150" s="1194">
        <f t="shared" si="200"/>
        <v>12212971.650000002</v>
      </c>
      <c r="AE150" s="1194">
        <f t="shared" si="200"/>
        <v>0</v>
      </c>
      <c r="AF150" s="1194">
        <f t="shared" si="200"/>
        <v>0</v>
      </c>
      <c r="AG150" s="1194">
        <f t="shared" si="200"/>
        <v>0</v>
      </c>
      <c r="AH150" s="1194">
        <f t="shared" si="200"/>
        <v>12212971.650000002</v>
      </c>
      <c r="AI150" s="1194">
        <f t="shared" si="200"/>
        <v>0</v>
      </c>
      <c r="AJ150" s="1194">
        <f t="shared" si="200"/>
        <v>0</v>
      </c>
      <c r="AK150" s="1194">
        <f t="shared" si="200"/>
        <v>76665.600000000006</v>
      </c>
      <c r="AL150" s="1194">
        <f t="shared" si="200"/>
        <v>12232138.050000001</v>
      </c>
      <c r="AM150" s="1194">
        <f t="shared" si="200"/>
        <v>95832</v>
      </c>
      <c r="AN150" s="1194">
        <f t="shared" si="200"/>
        <v>0</v>
      </c>
      <c r="AO150" s="1194">
        <f t="shared" ref="AO150:BU150" si="201">AO277-AO148</f>
        <v>143748</v>
      </c>
      <c r="AP150" s="1194">
        <f t="shared" si="201"/>
        <v>0</v>
      </c>
      <c r="AQ150" s="1194">
        <f t="shared" si="201"/>
        <v>143748</v>
      </c>
      <c r="AR150" s="1194">
        <f t="shared" si="201"/>
        <v>0</v>
      </c>
      <c r="AS150" s="1194">
        <f t="shared" si="201"/>
        <v>0</v>
      </c>
      <c r="AT150" s="1194">
        <f t="shared" si="201"/>
        <v>0</v>
      </c>
      <c r="AU150" s="1194">
        <f t="shared" si="201"/>
        <v>0</v>
      </c>
      <c r="AV150" s="1194">
        <f t="shared" si="201"/>
        <v>0</v>
      </c>
      <c r="AW150" s="1194">
        <f t="shared" si="201"/>
        <v>0</v>
      </c>
      <c r="AX150" s="1194">
        <f t="shared" si="201"/>
        <v>0</v>
      </c>
      <c r="AY150" s="1194">
        <f t="shared" si="201"/>
        <v>0</v>
      </c>
      <c r="AZ150" s="1194">
        <f t="shared" si="201"/>
        <v>0</v>
      </c>
      <c r="BA150" s="1194">
        <f t="shared" si="201"/>
        <v>0</v>
      </c>
      <c r="BB150" s="1194">
        <f t="shared" si="201"/>
        <v>0</v>
      </c>
      <c r="BC150" s="1194">
        <f t="shared" si="201"/>
        <v>0</v>
      </c>
      <c r="BD150" s="1194">
        <f t="shared" si="201"/>
        <v>0</v>
      </c>
      <c r="BE150" s="1194">
        <f t="shared" si="201"/>
        <v>0</v>
      </c>
      <c r="BF150" s="1194">
        <f t="shared" si="201"/>
        <v>0</v>
      </c>
      <c r="BG150" s="1194">
        <f t="shared" si="201"/>
        <v>0</v>
      </c>
      <c r="BH150" s="1194">
        <f t="shared" si="201"/>
        <v>0</v>
      </c>
      <c r="BI150" s="1194">
        <f t="shared" si="201"/>
        <v>0</v>
      </c>
      <c r="BJ150" s="1194">
        <f t="shared" si="201"/>
        <v>0</v>
      </c>
      <c r="BK150" s="1194">
        <f t="shared" si="201"/>
        <v>0</v>
      </c>
      <c r="BL150" s="1194">
        <f t="shared" si="201"/>
        <v>0</v>
      </c>
      <c r="BM150" s="1194">
        <f t="shared" si="201"/>
        <v>0</v>
      </c>
      <c r="BN150" s="1194">
        <f t="shared" si="201"/>
        <v>0</v>
      </c>
      <c r="BO150" s="1194">
        <f t="shared" si="201"/>
        <v>0</v>
      </c>
      <c r="BP150" s="1194">
        <f t="shared" si="201"/>
        <v>0</v>
      </c>
      <c r="BQ150" s="1194">
        <f t="shared" si="201"/>
        <v>0</v>
      </c>
      <c r="BR150" s="1194">
        <f t="shared" si="201"/>
        <v>0</v>
      </c>
      <c r="BS150" s="1194">
        <f t="shared" si="201"/>
        <v>0</v>
      </c>
      <c r="BT150" s="1194">
        <f t="shared" si="201"/>
        <v>0</v>
      </c>
      <c r="BU150" s="1194">
        <f t="shared" si="201"/>
        <v>0</v>
      </c>
      <c r="BV150" s="1194"/>
      <c r="BW150" s="1194"/>
      <c r="BX150" s="1194"/>
      <c r="BY150" s="1148" t="str">
        <f>B150</f>
        <v>운영계좌 입금액</v>
      </c>
      <c r="BZ150" s="1959" t="s">
        <v>1636</v>
      </c>
      <c r="CA150" s="7" t="s">
        <v>1639</v>
      </c>
      <c r="CB150" s="7"/>
      <c r="CC150"/>
      <c r="CD150"/>
      <c r="CE150"/>
      <c r="CF150"/>
      <c r="CG150"/>
      <c r="CH150"/>
      <c r="CI150"/>
      <c r="CJ150"/>
      <c r="CK150"/>
    </row>
    <row r="151" spans="2:89" s="1038" customFormat="1">
      <c r="B151" s="1191" t="s">
        <v>1062</v>
      </c>
      <c r="C151" s="1192"/>
      <c r="D151" s="1192"/>
      <c r="E151" s="1192"/>
      <c r="F151" s="964"/>
      <c r="G151" s="959"/>
      <c r="H151" s="960"/>
      <c r="I151" s="1194">
        <f t="shared" ref="I151" si="202">H151+I150</f>
        <v>0</v>
      </c>
      <c r="J151" s="1194">
        <f t="shared" ref="J151" si="203">I151+J150</f>
        <v>0</v>
      </c>
      <c r="K151" s="1194">
        <f t="shared" ref="K151:M151" si="204">J151+K150</f>
        <v>0</v>
      </c>
      <c r="L151" s="1194">
        <f t="shared" si="204"/>
        <v>0</v>
      </c>
      <c r="M151" s="1194">
        <f t="shared" si="204"/>
        <v>0</v>
      </c>
      <c r="N151" s="1194">
        <f>M151+N150</f>
        <v>2512866.646224</v>
      </c>
      <c r="O151" s="1194">
        <f t="shared" ref="O151:BV151" si="205">N151+O150</f>
        <v>4397516.6308919992</v>
      </c>
      <c r="P151" s="1194">
        <f t="shared" si="205"/>
        <v>5905236.618626399</v>
      </c>
      <c r="Q151" s="1194">
        <f t="shared" si="205"/>
        <v>7161669.9417383987</v>
      </c>
      <c r="R151" s="1194">
        <f t="shared" si="205"/>
        <v>16105248.172727998</v>
      </c>
      <c r="S151" s="1194">
        <f t="shared" si="205"/>
        <v>17839659.514406398</v>
      </c>
      <c r="T151" s="1194">
        <f t="shared" si="205"/>
        <v>19326297.8072736</v>
      </c>
      <c r="U151" s="1194">
        <f t="shared" si="205"/>
        <v>20565163.051329602</v>
      </c>
      <c r="V151" s="1194">
        <f t="shared" si="205"/>
        <v>32551443.3473856</v>
      </c>
      <c r="W151" s="1194">
        <f t="shared" si="205"/>
        <v>34031054.408630401</v>
      </c>
      <c r="X151" s="1194">
        <f t="shared" si="205"/>
        <v>35510665.469875202</v>
      </c>
      <c r="Y151" s="1194">
        <f t="shared" si="205"/>
        <v>36990276.531120002</v>
      </c>
      <c r="Z151" s="1194">
        <f t="shared" si="205"/>
        <v>49203248.181120008</v>
      </c>
      <c r="AA151" s="1194">
        <f t="shared" si="205"/>
        <v>49203248.181120008</v>
      </c>
      <c r="AB151" s="1194">
        <f t="shared" si="205"/>
        <v>49203248.181120008</v>
      </c>
      <c r="AC151" s="1194">
        <f t="shared" si="205"/>
        <v>49203248.181120008</v>
      </c>
      <c r="AD151" s="1194">
        <f t="shared" si="205"/>
        <v>61416219.831120014</v>
      </c>
      <c r="AE151" s="1194">
        <f t="shared" si="205"/>
        <v>61416219.831120014</v>
      </c>
      <c r="AF151" s="1194">
        <f t="shared" si="205"/>
        <v>61416219.831120014</v>
      </c>
      <c r="AG151" s="1194">
        <f t="shared" si="205"/>
        <v>61416219.831120014</v>
      </c>
      <c r="AH151" s="1194">
        <f t="shared" si="205"/>
        <v>73629191.48112002</v>
      </c>
      <c r="AI151" s="1194">
        <f t="shared" si="205"/>
        <v>73629191.48112002</v>
      </c>
      <c r="AJ151" s="1194">
        <f t="shared" si="205"/>
        <v>73629191.48112002</v>
      </c>
      <c r="AK151" s="1194">
        <f t="shared" si="205"/>
        <v>73705857.081120014</v>
      </c>
      <c r="AL151" s="1194">
        <f t="shared" ref="AL151" si="206">AK151+AL150</f>
        <v>85937995.131120011</v>
      </c>
      <c r="AM151" s="1194">
        <f t="shared" ref="AM151" si="207">AL151+AM150</f>
        <v>86033827.131120011</v>
      </c>
      <c r="AN151" s="1194">
        <f t="shared" ref="AN151" si="208">AM151+AN150</f>
        <v>86033827.131120011</v>
      </c>
      <c r="AO151" s="1194">
        <f t="shared" si="205"/>
        <v>86177575.131120011</v>
      </c>
      <c r="AP151" s="1194">
        <f t="shared" si="205"/>
        <v>86177575.131120011</v>
      </c>
      <c r="AQ151" s="1194">
        <f t="shared" si="205"/>
        <v>86321323.131120011</v>
      </c>
      <c r="AR151" s="1194">
        <f t="shared" si="205"/>
        <v>86321323.131120011</v>
      </c>
      <c r="AS151" s="1194">
        <f t="shared" si="205"/>
        <v>86321323.131120011</v>
      </c>
      <c r="AT151" s="1194">
        <f t="shared" si="205"/>
        <v>86321323.131120011</v>
      </c>
      <c r="AU151" s="1194">
        <f t="shared" si="205"/>
        <v>86321323.131120011</v>
      </c>
      <c r="AV151" s="1194">
        <f t="shared" si="205"/>
        <v>86321323.131120011</v>
      </c>
      <c r="AW151" s="1194">
        <f t="shared" si="205"/>
        <v>86321323.131120011</v>
      </c>
      <c r="AX151" s="1194">
        <f t="shared" si="205"/>
        <v>86321323.131120011</v>
      </c>
      <c r="AY151" s="1194">
        <f t="shared" si="205"/>
        <v>86321323.131120011</v>
      </c>
      <c r="AZ151" s="1194">
        <f t="shared" si="205"/>
        <v>86321323.131120011</v>
      </c>
      <c r="BA151" s="1194">
        <f t="shared" si="205"/>
        <v>86321323.131120011</v>
      </c>
      <c r="BB151" s="1194">
        <f t="shared" si="205"/>
        <v>86321323.131120011</v>
      </c>
      <c r="BC151" s="1194">
        <f t="shared" si="205"/>
        <v>86321323.131120011</v>
      </c>
      <c r="BD151" s="1194">
        <f t="shared" si="205"/>
        <v>86321323.131120011</v>
      </c>
      <c r="BE151" s="1194">
        <f t="shared" si="205"/>
        <v>86321323.131120011</v>
      </c>
      <c r="BF151" s="1194">
        <f t="shared" si="205"/>
        <v>86321323.131120011</v>
      </c>
      <c r="BG151" s="1194">
        <f t="shared" si="205"/>
        <v>86321323.131120011</v>
      </c>
      <c r="BH151" s="1194">
        <f t="shared" si="205"/>
        <v>86321323.131120011</v>
      </c>
      <c r="BI151" s="1194">
        <f t="shared" si="205"/>
        <v>86321323.131120011</v>
      </c>
      <c r="BJ151" s="1194">
        <f t="shared" si="205"/>
        <v>86321323.131120011</v>
      </c>
      <c r="BK151" s="1194">
        <f t="shared" si="205"/>
        <v>86321323.131120011</v>
      </c>
      <c r="BL151" s="1194">
        <f t="shared" si="205"/>
        <v>86321323.131120011</v>
      </c>
      <c r="BM151" s="1194">
        <f t="shared" si="205"/>
        <v>86321323.131120011</v>
      </c>
      <c r="BN151" s="1194">
        <f t="shared" si="205"/>
        <v>86321323.131120011</v>
      </c>
      <c r="BO151" s="1194">
        <f t="shared" si="205"/>
        <v>86321323.131120011</v>
      </c>
      <c r="BP151" s="1194">
        <f t="shared" si="205"/>
        <v>86321323.131120011</v>
      </c>
      <c r="BQ151" s="1194">
        <f t="shared" si="205"/>
        <v>86321323.131120011</v>
      </c>
      <c r="BR151" s="1194">
        <f t="shared" si="205"/>
        <v>86321323.131120011</v>
      </c>
      <c r="BS151" s="1194">
        <f t="shared" si="205"/>
        <v>86321323.131120011</v>
      </c>
      <c r="BT151" s="1194">
        <f t="shared" si="205"/>
        <v>86321323.131120011</v>
      </c>
      <c r="BU151" s="1194">
        <f t="shared" si="205"/>
        <v>86321323.131120011</v>
      </c>
      <c r="BV151" s="1194">
        <f t="shared" si="205"/>
        <v>86321323.131120011</v>
      </c>
      <c r="BW151" s="1194">
        <f t="shared" ref="BW151:BX151" si="209">BV151+BW150</f>
        <v>86321323.131120011</v>
      </c>
      <c r="BX151" s="1194">
        <f t="shared" si="209"/>
        <v>86321323.131120011</v>
      </c>
      <c r="BY151" s="1148" t="str">
        <f>B151</f>
        <v>운영계좌 입금 누적액</v>
      </c>
      <c r="BZ151" s="1958">
        <f>SUM(K150:BU150)</f>
        <v>86321323.131120011</v>
      </c>
      <c r="CA151" s="930">
        <f>SUM(BV123:BX123,BV128:BX128,BV133:BX133)</f>
        <v>22000000</v>
      </c>
      <c r="CB151" s="7"/>
      <c r="CC151"/>
      <c r="CD151"/>
      <c r="CE151"/>
      <c r="CF151"/>
      <c r="CG151"/>
      <c r="CH151"/>
      <c r="CI151"/>
      <c r="CJ151"/>
      <c r="CK151"/>
    </row>
    <row r="152" spans="2:89" s="1038" customFormat="1">
      <c r="B152" s="1141"/>
      <c r="C152" s="1141"/>
      <c r="D152" s="1141"/>
      <c r="E152" s="1141"/>
      <c r="F152" s="1141"/>
      <c r="G152" s="998"/>
      <c r="H152" s="998"/>
      <c r="I152" s="998"/>
      <c r="J152" s="998"/>
      <c r="K152" s="998"/>
      <c r="L152" s="998"/>
      <c r="M152" s="998"/>
      <c r="N152" s="998"/>
      <c r="O152" s="998"/>
      <c r="P152" s="998"/>
      <c r="Q152" s="998"/>
      <c r="R152" s="998"/>
      <c r="S152" s="998"/>
      <c r="T152" s="998"/>
      <c r="U152" s="998"/>
      <c r="V152" s="998"/>
      <c r="W152" s="998"/>
      <c r="X152" s="998"/>
      <c r="Y152" s="998"/>
      <c r="Z152" s="998"/>
      <c r="AA152" s="998"/>
      <c r="AB152" s="998"/>
      <c r="AC152" s="998"/>
      <c r="AD152" s="998"/>
      <c r="AE152" s="998"/>
      <c r="AF152" s="998"/>
      <c r="AG152" s="998"/>
      <c r="AH152" s="998"/>
      <c r="AI152" s="998"/>
      <c r="AJ152" s="998"/>
      <c r="AK152" s="998"/>
      <c r="AL152" s="998"/>
      <c r="AM152" s="998"/>
      <c r="AN152" s="998"/>
      <c r="AO152" s="998"/>
      <c r="AP152" s="998"/>
      <c r="AQ152" s="998"/>
      <c r="AR152" s="998"/>
      <c r="AS152" s="998"/>
      <c r="AT152" s="998"/>
      <c r="AU152" s="998"/>
      <c r="AV152" s="998"/>
      <c r="AW152" s="998"/>
      <c r="AX152" s="998"/>
      <c r="AY152" s="998"/>
      <c r="AZ152" s="998"/>
      <c r="BA152" s="998"/>
      <c r="BB152" s="998"/>
      <c r="BC152" s="998"/>
      <c r="BD152" s="998"/>
      <c r="BE152" s="998"/>
      <c r="BF152" s="998"/>
      <c r="BG152" s="998"/>
      <c r="BH152" s="998"/>
      <c r="BI152" s="998"/>
      <c r="BJ152" s="998"/>
      <c r="BK152" s="998"/>
      <c r="BL152" s="998"/>
      <c r="BM152" s="998"/>
      <c r="BN152" s="998"/>
      <c r="BO152" s="998"/>
      <c r="BP152" s="998"/>
      <c r="BQ152" s="998"/>
      <c r="BR152" s="998"/>
      <c r="BS152" s="998"/>
      <c r="BT152" s="998"/>
      <c r="BU152" s="998"/>
      <c r="BV152" s="1054"/>
      <c r="BW152" s="1054"/>
      <c r="BX152" s="998"/>
      <c r="BY152" s="962"/>
      <c r="BZ152" s="1037"/>
      <c r="CA152"/>
      <c r="CB152"/>
      <c r="CC152"/>
      <c r="CD152"/>
      <c r="CE152"/>
      <c r="CF152"/>
      <c r="CG152"/>
      <c r="CH152"/>
      <c r="CI152"/>
      <c r="CJ152"/>
      <c r="CK152"/>
    </row>
    <row r="153" spans="2:89" s="1038" customFormat="1">
      <c r="B153" s="1141"/>
      <c r="C153" s="1141"/>
      <c r="D153" s="1141"/>
      <c r="E153" s="1141"/>
      <c r="F153" s="1141"/>
      <c r="G153" s="998"/>
      <c r="H153" s="998"/>
      <c r="I153" s="998"/>
      <c r="J153" s="998"/>
      <c r="K153" s="998"/>
      <c r="L153" s="1685"/>
      <c r="M153" s="1685"/>
      <c r="N153" s="1685"/>
      <c r="O153" s="1685"/>
      <c r="P153" s="1685"/>
      <c r="Q153" s="1685"/>
      <c r="R153" s="1685"/>
      <c r="S153" s="1685"/>
      <c r="T153" s="1685"/>
      <c r="U153" s="1685"/>
      <c r="V153" s="1685"/>
      <c r="W153" s="1685"/>
      <c r="X153" s="1685"/>
      <c r="Y153" s="1685"/>
      <c r="Z153" s="1685"/>
      <c r="AA153" s="1685"/>
      <c r="AB153" s="1685"/>
      <c r="AC153" s="1685"/>
      <c r="AD153" s="1685"/>
      <c r="AE153" s="1685"/>
      <c r="AF153" s="1685"/>
      <c r="AG153" s="1685"/>
      <c r="AH153" s="1685"/>
      <c r="AI153" s="1685"/>
      <c r="AJ153" s="1685"/>
      <c r="AK153" s="1685"/>
      <c r="AL153" s="1685"/>
      <c r="AM153" s="1685"/>
      <c r="AN153" s="1685"/>
      <c r="AO153" s="1685"/>
      <c r="AP153" s="1685"/>
      <c r="AQ153" s="1685"/>
      <c r="AR153" s="1685"/>
      <c r="AS153" s="1685"/>
      <c r="AT153" s="1685"/>
      <c r="AU153" s="1685"/>
      <c r="AV153" s="1685"/>
      <c r="AW153" s="1685"/>
      <c r="AX153" s="1685"/>
      <c r="AY153" s="1685"/>
      <c r="AZ153" s="1685"/>
      <c r="BA153" s="1685"/>
      <c r="BB153" s="1685"/>
      <c r="BC153" s="1685"/>
      <c r="BD153" s="1685"/>
      <c r="BE153" s="1685"/>
      <c r="BF153" s="1685"/>
      <c r="BG153" s="1685"/>
      <c r="BH153" s="1685"/>
      <c r="BI153" s="1685"/>
      <c r="BJ153" s="1685"/>
      <c r="BK153" s="1685"/>
      <c r="BL153" s="1685"/>
      <c r="BM153" s="1685"/>
      <c r="BN153" s="1685"/>
      <c r="BO153" s="1685"/>
      <c r="BP153" s="1685"/>
      <c r="BQ153" s="1685"/>
      <c r="BR153" s="1685"/>
      <c r="BS153" s="1685"/>
      <c r="BT153" s="1685"/>
      <c r="BU153" s="1685"/>
      <c r="BV153" s="1685"/>
      <c r="BW153" s="1685"/>
      <c r="BX153" s="1685"/>
      <c r="BY153" s="962"/>
      <c r="BZ153" s="1037"/>
      <c r="CA153"/>
      <c r="CB153"/>
      <c r="CC153"/>
      <c r="CD153"/>
      <c r="CE153"/>
      <c r="CF153"/>
      <c r="CG153"/>
      <c r="CH153"/>
      <c r="CI153"/>
      <c r="CJ153"/>
      <c r="CK153"/>
    </row>
    <row r="154" spans="2:89" s="1038" customFormat="1">
      <c r="B154" s="1231"/>
      <c r="C154" s="1231"/>
      <c r="D154" s="1141"/>
      <c r="E154" s="1141"/>
      <c r="F154" s="1141"/>
      <c r="G154" s="998"/>
      <c r="H154" s="998"/>
      <c r="I154" s="998"/>
      <c r="J154" s="998"/>
      <c r="K154" s="998"/>
      <c r="L154" s="998"/>
      <c r="M154" s="998"/>
      <c r="N154" s="998"/>
      <c r="O154" s="998"/>
      <c r="P154" s="998"/>
      <c r="Q154" s="998"/>
      <c r="R154" s="998"/>
      <c r="S154" s="998"/>
      <c r="T154" s="998"/>
      <c r="U154" s="998"/>
      <c r="V154" s="998"/>
      <c r="W154" s="998"/>
      <c r="X154" s="998"/>
      <c r="Y154" s="998"/>
      <c r="Z154" s="998"/>
      <c r="AA154" s="998"/>
      <c r="AB154" s="998"/>
      <c r="AC154" s="998"/>
      <c r="AD154" s="998"/>
      <c r="AE154" s="998"/>
      <c r="AF154" s="998"/>
      <c r="AG154" s="998"/>
      <c r="AH154" s="998"/>
      <c r="AI154" s="998"/>
      <c r="AJ154" s="998"/>
      <c r="AK154" s="998"/>
      <c r="AL154" s="998"/>
      <c r="AM154" s="998"/>
      <c r="AN154" s="998"/>
      <c r="AO154" s="998"/>
      <c r="AP154" s="998"/>
      <c r="AQ154" s="998"/>
      <c r="AR154" s="998"/>
      <c r="AS154" s="998"/>
      <c r="AT154" s="998"/>
      <c r="AU154" s="998"/>
      <c r="AV154" s="998"/>
      <c r="AW154" s="998"/>
      <c r="AX154" s="998"/>
      <c r="AY154" s="998"/>
      <c r="AZ154" s="998"/>
      <c r="BA154" s="998"/>
      <c r="BB154" s="998"/>
      <c r="BC154" s="998"/>
      <c r="BD154" s="998"/>
      <c r="BE154" s="998"/>
      <c r="BF154" s="998"/>
      <c r="BG154" s="998"/>
      <c r="BH154" s="998"/>
      <c r="BI154" s="998"/>
      <c r="BJ154" s="998"/>
      <c r="BK154" s="998"/>
      <c r="BL154" s="998"/>
      <c r="BM154" s="998"/>
      <c r="BN154" s="998"/>
      <c r="BO154" s="998"/>
      <c r="BP154" s="998"/>
      <c r="BQ154" s="998"/>
      <c r="BR154" s="998"/>
      <c r="BS154" s="998"/>
      <c r="BT154" s="998"/>
      <c r="BU154" s="998"/>
      <c r="BV154" s="1054"/>
      <c r="BW154" s="1054"/>
      <c r="BX154" s="998"/>
      <c r="BY154" s="962"/>
      <c r="BZ154" s="1037"/>
      <c r="CA154"/>
      <c r="CB154"/>
      <c r="CC154"/>
      <c r="CD154"/>
      <c r="CE154"/>
      <c r="CF154"/>
      <c r="CG154"/>
      <c r="CH154"/>
      <c r="CI154"/>
      <c r="CJ154"/>
      <c r="CK154"/>
    </row>
    <row r="155" spans="2:89" s="1038" customFormat="1">
      <c r="B155" s="723" t="s">
        <v>1063</v>
      </c>
      <c r="C155" s="1200"/>
      <c r="D155" s="1200"/>
      <c r="E155" s="1201">
        <f>SUM(G155:BX155)</f>
        <v>5518090.7186698383</v>
      </c>
      <c r="F155" s="1202"/>
      <c r="G155" s="959"/>
      <c r="H155" s="960"/>
      <c r="I155" s="960"/>
      <c r="J155" s="960"/>
      <c r="K155" s="1057">
        <f>CHOOSE(총괄장!$Y$6,CF분석!K167,CF분석!K168,CF분석!K169)</f>
        <v>330904.10958904109</v>
      </c>
      <c r="L155" s="1057">
        <f>CHOOSE(총괄장!$Y$6,CF분석!L167,CF분석!L168,CF분석!L169)</f>
        <v>0</v>
      </c>
      <c r="M155" s="1057">
        <f>CHOOSE(총괄장!$Y$6,CF분석!M167,CF분석!M168,CF분석!M169)</f>
        <v>336328.76712328766</v>
      </c>
      <c r="N155" s="1057">
        <f>CHOOSE(총괄장!$Y$6,CF분석!N167,CF분석!N168,CF분석!N169)</f>
        <v>0</v>
      </c>
      <c r="O155" s="1057">
        <f>CHOOSE(총괄장!$Y$6,CF분석!O167,CF분석!O168,CF분석!O169)</f>
        <v>325479.45205479453</v>
      </c>
      <c r="P155" s="1057">
        <f>CHOOSE(총괄장!$Y$6,CF분석!P167,CF분석!P168,CF분석!P169)</f>
        <v>0</v>
      </c>
      <c r="Q155" s="1057">
        <f>CHOOSE(총괄장!$Y$6,CF분석!Q167,CF분석!Q168,CF분석!Q169)</f>
        <v>330904.10958904109</v>
      </c>
      <c r="R155" s="1057">
        <f>CHOOSE(총괄장!$Y$6,CF분석!R167,CF분석!R168,CF분석!R169)</f>
        <v>0</v>
      </c>
      <c r="S155" s="1057">
        <f>CHOOSE(총괄장!$Y$6,CF분석!S167,CF분석!S168,CF분석!S169)</f>
        <v>330904.10958904109</v>
      </c>
      <c r="T155" s="1057">
        <f>CHOOSE(총괄장!$Y$6,CF분석!T167,CF분석!T168,CF분석!T169)</f>
        <v>0</v>
      </c>
      <c r="U155" s="1057">
        <f>CHOOSE(총괄장!$Y$6,CF분석!U167,CF분석!U168,CF분석!U169)</f>
        <v>330904.10958904109</v>
      </c>
      <c r="V155" s="1057">
        <f>CHOOSE(총괄장!$Y$6,CF분석!V167,CF분석!V168,CF분석!V169)</f>
        <v>0</v>
      </c>
      <c r="W155" s="1057">
        <f>CHOOSE(총괄장!$Y$6,CF분석!W167,CF분석!W168,CF분석!W169)</f>
        <v>330904.10958904109</v>
      </c>
      <c r="X155" s="1057">
        <f>CHOOSE(총괄장!$Y$6,CF분석!X167,CF분석!X168,CF분석!X169)</f>
        <v>0</v>
      </c>
      <c r="Y155" s="1057">
        <f>CHOOSE(총괄장!$Y$6,CF분석!Y167,CF분석!Y168,CF분석!Y169)</f>
        <v>336328.76712328766</v>
      </c>
      <c r="Z155" s="1057">
        <f>CHOOSE(총괄장!$Y$6,CF분석!Z167,CF분석!Z168,CF분석!Z169)</f>
        <v>0</v>
      </c>
      <c r="AA155" s="1057">
        <f>CHOOSE(총괄장!$Y$6,CF분석!AA167,CF분석!AA168,CF분석!AA169)</f>
        <v>320054.79452054796</v>
      </c>
      <c r="AB155" s="1057">
        <f>CHOOSE(총괄장!$Y$6,CF분석!AB167,CF분석!AB168,CF분석!AB169)</f>
        <v>0</v>
      </c>
      <c r="AC155" s="1057">
        <f>CHOOSE(총괄장!$Y$6,CF분석!AC167,CF분석!AC168,CF분석!AC169)</f>
        <v>330904.10958904109</v>
      </c>
      <c r="AD155" s="1057">
        <f>CHOOSE(총괄장!$Y$6,CF분석!AD167,CF분석!AD168,CF분석!AD169)</f>
        <v>0</v>
      </c>
      <c r="AE155" s="1057">
        <f>CHOOSE(총괄장!$Y$6,CF분석!AE167,CF분석!AE168,CF분석!AE169)</f>
        <v>330904.10958904109</v>
      </c>
      <c r="AF155" s="1057">
        <f>CHOOSE(총괄장!$Y$6,CF분석!AF167,CF분석!AF168,CF분석!AF169)</f>
        <v>0</v>
      </c>
      <c r="AG155" s="1057">
        <f>CHOOSE(총괄장!$Y$6,CF분석!AG167,CF분석!AG168,CF분석!AG169)</f>
        <v>330904.10958904109</v>
      </c>
      <c r="AH155" s="1057">
        <f>CHOOSE(총괄장!$Y$6,CF분석!AH167,CF분석!AH168,CF분석!AH169)</f>
        <v>0</v>
      </c>
      <c r="AI155" s="1057">
        <f>CHOOSE(총괄장!$Y$6,CF분석!AI167,CF분석!AI168,CF분석!AI169)</f>
        <v>330904.10958904109</v>
      </c>
      <c r="AJ155" s="1057">
        <f>CHOOSE(총괄장!$Y$6,CF분석!AJ167,CF분석!AJ168,CF분석!AJ169)</f>
        <v>0</v>
      </c>
      <c r="AK155" s="1057">
        <f>CHOOSE(총괄장!$Y$6,CF분석!AK167,CF분석!AK168,CF분석!AK169)</f>
        <v>336328.76712328766</v>
      </c>
      <c r="AL155" s="1057">
        <f>CHOOSE(총괄장!$Y$6,CF분석!AL167,CF분석!AL168,CF분석!AL169)</f>
        <v>0</v>
      </c>
      <c r="AM155" s="1057">
        <f>CHOOSE(총괄장!$Y$6,CF분석!AM167,CF분석!AM168,CF분석!AM169)</f>
        <v>320054.79452054796</v>
      </c>
      <c r="AN155" s="1057">
        <f>CHOOSE(총괄장!$Y$6,CF분석!AN167,CF분석!AN168,CF분석!AN169)</f>
        <v>0</v>
      </c>
      <c r="AO155" s="1057">
        <f>CHOOSE(총괄장!$Y$6,CF분석!AO167,CF분석!AO168,CF분석!AO169)</f>
        <v>330904.10958904109</v>
      </c>
      <c r="AP155" s="1057">
        <f>CHOOSE(총괄장!$Y$6,CF분석!AP167,CF분석!AP168,CF분석!AP169)</f>
        <v>0</v>
      </c>
      <c r="AQ155" s="1057">
        <f>CHOOSE(총괄장!$Y$6,CF분석!AQ167,CF분석!AQ168,CF분석!AQ169)</f>
        <v>162739.72602739726</v>
      </c>
      <c r="AR155" s="1057">
        <f>CHOOSE(총괄장!$Y$6,CF분석!AR167,CF분석!AR168,CF분석!AR169)</f>
        <v>0</v>
      </c>
      <c r="AS155" s="1057">
        <f>CHOOSE(총괄장!$Y$6,CF분석!AS167,CF분석!AS168,CF분석!AS169)</f>
        <v>0</v>
      </c>
      <c r="AT155" s="1057">
        <f>CHOOSE(총괄장!$Y$6,CF분석!AT167,CF분석!AT168,CF분석!AT169)</f>
        <v>0</v>
      </c>
      <c r="AU155" s="1057">
        <f>CHOOSE(총괄장!$Y$6,CF분석!AU167,CF분석!AU168,CF분석!AU169)</f>
        <v>0</v>
      </c>
      <c r="AV155" s="1057">
        <f>CHOOSE(총괄장!$Y$6,CF분석!AV167,CF분석!AV168,CF분석!AV169)</f>
        <v>0</v>
      </c>
      <c r="AW155" s="1057">
        <f>CHOOSE(총괄장!$Y$6,CF분석!AW167,CF분석!AW168,CF분석!AW169)</f>
        <v>0</v>
      </c>
      <c r="AX155" s="1057">
        <f>CHOOSE(총괄장!$Y$6,CF분석!AX167,CF분석!AX168,CF분석!AX169)</f>
        <v>0</v>
      </c>
      <c r="AY155" s="1057">
        <f>CHOOSE(총괄장!$Y$6,CF분석!AY167,CF분석!AY168,CF분석!AY169)</f>
        <v>0</v>
      </c>
      <c r="AZ155" s="1057">
        <f>CHOOSE(총괄장!$Y$6,CF분석!AZ167,CF분석!AZ168,CF분석!AZ169)</f>
        <v>0</v>
      </c>
      <c r="BA155" s="1057">
        <f>CHOOSE(총괄장!$Y$6,CF분석!BA167,CF분석!BA168,CF분석!BA169)</f>
        <v>0</v>
      </c>
      <c r="BB155" s="1057">
        <f>CHOOSE(총괄장!$Y$6,CF분석!BB167,CF분석!BB168,CF분석!BB169)</f>
        <v>0</v>
      </c>
      <c r="BC155" s="1057">
        <f>CHOOSE(총괄장!$Y$6,CF분석!BC167,CF분석!BC168,CF분석!BC169)</f>
        <v>0</v>
      </c>
      <c r="BD155" s="1057">
        <f>CHOOSE(총괄장!$Y$6,CF분석!BD167,CF분석!BD168,CF분석!BD169)</f>
        <v>0</v>
      </c>
      <c r="BE155" s="1057">
        <f>CHOOSE(총괄장!$Y$6,CF분석!BE167,CF분석!BE168,CF분석!BE169)</f>
        <v>0</v>
      </c>
      <c r="BF155" s="1057">
        <f>CHOOSE(총괄장!$Y$6,CF분석!BF167,CF분석!BF168,CF분석!BF169)</f>
        <v>0</v>
      </c>
      <c r="BG155" s="1057">
        <f>CHOOSE(총괄장!$Y$6,CF분석!BG167,CF분석!BG168,CF분석!BG169)</f>
        <v>0</v>
      </c>
      <c r="BH155" s="1057">
        <f>CHOOSE(총괄장!$Y$6,CF분석!BH167,CF분석!BH168,CF분석!BH169)</f>
        <v>0</v>
      </c>
      <c r="BI155" s="1057">
        <f>CHOOSE(총괄장!$Y$6,CF분석!BI167,CF분석!BI168,CF분석!BI169)</f>
        <v>0</v>
      </c>
      <c r="BJ155" s="1057">
        <f>CHOOSE(총괄장!$Y$6,CF분석!BJ167,CF분석!BJ168,CF분석!BJ169)</f>
        <v>0</v>
      </c>
      <c r="BK155" s="1057">
        <f>CHOOSE(총괄장!$Y$6,CF분석!BK167,CF분석!BK168,CF분석!BK169)</f>
        <v>0</v>
      </c>
      <c r="BL155" s="1057">
        <f>CHOOSE(총괄장!$Y$6,CF분석!BL167,CF분석!BL168,CF분석!BL169)</f>
        <v>0</v>
      </c>
      <c r="BM155" s="1057">
        <f>CHOOSE(총괄장!$Y$6,CF분석!BM167,CF분석!BM168,CF분석!BM169)</f>
        <v>0</v>
      </c>
      <c r="BN155" s="1057">
        <f>CHOOSE(총괄장!$Y$6,CF분석!BN167,CF분석!BN168,CF분석!BN169)</f>
        <v>0</v>
      </c>
      <c r="BO155" s="1057">
        <f>CHOOSE(총괄장!$Y$6,CF분석!BO167,CF분석!BO168,CF분석!BO169)</f>
        <v>0</v>
      </c>
      <c r="BP155" s="1057">
        <f>CHOOSE(총괄장!$Y$6,CF분석!BP167,CF분석!BP168,CF분석!BP169)</f>
        <v>0</v>
      </c>
      <c r="BQ155" s="1057">
        <f>CHOOSE(총괄장!$Y$6,CF분석!BQ167,CF분석!BQ168,CF분석!BQ169)</f>
        <v>0</v>
      </c>
      <c r="BR155" s="1057">
        <f>CHOOSE(총괄장!$Y$6,CF분석!BR167,CF분석!BR168,CF분석!BR169)</f>
        <v>0</v>
      </c>
      <c r="BS155" s="1057">
        <f>CHOOSE(총괄장!$Y$6,CF분석!BS167,CF분석!BS168,CF분석!BS169)</f>
        <v>0</v>
      </c>
      <c r="BT155" s="1057">
        <f>CHOOSE(총괄장!$Y$6,CF분석!BT167,CF분석!BT168,CF분석!BT169)</f>
        <v>0</v>
      </c>
      <c r="BU155" s="1057">
        <f>CHOOSE(총괄장!$Y$6,CF분석!BU167,CF분석!BU168,CF분석!BU169)</f>
        <v>0</v>
      </c>
      <c r="BV155" s="1057">
        <f>CHOOSE(총괄장!$Y$6,CF분석!BV167,CF분석!BV168,CF분석!BV169)</f>
        <v>71734.554286276412</v>
      </c>
      <c r="BW155" s="1057">
        <f>CHOOSE(총괄장!$Y$6,CF분석!BW167,CF분석!BW168,CF분석!BW169)</f>
        <v>0</v>
      </c>
      <c r="BX155" s="1057">
        <f>CHOOSE(총괄장!$Y$6,CF분석!BX167,CF분석!BX168,CF분석!BX169)</f>
        <v>0</v>
      </c>
      <c r="BY155" s="1099"/>
      <c r="BZ155" s="1145"/>
      <c r="CA155"/>
      <c r="CB155"/>
      <c r="CC155"/>
      <c r="CD155"/>
      <c r="CE155"/>
      <c r="CF155"/>
      <c r="CG155"/>
      <c r="CH155"/>
      <c r="CI155"/>
      <c r="CJ155"/>
      <c r="CK155"/>
    </row>
    <row r="156" spans="2:89" s="1038" customFormat="1">
      <c r="B156" s="1168" t="s">
        <v>1064</v>
      </c>
      <c r="C156" s="1175"/>
      <c r="D156" s="1175"/>
      <c r="E156" s="1203">
        <f>SUM(G156:BX156)</f>
        <v>0</v>
      </c>
      <c r="F156" s="1178"/>
      <c r="G156" s="959"/>
      <c r="H156" s="960"/>
      <c r="I156" s="960"/>
      <c r="J156" s="960"/>
      <c r="K156" s="1194">
        <f>CHOOSE(총괄장!$Y$6,CF분석!K172,CF분석!K173,CF분석!K174)</f>
        <v>0</v>
      </c>
      <c r="L156" s="1194">
        <f>CHOOSE(총괄장!$Y$6,CF분석!L172,CF분석!L173,CF분석!L174)</f>
        <v>0</v>
      </c>
      <c r="M156" s="1194">
        <f>CHOOSE(총괄장!$Y$6,CF분석!M172,CF분석!M173,CF분석!M174)</f>
        <v>0</v>
      </c>
      <c r="N156" s="1194">
        <f>CHOOSE(총괄장!$Y$6,CF분석!N172,CF분석!N173,CF분석!N174)</f>
        <v>0</v>
      </c>
      <c r="O156" s="1194">
        <f>CHOOSE(총괄장!$Y$6,CF분석!O172,CF분석!O173,CF분석!O174)</f>
        <v>0</v>
      </c>
      <c r="P156" s="1194">
        <f>CHOOSE(총괄장!$Y$6,CF분석!P172,CF분석!P173,CF분석!P174)</f>
        <v>0</v>
      </c>
      <c r="Q156" s="1194">
        <f>CHOOSE(총괄장!$Y$6,CF분석!Q172,CF분석!Q173,CF분석!Q174)</f>
        <v>0</v>
      </c>
      <c r="R156" s="1194">
        <f>CHOOSE(총괄장!$Y$6,CF분석!R172,CF분석!R173,CF분석!R174)</f>
        <v>0</v>
      </c>
      <c r="S156" s="1194">
        <f>CHOOSE(총괄장!$Y$6,CF분석!S172,CF분석!S173,CF분석!S174)</f>
        <v>0</v>
      </c>
      <c r="T156" s="1194">
        <f>CHOOSE(총괄장!$Y$6,CF분석!T172,CF분석!T173,CF분석!T174)</f>
        <v>0</v>
      </c>
      <c r="U156" s="1194">
        <f>CHOOSE(총괄장!$Y$6,CF분석!U172,CF분석!U173,CF분석!U174)</f>
        <v>0</v>
      </c>
      <c r="V156" s="1194">
        <f>CHOOSE(총괄장!$Y$6,CF분석!V172,CF분석!V173,CF분석!V174)</f>
        <v>0</v>
      </c>
      <c r="W156" s="1194">
        <f>CHOOSE(총괄장!$Y$6,CF분석!W172,CF분석!W173,CF분석!W174)</f>
        <v>0</v>
      </c>
      <c r="X156" s="1194">
        <f>CHOOSE(총괄장!$Y$6,CF분석!X172,CF분석!X173,CF분석!X174)</f>
        <v>0</v>
      </c>
      <c r="Y156" s="1194">
        <f>CHOOSE(총괄장!$Y$6,CF분석!Y172,CF분석!Y173,CF분석!Y174)</f>
        <v>0</v>
      </c>
      <c r="Z156" s="1194">
        <f>CHOOSE(총괄장!$Y$6,CF분석!Z172,CF분석!Z173,CF분석!Z174)</f>
        <v>0</v>
      </c>
      <c r="AA156" s="1194">
        <f>CHOOSE(총괄장!$Y$6,CF분석!AA172,CF분석!AA173,CF분석!AA174)</f>
        <v>0</v>
      </c>
      <c r="AB156" s="1194">
        <f>CHOOSE(총괄장!$Y$6,CF분석!AB172,CF분석!AB173,CF분석!AB174)</f>
        <v>0</v>
      </c>
      <c r="AC156" s="1194">
        <f>CHOOSE(총괄장!$Y$6,CF분석!AC172,CF분석!AC173,CF분석!AC174)</f>
        <v>0</v>
      </c>
      <c r="AD156" s="1194">
        <f>CHOOSE(총괄장!$Y$6,CF분석!AD172,CF분석!AD173,CF분석!AD174)</f>
        <v>0</v>
      </c>
      <c r="AE156" s="1194">
        <f>CHOOSE(총괄장!$Y$6,CF분석!AE172,CF분석!AE173,CF분석!AE174)</f>
        <v>0</v>
      </c>
      <c r="AF156" s="1194">
        <f>CHOOSE(총괄장!$Y$6,CF분석!AF172,CF분석!AF173,CF분석!AF174)</f>
        <v>0</v>
      </c>
      <c r="AG156" s="1194">
        <f>CHOOSE(총괄장!$Y$6,CF분석!AG172,CF분석!AG173,CF분석!AG174)</f>
        <v>0</v>
      </c>
      <c r="AH156" s="1194">
        <f>CHOOSE(총괄장!$Y$6,CF분석!AH172,CF분석!AH173,CF분석!AH174)</f>
        <v>0</v>
      </c>
      <c r="AI156" s="1194">
        <f>CHOOSE(총괄장!$Y$6,CF분석!AI172,CF분석!AI173,CF분석!AI174)</f>
        <v>0</v>
      </c>
      <c r="AJ156" s="1194">
        <f>CHOOSE(총괄장!$Y$6,CF분석!AJ172,CF분석!AJ173,CF분석!AJ174)</f>
        <v>0</v>
      </c>
      <c r="AK156" s="1194">
        <f>CHOOSE(총괄장!$Y$6,CF분석!AK172,CF분석!AK173,CF분석!AK174)</f>
        <v>0</v>
      </c>
      <c r="AL156" s="1194">
        <f>CHOOSE(총괄장!$Y$6,CF분석!AL172,CF분석!AL173,CF분석!AL174)</f>
        <v>0</v>
      </c>
      <c r="AM156" s="1194">
        <f>CHOOSE(총괄장!$Y$6,CF분석!AM172,CF분석!AM173,CF분석!AM174)</f>
        <v>0</v>
      </c>
      <c r="AN156" s="1194">
        <f>CHOOSE(총괄장!$Y$6,CF분석!AN172,CF분석!AN173,CF분석!AN174)</f>
        <v>0</v>
      </c>
      <c r="AO156" s="1194">
        <f>CHOOSE(총괄장!$Y$6,CF분석!AO172,CF분석!AO173,CF분석!AO174)</f>
        <v>0</v>
      </c>
      <c r="AP156" s="1194">
        <f>CHOOSE(총괄장!$Y$6,CF분석!AP172,CF분석!AP173,CF분석!AP174)</f>
        <v>0</v>
      </c>
      <c r="AQ156" s="1194">
        <f>CHOOSE(총괄장!$Y$6,CF분석!AQ172,CF분석!AQ173,CF분석!AQ174)</f>
        <v>0</v>
      </c>
      <c r="AR156" s="1194">
        <f>CHOOSE(총괄장!$Y$6,CF분석!AR172,CF분석!AR173,CF분석!AR174)</f>
        <v>0</v>
      </c>
      <c r="AS156" s="1194">
        <f>CHOOSE(총괄장!$Y$6,CF분석!AS172,CF분석!AS173,CF분석!AS174)</f>
        <v>0</v>
      </c>
      <c r="AT156" s="1194">
        <f>CHOOSE(총괄장!$Y$6,CF분석!AT172,CF분석!AT173,CF분석!AT174)</f>
        <v>0</v>
      </c>
      <c r="AU156" s="1194">
        <f>CHOOSE(총괄장!$Y$6,CF분석!AU172,CF분석!AU173,CF분석!AU174)</f>
        <v>0</v>
      </c>
      <c r="AV156" s="1194">
        <f>CHOOSE(총괄장!$Y$6,CF분석!AV172,CF분석!AV173,CF분석!AV174)</f>
        <v>0</v>
      </c>
      <c r="AW156" s="1194">
        <f>CHOOSE(총괄장!$Y$6,CF분석!AW172,CF분석!AW173,CF분석!AW174)</f>
        <v>0</v>
      </c>
      <c r="AX156" s="1194">
        <f>CHOOSE(총괄장!$Y$6,CF분석!AX172,CF분석!AX173,CF분석!AX174)</f>
        <v>0</v>
      </c>
      <c r="AY156" s="1194">
        <f>CHOOSE(총괄장!$Y$6,CF분석!AY172,CF분석!AY173,CF분석!AY174)</f>
        <v>0</v>
      </c>
      <c r="AZ156" s="1194">
        <f>CHOOSE(총괄장!$Y$6,CF분석!AZ172,CF분석!AZ173,CF분석!AZ174)</f>
        <v>0</v>
      </c>
      <c r="BA156" s="1194">
        <f>CHOOSE(총괄장!$Y$6,CF분석!BA172,CF분석!BA173,CF분석!BA174)</f>
        <v>0</v>
      </c>
      <c r="BB156" s="1194">
        <f>CHOOSE(총괄장!$Y$6,CF분석!BB172,CF분석!BB173,CF분석!BB174)</f>
        <v>0</v>
      </c>
      <c r="BC156" s="1194">
        <f>CHOOSE(총괄장!$Y$6,CF분석!BC172,CF분석!BC173,CF분석!BC174)</f>
        <v>0</v>
      </c>
      <c r="BD156" s="1194">
        <f>CHOOSE(총괄장!$Y$6,CF분석!BD172,CF분석!BD173,CF분석!BD174)</f>
        <v>0</v>
      </c>
      <c r="BE156" s="1194">
        <f>CHOOSE(총괄장!$Y$6,CF분석!BE172,CF분석!BE173,CF분석!BE174)</f>
        <v>0</v>
      </c>
      <c r="BF156" s="1194">
        <f>CHOOSE(총괄장!$Y$6,CF분석!BF172,CF분석!BF173,CF분석!BF174)</f>
        <v>0</v>
      </c>
      <c r="BG156" s="1194">
        <f>CHOOSE(총괄장!$Y$6,CF분석!BG172,CF분석!BG173,CF분석!BG174)</f>
        <v>0</v>
      </c>
      <c r="BH156" s="1194">
        <f>CHOOSE(총괄장!$Y$6,CF분석!BH172,CF분석!BH173,CF분석!BH174)</f>
        <v>0</v>
      </c>
      <c r="BI156" s="1194">
        <f>CHOOSE(총괄장!$Y$6,CF분석!BI172,CF분석!BI173,CF분석!BI174)</f>
        <v>0</v>
      </c>
      <c r="BJ156" s="1194">
        <f>CHOOSE(총괄장!$Y$6,CF분석!BJ172,CF분석!BJ173,CF분석!BJ174)</f>
        <v>0</v>
      </c>
      <c r="BK156" s="1194">
        <f>CHOOSE(총괄장!$Y$6,CF분석!BK172,CF분석!BK173,CF분석!BK174)</f>
        <v>0</v>
      </c>
      <c r="BL156" s="1194">
        <f>CHOOSE(총괄장!$Y$6,CF분석!BL172,CF분석!BL173,CF분석!BL174)</f>
        <v>0</v>
      </c>
      <c r="BM156" s="1194">
        <f>CHOOSE(총괄장!$Y$6,CF분석!BM172,CF분석!BM173,CF분석!BM174)</f>
        <v>0</v>
      </c>
      <c r="BN156" s="1194">
        <f>CHOOSE(총괄장!$Y$6,CF분석!BN172,CF분석!BN173,CF분석!BN174)</f>
        <v>0</v>
      </c>
      <c r="BO156" s="1194">
        <f>CHOOSE(총괄장!$Y$6,CF분석!BO172,CF분석!BO173,CF분석!BO174)</f>
        <v>0</v>
      </c>
      <c r="BP156" s="1194">
        <f>CHOOSE(총괄장!$Y$6,CF분석!BP172,CF분석!BP173,CF분석!BP174)</f>
        <v>0</v>
      </c>
      <c r="BQ156" s="1194">
        <f>CHOOSE(총괄장!$Y$6,CF분석!BQ172,CF분석!BQ173,CF분석!BQ174)</f>
        <v>0</v>
      </c>
      <c r="BR156" s="1194">
        <f>CHOOSE(총괄장!$Y$6,CF분석!BR172,CF분석!BR173,CF분석!BR174)</f>
        <v>0</v>
      </c>
      <c r="BS156" s="1194">
        <f>CHOOSE(총괄장!$Y$6,CF분석!BS172,CF분석!BS173,CF분석!BS174)</f>
        <v>0</v>
      </c>
      <c r="BT156" s="1194">
        <f>CHOOSE(총괄장!$Y$6,CF분석!BT172,CF분석!BT173,CF분석!BT174)</f>
        <v>0</v>
      </c>
      <c r="BU156" s="1194">
        <f>CHOOSE(총괄장!$Y$6,CF분석!BU172,CF분석!BU173,CF분석!BU174)</f>
        <v>0</v>
      </c>
      <c r="BV156" s="1194">
        <f>CHOOSE(총괄장!$Y$6,CF분석!BV172,CF분석!BV173,CF분석!BV174)</f>
        <v>0</v>
      </c>
      <c r="BW156" s="1194">
        <f>CHOOSE(총괄장!$Y$6,CF분석!BW172,CF분석!BW173,CF분석!BW174)</f>
        <v>0</v>
      </c>
      <c r="BX156" s="1194">
        <f>CHOOSE(총괄장!$Y$6,CF분석!BX172,CF분석!BX173,CF분석!BX174)</f>
        <v>0</v>
      </c>
      <c r="BY156" s="1099"/>
      <c r="BZ156" s="1145"/>
      <c r="CA156"/>
      <c r="CB156"/>
      <c r="CC156"/>
      <c r="CD156"/>
      <c r="CE156"/>
      <c r="CF156"/>
      <c r="CG156"/>
      <c r="CH156"/>
      <c r="CI156"/>
      <c r="CJ156"/>
      <c r="CK156"/>
    </row>
    <row r="157" spans="2:89" s="1038" customFormat="1">
      <c r="B157" s="1180" t="s">
        <v>1065</v>
      </c>
      <c r="C157" s="1181"/>
      <c r="D157" s="1181"/>
      <c r="E157" s="1204">
        <f>SUM(G157:BX157)</f>
        <v>0</v>
      </c>
      <c r="F157" s="1190"/>
      <c r="G157" s="1205"/>
      <c r="H157" s="1206"/>
      <c r="I157" s="1206"/>
      <c r="J157" s="1206"/>
      <c r="K157" s="1207">
        <f>CHOOSE(총괄장!$Y$6,CF분석!K177,CF분석!K178,CF분석!K179)</f>
        <v>0</v>
      </c>
      <c r="L157" s="1207">
        <f>CHOOSE(총괄장!$Y$6,CF분석!L177,CF분석!L178,CF분석!L179)</f>
        <v>0</v>
      </c>
      <c r="M157" s="1207">
        <f>CHOOSE(총괄장!$Y$6,CF분석!M177,CF분석!M178,CF분석!M179)</f>
        <v>0</v>
      </c>
      <c r="N157" s="1207">
        <f>CHOOSE(총괄장!$Y$6,CF분석!N177,CF분석!N178,CF분석!N179)</f>
        <v>0</v>
      </c>
      <c r="O157" s="1207">
        <f>CHOOSE(총괄장!$Y$6,CF분석!O177,CF분석!O178,CF분석!O179)</f>
        <v>0</v>
      </c>
      <c r="P157" s="1207">
        <f>CHOOSE(총괄장!$Y$6,CF분석!P177,CF분석!P178,CF분석!P179)</f>
        <v>0</v>
      </c>
      <c r="Q157" s="1207">
        <f>CHOOSE(총괄장!$Y$6,CF분석!Q177,CF분석!Q178,CF분석!Q179)</f>
        <v>0</v>
      </c>
      <c r="R157" s="1207">
        <f>CHOOSE(총괄장!$Y$6,CF분석!R177,CF분석!R178,CF분석!R179)</f>
        <v>0</v>
      </c>
      <c r="S157" s="1207">
        <f>CHOOSE(총괄장!$Y$6,CF분석!S177,CF분석!S178,CF분석!S179)</f>
        <v>0</v>
      </c>
      <c r="T157" s="1207">
        <f>CHOOSE(총괄장!$Y$6,CF분석!T177,CF분석!T178,CF분석!T179)</f>
        <v>0</v>
      </c>
      <c r="U157" s="1207">
        <f>CHOOSE(총괄장!$Y$6,CF분석!U177,CF분석!U178,CF분석!U179)</f>
        <v>0</v>
      </c>
      <c r="V157" s="1207">
        <f>CHOOSE(총괄장!$Y$6,CF분석!V177,CF분석!V178,CF분석!V179)</f>
        <v>0</v>
      </c>
      <c r="W157" s="1207">
        <f>CHOOSE(총괄장!$Y$6,CF분석!W177,CF분석!W178,CF분석!W179)</f>
        <v>0</v>
      </c>
      <c r="X157" s="1207">
        <f>CHOOSE(총괄장!$Y$6,CF분석!X177,CF분석!X178,CF분석!X179)</f>
        <v>0</v>
      </c>
      <c r="Y157" s="1207">
        <f>CHOOSE(총괄장!$Y$6,CF분석!Y177,CF분석!Y178,CF분석!Y179)</f>
        <v>0</v>
      </c>
      <c r="Z157" s="1207">
        <f>CHOOSE(총괄장!$Y$6,CF분석!Z177,CF분석!Z178,CF분석!Z179)</f>
        <v>0</v>
      </c>
      <c r="AA157" s="1207">
        <f>CHOOSE(총괄장!$Y$6,CF분석!AA177,CF분석!AA178,CF분석!AA179)</f>
        <v>0</v>
      </c>
      <c r="AB157" s="1207">
        <f>CHOOSE(총괄장!$Y$6,CF분석!AB177,CF분석!AB178,CF분석!AB179)</f>
        <v>0</v>
      </c>
      <c r="AC157" s="1207">
        <f>CHOOSE(총괄장!$Y$6,CF분석!AC177,CF분석!AC178,CF분석!AC179)</f>
        <v>0</v>
      </c>
      <c r="AD157" s="1207">
        <f>CHOOSE(총괄장!$Y$6,CF분석!AD177,CF분석!AD178,CF분석!AD179)</f>
        <v>0</v>
      </c>
      <c r="AE157" s="1207">
        <f>CHOOSE(총괄장!$Y$6,CF분석!AE177,CF분석!AE178,CF분석!AE179)</f>
        <v>0</v>
      </c>
      <c r="AF157" s="1207">
        <f>CHOOSE(총괄장!$Y$6,CF분석!AF177,CF분석!AF178,CF분석!AF179)</f>
        <v>0</v>
      </c>
      <c r="AG157" s="1207">
        <f>CHOOSE(총괄장!$Y$6,CF분석!AG177,CF분석!AG178,CF분석!AG179)</f>
        <v>0</v>
      </c>
      <c r="AH157" s="1207">
        <f>CHOOSE(총괄장!$Y$6,CF분석!AH177,CF분석!AH178,CF분석!AH179)</f>
        <v>0</v>
      </c>
      <c r="AI157" s="1207">
        <f>CHOOSE(총괄장!$Y$6,CF분석!AI177,CF분석!AI178,CF분석!AI179)</f>
        <v>0</v>
      </c>
      <c r="AJ157" s="1207">
        <f>CHOOSE(총괄장!$Y$6,CF분석!AJ177,CF분석!AJ178,CF분석!AJ179)</f>
        <v>0</v>
      </c>
      <c r="AK157" s="1207">
        <f>CHOOSE(총괄장!$Y$6,CF분석!AK177,CF분석!AK178,CF분석!AK179)</f>
        <v>0</v>
      </c>
      <c r="AL157" s="1207">
        <f>CHOOSE(총괄장!$Y$6,CF분석!AL177,CF분석!AL178,CF분석!AL179)</f>
        <v>0</v>
      </c>
      <c r="AM157" s="1207">
        <f>CHOOSE(총괄장!$Y$6,CF분석!AM177,CF분석!AM178,CF분석!AM179)</f>
        <v>0</v>
      </c>
      <c r="AN157" s="1207">
        <f>CHOOSE(총괄장!$Y$6,CF분석!AN177,CF분석!AN178,CF분석!AN179)</f>
        <v>0</v>
      </c>
      <c r="AO157" s="1207">
        <f>CHOOSE(총괄장!$Y$6,CF분석!AO177,CF분석!AO178,CF분석!AO179)</f>
        <v>0</v>
      </c>
      <c r="AP157" s="1207">
        <f>CHOOSE(총괄장!$Y$6,CF분석!AP177,CF분석!AP178,CF분석!AP179)</f>
        <v>0</v>
      </c>
      <c r="AQ157" s="1207">
        <f>CHOOSE(총괄장!$Y$6,CF분석!AQ177,CF분석!AQ178,CF분석!AQ179)</f>
        <v>0</v>
      </c>
      <c r="AR157" s="1207">
        <f>CHOOSE(총괄장!$Y$6,CF분석!AR177,CF분석!AR178,CF분석!AR179)</f>
        <v>0</v>
      </c>
      <c r="AS157" s="1207">
        <f>CHOOSE(총괄장!$Y$6,CF분석!AS177,CF분석!AS178,CF분석!AS179)</f>
        <v>0</v>
      </c>
      <c r="AT157" s="1207">
        <f>CHOOSE(총괄장!$Y$6,CF분석!AT177,CF분석!AT178,CF분석!AT179)</f>
        <v>0</v>
      </c>
      <c r="AU157" s="1207">
        <f>CHOOSE(총괄장!$Y$6,CF분석!AU177,CF분석!AU178,CF분석!AU179)</f>
        <v>0</v>
      </c>
      <c r="AV157" s="1207">
        <f>CHOOSE(총괄장!$Y$6,CF분석!AV177,CF분석!AV178,CF분석!AV179)</f>
        <v>0</v>
      </c>
      <c r="AW157" s="1207">
        <f>CHOOSE(총괄장!$Y$6,CF분석!AW177,CF분석!AW178,CF분석!AW179)</f>
        <v>0</v>
      </c>
      <c r="AX157" s="1207">
        <f>CHOOSE(총괄장!$Y$6,CF분석!AX177,CF분석!AX178,CF분석!AX179)</f>
        <v>0</v>
      </c>
      <c r="AY157" s="1207">
        <f>CHOOSE(총괄장!$Y$6,CF분석!AY177,CF분석!AY178,CF분석!AY179)</f>
        <v>0</v>
      </c>
      <c r="AZ157" s="1207">
        <f>CHOOSE(총괄장!$Y$6,CF분석!AZ177,CF분석!AZ178,CF분석!AZ179)</f>
        <v>0</v>
      </c>
      <c r="BA157" s="1207">
        <f>CHOOSE(총괄장!$Y$6,CF분석!BA177,CF분석!BA178,CF분석!BA179)</f>
        <v>0</v>
      </c>
      <c r="BB157" s="1207">
        <f>CHOOSE(총괄장!$Y$6,CF분석!BB177,CF분석!BB178,CF분석!BB179)</f>
        <v>0</v>
      </c>
      <c r="BC157" s="1207">
        <f>CHOOSE(총괄장!$Y$6,CF분석!BC177,CF분석!BC178,CF분석!BC179)</f>
        <v>0</v>
      </c>
      <c r="BD157" s="1207">
        <f>CHOOSE(총괄장!$Y$6,CF분석!BD177,CF분석!BD178,CF분석!BD179)</f>
        <v>0</v>
      </c>
      <c r="BE157" s="1207">
        <f>CHOOSE(총괄장!$Y$6,CF분석!BE177,CF분석!BE178,CF분석!BE179)</f>
        <v>0</v>
      </c>
      <c r="BF157" s="1207">
        <f>CHOOSE(총괄장!$Y$6,CF분석!BF177,CF분석!BF178,CF분석!BF179)</f>
        <v>0</v>
      </c>
      <c r="BG157" s="1207">
        <f>CHOOSE(총괄장!$Y$6,CF분석!BG177,CF분석!BG178,CF분석!BG179)</f>
        <v>0</v>
      </c>
      <c r="BH157" s="1207">
        <f>CHOOSE(총괄장!$Y$6,CF분석!BH177,CF분석!BH178,CF분석!BH179)</f>
        <v>0</v>
      </c>
      <c r="BI157" s="1207">
        <f>CHOOSE(총괄장!$Y$6,CF분석!BI177,CF분석!BI178,CF분석!BI179)</f>
        <v>0</v>
      </c>
      <c r="BJ157" s="1207">
        <f>CHOOSE(총괄장!$Y$6,CF분석!BJ177,CF분석!BJ178,CF분석!BJ179)</f>
        <v>0</v>
      </c>
      <c r="BK157" s="1207">
        <f>CHOOSE(총괄장!$Y$6,CF분석!BK177,CF분석!BK178,CF분석!BK179)</f>
        <v>0</v>
      </c>
      <c r="BL157" s="1207">
        <f>CHOOSE(총괄장!$Y$6,CF분석!BL177,CF분석!BL178,CF분석!BL179)</f>
        <v>0</v>
      </c>
      <c r="BM157" s="1207">
        <f>CHOOSE(총괄장!$Y$6,CF분석!BM177,CF분석!BM178,CF분석!BM179)</f>
        <v>0</v>
      </c>
      <c r="BN157" s="1207">
        <f>CHOOSE(총괄장!$Y$6,CF분석!BN177,CF분석!BN178,CF분석!BN179)</f>
        <v>0</v>
      </c>
      <c r="BO157" s="1207">
        <f>CHOOSE(총괄장!$Y$6,CF분석!BO177,CF분석!BO178,CF분석!BO179)</f>
        <v>0</v>
      </c>
      <c r="BP157" s="1207">
        <f>CHOOSE(총괄장!$Y$6,CF분석!BP177,CF분석!BP178,CF분석!BP179)</f>
        <v>0</v>
      </c>
      <c r="BQ157" s="1207">
        <f>CHOOSE(총괄장!$Y$6,CF분석!BQ177,CF분석!BQ178,CF분석!BQ179)</f>
        <v>0</v>
      </c>
      <c r="BR157" s="1207">
        <f>CHOOSE(총괄장!$Y$6,CF분석!BR177,CF분석!BR178,CF분석!BR179)</f>
        <v>0</v>
      </c>
      <c r="BS157" s="1207">
        <f>CHOOSE(총괄장!$Y$6,CF분석!BS177,CF분석!BS178,CF분석!BS179)</f>
        <v>0</v>
      </c>
      <c r="BT157" s="1207">
        <f>CHOOSE(총괄장!$Y$6,CF분석!BT177,CF분석!BT178,CF분석!BT179)</f>
        <v>0</v>
      </c>
      <c r="BU157" s="1207">
        <f>CHOOSE(총괄장!$Y$6,CF분석!BU177,CF분석!BU178,CF분석!BU179)</f>
        <v>0</v>
      </c>
      <c r="BV157" s="1207">
        <f>CHOOSE(총괄장!$Y$6,CF분석!BV177,CF분석!BV178,CF분석!BV179)</f>
        <v>0</v>
      </c>
      <c r="BW157" s="1207">
        <f>CHOOSE(총괄장!$Y$6,CF분석!BW177,CF분석!BW178,CF분석!BW179)</f>
        <v>0</v>
      </c>
      <c r="BX157" s="1207">
        <f>CHOOSE(총괄장!$Y$6,CF분석!BX177,CF분석!BX178,CF분석!BX179)</f>
        <v>0</v>
      </c>
      <c r="BY157" s="1099"/>
      <c r="BZ157" s="1145"/>
      <c r="CA157"/>
      <c r="CB157"/>
      <c r="CC157"/>
      <c r="CD157"/>
      <c r="CE157"/>
      <c r="CF157"/>
      <c r="CG157"/>
      <c r="CH157"/>
      <c r="CI157"/>
      <c r="CJ157"/>
      <c r="CK157"/>
    </row>
    <row r="158" spans="2:89" s="1038" customFormat="1">
      <c r="B158" s="1208" t="s">
        <v>1502</v>
      </c>
      <c r="C158" s="1208"/>
      <c r="D158" s="1209">
        <f>'사업수지표 '!J90</f>
        <v>5.0000000000000001E-3</v>
      </c>
      <c r="E158" s="1210">
        <f>SUM(G158:BX158)</f>
        <v>68863.013698630122</v>
      </c>
      <c r="F158" s="1210"/>
      <c r="G158" s="960"/>
      <c r="H158" s="960"/>
      <c r="I158" s="960"/>
      <c r="J158" s="960"/>
      <c r="K158" s="1194">
        <f>IF(공사기간&lt;K8,0,J122*$D$158*(K3-J3)/365)</f>
        <v>0</v>
      </c>
      <c r="L158" s="1194">
        <f t="shared" ref="L158:AQ158" si="210">IF(공사기간&lt;L8,0,(K122*$D$158*(L3-K3)/365+K127*$D$159*(L3-K3)/365+K132*$D$160*(L3-K3)/365))</f>
        <v>5753.4246575342468</v>
      </c>
      <c r="M158" s="1194">
        <f t="shared" si="210"/>
        <v>5945.2054794520545</v>
      </c>
      <c r="N158" s="1194">
        <f t="shared" si="210"/>
        <v>5945.2054794520545</v>
      </c>
      <c r="O158" s="1194">
        <f t="shared" si="210"/>
        <v>5561.6438356164381</v>
      </c>
      <c r="P158" s="1194">
        <f t="shared" si="210"/>
        <v>5520.5479452054797</v>
      </c>
      <c r="Q158" s="1194">
        <f t="shared" si="210"/>
        <v>5342.4657534246571</v>
      </c>
      <c r="R158" s="1194">
        <f t="shared" si="210"/>
        <v>5520.5479452054797</v>
      </c>
      <c r="S158" s="1194">
        <f t="shared" si="210"/>
        <v>4109.58904109589</v>
      </c>
      <c r="T158" s="1194">
        <f t="shared" si="210"/>
        <v>4246.5753424657532</v>
      </c>
      <c r="U158" s="1194">
        <f t="shared" si="210"/>
        <v>4246.5753424657532</v>
      </c>
      <c r="V158" s="1194">
        <f t="shared" si="210"/>
        <v>3698.6301369863013</v>
      </c>
      <c r="W158" s="1194">
        <f t="shared" si="210"/>
        <v>2547.9452054794519</v>
      </c>
      <c r="X158" s="1194">
        <f t="shared" si="210"/>
        <v>2465.7534246575342</v>
      </c>
      <c r="Y158" s="1194">
        <f t="shared" si="210"/>
        <v>2547.9452054794519</v>
      </c>
      <c r="Z158" s="1194">
        <f t="shared" si="210"/>
        <v>2123.2876712328766</v>
      </c>
      <c r="AA158" s="1194">
        <f t="shared" si="210"/>
        <v>767.1232876712329</v>
      </c>
      <c r="AB158" s="1194">
        <f t="shared" si="210"/>
        <v>849.31506849315065</v>
      </c>
      <c r="AC158" s="1194">
        <f t="shared" si="210"/>
        <v>821.91780821917803</v>
      </c>
      <c r="AD158" s="1194">
        <f t="shared" si="210"/>
        <v>849.31506849315065</v>
      </c>
      <c r="AE158" s="1194">
        <f t="shared" si="210"/>
        <v>0</v>
      </c>
      <c r="AF158" s="1194">
        <f t="shared" si="210"/>
        <v>0</v>
      </c>
      <c r="AG158" s="1194">
        <f t="shared" si="210"/>
        <v>0</v>
      </c>
      <c r="AH158" s="1194">
        <f t="shared" si="210"/>
        <v>0</v>
      </c>
      <c r="AI158" s="1194">
        <f t="shared" si="210"/>
        <v>0</v>
      </c>
      <c r="AJ158" s="1194">
        <f t="shared" si="210"/>
        <v>0</v>
      </c>
      <c r="AK158" s="1194">
        <f t="shared" si="210"/>
        <v>0</v>
      </c>
      <c r="AL158" s="1194">
        <f t="shared" si="210"/>
        <v>0</v>
      </c>
      <c r="AM158" s="1194">
        <f t="shared" si="210"/>
        <v>0</v>
      </c>
      <c r="AN158" s="1194">
        <f t="shared" si="210"/>
        <v>0</v>
      </c>
      <c r="AO158" s="1194">
        <f t="shared" si="210"/>
        <v>0</v>
      </c>
      <c r="AP158" s="1194">
        <f t="shared" si="210"/>
        <v>0</v>
      </c>
      <c r="AQ158" s="1194">
        <f t="shared" si="210"/>
        <v>0</v>
      </c>
      <c r="AR158" s="1194">
        <f t="shared" ref="AR158:BW158" si="211">IF(공사기간&lt;AR8,0,(AQ122*$D$158*(AR3-AQ3)/365+AQ127*$D$159*(AR3-AQ3)/365+AQ132*$D$160*(AR3-AQ3)/365))</f>
        <v>0</v>
      </c>
      <c r="AS158" s="1194">
        <f t="shared" si="211"/>
        <v>0</v>
      </c>
      <c r="AT158" s="1194">
        <f t="shared" si="211"/>
        <v>0</v>
      </c>
      <c r="AU158" s="1194">
        <f t="shared" si="211"/>
        <v>0</v>
      </c>
      <c r="AV158" s="1194">
        <f t="shared" si="211"/>
        <v>0</v>
      </c>
      <c r="AW158" s="1194">
        <f t="shared" si="211"/>
        <v>0</v>
      </c>
      <c r="AX158" s="1194">
        <f t="shared" si="211"/>
        <v>0</v>
      </c>
      <c r="AY158" s="1194">
        <f t="shared" si="211"/>
        <v>0</v>
      </c>
      <c r="AZ158" s="1194">
        <f t="shared" si="211"/>
        <v>0</v>
      </c>
      <c r="BA158" s="1194">
        <f t="shared" si="211"/>
        <v>0</v>
      </c>
      <c r="BB158" s="1194">
        <f t="shared" si="211"/>
        <v>0</v>
      </c>
      <c r="BC158" s="1194">
        <f t="shared" si="211"/>
        <v>0</v>
      </c>
      <c r="BD158" s="1194">
        <f t="shared" si="211"/>
        <v>0</v>
      </c>
      <c r="BE158" s="1194">
        <f t="shared" si="211"/>
        <v>0</v>
      </c>
      <c r="BF158" s="1194">
        <f t="shared" si="211"/>
        <v>0</v>
      </c>
      <c r="BG158" s="1194">
        <f t="shared" si="211"/>
        <v>0</v>
      </c>
      <c r="BH158" s="1194">
        <f t="shared" si="211"/>
        <v>0</v>
      </c>
      <c r="BI158" s="1194">
        <f t="shared" si="211"/>
        <v>0</v>
      </c>
      <c r="BJ158" s="1194">
        <f t="shared" si="211"/>
        <v>0</v>
      </c>
      <c r="BK158" s="1194">
        <f t="shared" si="211"/>
        <v>0</v>
      </c>
      <c r="BL158" s="1194">
        <f t="shared" si="211"/>
        <v>0</v>
      </c>
      <c r="BM158" s="1194">
        <f t="shared" si="211"/>
        <v>0</v>
      </c>
      <c r="BN158" s="1194">
        <f t="shared" si="211"/>
        <v>0</v>
      </c>
      <c r="BO158" s="1194">
        <f t="shared" si="211"/>
        <v>0</v>
      </c>
      <c r="BP158" s="1194">
        <f t="shared" si="211"/>
        <v>0</v>
      </c>
      <c r="BQ158" s="1194">
        <f t="shared" si="211"/>
        <v>0</v>
      </c>
      <c r="BR158" s="1194">
        <f t="shared" si="211"/>
        <v>0</v>
      </c>
      <c r="BS158" s="1194">
        <f t="shared" si="211"/>
        <v>0</v>
      </c>
      <c r="BT158" s="1194">
        <f t="shared" si="211"/>
        <v>0</v>
      </c>
      <c r="BU158" s="1194">
        <f t="shared" si="211"/>
        <v>0</v>
      </c>
      <c r="BV158" s="1194">
        <f t="shared" si="211"/>
        <v>0</v>
      </c>
      <c r="BW158" s="1194">
        <f t="shared" si="211"/>
        <v>0</v>
      </c>
      <c r="BX158" s="1194">
        <f>IF(공사기간&lt;BX8,0,(#REF!*$D$158*(BX3-#REF!)/365+#REF!*$D$159*(BX3-#REF!)/365+#REF!*$D$160*(BX3-#REF!)/365))</f>
        <v>0</v>
      </c>
      <c r="BY158" s="1099"/>
      <c r="BZ158" s="1037"/>
      <c r="CA158"/>
      <c r="CB158"/>
      <c r="CC158"/>
      <c r="CD158"/>
      <c r="CE158"/>
      <c r="CF158"/>
      <c r="CG158"/>
      <c r="CH158"/>
      <c r="CI158"/>
      <c r="CJ158"/>
      <c r="CK158"/>
    </row>
    <row r="159" spans="2:89" s="1124" customFormat="1">
      <c r="B159" s="1208" t="s">
        <v>1503</v>
      </c>
      <c r="C159" s="1208"/>
      <c r="D159" s="1209">
        <f>'사업수지표 '!K90</f>
        <v>5.0000000000000001E-3</v>
      </c>
      <c r="E159" s="398"/>
      <c r="F159" s="398"/>
      <c r="G159" s="1211"/>
      <c r="H159" s="1211"/>
      <c r="I159" s="1211"/>
      <c r="J159" s="1211"/>
      <c r="K159" s="1211"/>
      <c r="L159" s="1211"/>
      <c r="M159" s="1211"/>
      <c r="N159" s="1211"/>
      <c r="O159" s="1211"/>
      <c r="P159" s="1211"/>
      <c r="Q159" s="1211"/>
      <c r="R159" s="1211"/>
      <c r="S159" s="1211"/>
      <c r="T159" s="1211"/>
      <c r="U159" s="1211"/>
      <c r="V159" s="1211"/>
      <c r="W159" s="1211"/>
      <c r="X159" s="1211"/>
      <c r="Y159" s="1211"/>
      <c r="Z159" s="1211"/>
      <c r="AA159" s="1211"/>
      <c r="AB159" s="1211"/>
      <c r="AC159" s="1211"/>
      <c r="AD159" s="1211"/>
      <c r="AE159" s="1211"/>
      <c r="AF159" s="1211"/>
      <c r="AG159" s="1211"/>
      <c r="AH159" s="1211"/>
      <c r="AI159" s="1211"/>
      <c r="AJ159" s="1211"/>
      <c r="AK159" s="1211"/>
      <c r="AL159" s="1211"/>
      <c r="AM159" s="1211"/>
      <c r="AN159" s="1211"/>
      <c r="AO159" s="1211"/>
      <c r="AP159" s="1211"/>
      <c r="AQ159" s="1211"/>
      <c r="AR159" s="1211"/>
      <c r="AS159" s="1211"/>
      <c r="AT159" s="1211"/>
      <c r="AU159" s="1211"/>
      <c r="AV159" s="1211"/>
      <c r="AW159" s="1211"/>
      <c r="AX159" s="1211"/>
      <c r="AY159" s="1211"/>
      <c r="AZ159" s="1211"/>
      <c r="BA159" s="1211"/>
      <c r="BB159" s="1211"/>
      <c r="BC159" s="1211"/>
      <c r="BD159" s="1211"/>
      <c r="BE159" s="1211"/>
      <c r="BF159" s="1211"/>
      <c r="BG159" s="1211"/>
      <c r="BH159" s="1211"/>
      <c r="BI159" s="1211"/>
      <c r="BJ159" s="1211"/>
      <c r="BK159" s="1211"/>
      <c r="BL159" s="1211"/>
      <c r="BM159" s="1211"/>
      <c r="BN159" s="1211"/>
      <c r="BO159" s="1211"/>
      <c r="BP159" s="1211"/>
      <c r="BQ159" s="1211"/>
      <c r="BR159" s="1211"/>
      <c r="BS159" s="1211"/>
      <c r="BT159" s="1211"/>
      <c r="BU159" s="1211"/>
      <c r="BV159" s="1212"/>
      <c r="BW159" s="1212"/>
      <c r="BX159" s="1211"/>
      <c r="BY159" s="1213"/>
      <c r="BZ159" s="1214"/>
      <c r="CB159" s="398"/>
      <c r="CC159" s="398"/>
      <c r="CD159" s="398"/>
      <c r="CE159" s="398"/>
      <c r="CF159" s="398"/>
      <c r="CG159" s="398"/>
      <c r="CH159" s="398"/>
      <c r="CI159" s="398"/>
      <c r="CJ159" s="398"/>
      <c r="CK159" s="398"/>
    </row>
    <row r="160" spans="2:89" s="1038" customFormat="1">
      <c r="B160" s="1208" t="s">
        <v>1504</v>
      </c>
      <c r="C160" s="1208"/>
      <c r="D160" s="1209">
        <f>'사업수지표 '!L90</f>
        <v>5.0000000000000001E-3</v>
      </c>
      <c r="E160"/>
      <c r="F160" t="s">
        <v>1101</v>
      </c>
      <c r="G160" s="486"/>
      <c r="H160" s="486"/>
      <c r="I160" s="486"/>
      <c r="J160" s="486"/>
      <c r="K160" s="486">
        <f>IF(총괄장!$P$6&lt;CF분석!K8,0,1)</f>
        <v>1</v>
      </c>
      <c r="L160" s="486">
        <f>IF(총괄장!$P$6&lt;CF분석!L8,0,1)</f>
        <v>1</v>
      </c>
      <c r="M160" s="486">
        <f>IF(총괄장!$P$6&lt;CF분석!M8,0,1)</f>
        <v>1</v>
      </c>
      <c r="N160" s="486">
        <f>IF(총괄장!$P$6&lt;CF분석!N8,0,1)</f>
        <v>1</v>
      </c>
      <c r="O160" s="486">
        <f>IF(총괄장!$P$6&lt;CF분석!O8,0,1)</f>
        <v>1</v>
      </c>
      <c r="P160" s="486">
        <f>IF(총괄장!$P$6&lt;CF분석!P8,0,1)</f>
        <v>1</v>
      </c>
      <c r="Q160" s="486">
        <f>IF(총괄장!$P$6&lt;CF분석!Q8,0,1)</f>
        <v>1</v>
      </c>
      <c r="R160" s="486">
        <f>IF(총괄장!$P$6&lt;CF분석!R8,0,1)</f>
        <v>1</v>
      </c>
      <c r="S160" s="486">
        <f>IF(총괄장!$P$6&lt;CF분석!S8,0,1)</f>
        <v>1</v>
      </c>
      <c r="T160" s="486">
        <f>IF(총괄장!$P$6&lt;CF분석!T8,0,1)</f>
        <v>1</v>
      </c>
      <c r="U160" s="486">
        <f>IF(총괄장!$P$6&lt;CF분석!U8,0,1)</f>
        <v>1</v>
      </c>
      <c r="V160" s="486">
        <f>IF(총괄장!$P$6&lt;CF분석!V8,0,1)</f>
        <v>1</v>
      </c>
      <c r="W160" s="486">
        <f>IF(총괄장!$P$6&lt;CF분석!W8,0,1)</f>
        <v>1</v>
      </c>
      <c r="X160" s="486">
        <f>IF(총괄장!$P$6&lt;CF분석!X8,0,1)</f>
        <v>1</v>
      </c>
      <c r="Y160" s="486">
        <f>IF(총괄장!$P$6&lt;CF분석!Y8,0,1)</f>
        <v>1</v>
      </c>
      <c r="Z160" s="486">
        <f>IF(총괄장!$P$6&lt;CF분석!Z8,0,1)</f>
        <v>1</v>
      </c>
      <c r="AA160" s="486">
        <f>IF(총괄장!$P$6&lt;CF분석!AA8,0,1)</f>
        <v>1</v>
      </c>
      <c r="AB160" s="486">
        <f>IF(총괄장!$P$6&lt;CF분석!AB8,0,1)</f>
        <v>1</v>
      </c>
      <c r="AC160" s="486">
        <f>IF(총괄장!$P$6&lt;CF분석!AC8,0,1)</f>
        <v>1</v>
      </c>
      <c r="AD160" s="486">
        <f>IF(총괄장!$P$6&lt;CF분석!AD8,0,1)</f>
        <v>1</v>
      </c>
      <c r="AE160" s="486">
        <f>IF(총괄장!$P$6&lt;CF분석!AE8,0,1)</f>
        <v>1</v>
      </c>
      <c r="AF160" s="486">
        <f>IF(총괄장!$P$6&lt;CF분석!AF8,0,1)</f>
        <v>1</v>
      </c>
      <c r="AG160" s="486">
        <f>IF(총괄장!$P$6&lt;CF분석!AG8,0,1)</f>
        <v>1</v>
      </c>
      <c r="AH160" s="486">
        <f>IF(총괄장!$P$6&lt;CF분석!AH8,0,1)</f>
        <v>1</v>
      </c>
      <c r="AI160" s="486">
        <f>IF(총괄장!$P$6&lt;CF분석!AI8,0,1)</f>
        <v>1</v>
      </c>
      <c r="AJ160" s="486">
        <f>IF(총괄장!$P$6&lt;CF분석!AJ8,0,1)</f>
        <v>1</v>
      </c>
      <c r="AK160" s="486">
        <f>IF(총괄장!$P$6&lt;CF분석!AK8,0,1)</f>
        <v>1</v>
      </c>
      <c r="AL160" s="486">
        <f>IF(총괄장!$P$6&lt;CF분석!AL8,0,1)</f>
        <v>1</v>
      </c>
      <c r="AM160" s="486">
        <f>IF(총괄장!$P$6&lt;CF분석!AM8,0,1)</f>
        <v>1</v>
      </c>
      <c r="AN160" s="486">
        <f>IF(총괄장!$P$6&lt;CF분석!AN8,0,1)</f>
        <v>1</v>
      </c>
      <c r="AO160" s="486">
        <f>IF(총괄장!$P$6&lt;CF분석!AO8,0,1)</f>
        <v>1</v>
      </c>
      <c r="AP160" s="486">
        <f>IF(총괄장!$P$6&lt;CF분석!AP8,0,1)</f>
        <v>1</v>
      </c>
      <c r="AQ160" s="486">
        <f>IF(총괄장!$P$6&lt;CF분석!AQ8,0,1)</f>
        <v>1</v>
      </c>
      <c r="AR160" s="486">
        <f>IF(총괄장!$P$6&lt;CF분석!AR8,0,1)</f>
        <v>0</v>
      </c>
      <c r="AS160" s="486">
        <f>IF(총괄장!$P$6&lt;CF분석!AS8,0,1)</f>
        <v>0</v>
      </c>
      <c r="AT160" s="486">
        <f>IF(총괄장!$P$6&lt;CF분석!AT8,0,1)</f>
        <v>0</v>
      </c>
      <c r="AU160" s="486">
        <f>IF(총괄장!$P$6&lt;CF분석!AU8,0,1)</f>
        <v>0</v>
      </c>
      <c r="AV160" s="486">
        <f>IF(총괄장!$P$6&lt;CF분석!AV8,0,1)</f>
        <v>0</v>
      </c>
      <c r="AW160" s="486">
        <f>IF(총괄장!$P$6&lt;CF분석!AW8,0,1)</f>
        <v>0</v>
      </c>
      <c r="AX160" s="486">
        <f>IF(총괄장!$P$6&lt;CF분석!AX8,0,1)</f>
        <v>0</v>
      </c>
      <c r="AY160" s="486">
        <f>IF(총괄장!$P$6&lt;CF분석!AY8,0,1)</f>
        <v>0</v>
      </c>
      <c r="AZ160" s="486">
        <f>IF(총괄장!$P$6&lt;CF분석!AZ8,0,1)</f>
        <v>0</v>
      </c>
      <c r="BA160" s="486">
        <f>IF(총괄장!$P$6&lt;CF분석!BA8,0,1)</f>
        <v>0</v>
      </c>
      <c r="BB160" s="486">
        <f>IF(총괄장!$P$6&lt;CF분석!BB8,0,1)</f>
        <v>0</v>
      </c>
      <c r="BC160" s="486">
        <f>IF(총괄장!$P$6&lt;CF분석!BC8,0,1)</f>
        <v>0</v>
      </c>
      <c r="BD160" s="486">
        <f>IF(총괄장!$P$6&lt;CF분석!BD8,0,1)</f>
        <v>0</v>
      </c>
      <c r="BE160" s="486">
        <f>IF(총괄장!$P$6&lt;CF분석!BE8,0,1)</f>
        <v>0</v>
      </c>
      <c r="BF160" s="486">
        <f>IF(총괄장!$P$6&lt;CF분석!BF8,0,1)</f>
        <v>0</v>
      </c>
      <c r="BG160" s="486">
        <f>IF(총괄장!$P$6&lt;CF분석!BG8,0,1)</f>
        <v>0</v>
      </c>
      <c r="BH160" s="486">
        <f>IF(총괄장!$P$6&lt;CF분석!BH8,0,1)</f>
        <v>0</v>
      </c>
      <c r="BI160" s="486">
        <f>IF(총괄장!$P$6&lt;CF분석!BI8,0,1)</f>
        <v>0</v>
      </c>
      <c r="BJ160" s="486">
        <f>IF(총괄장!$P$6&lt;CF분석!BJ8,0,1)</f>
        <v>0</v>
      </c>
      <c r="BK160" s="486">
        <f>IF(총괄장!$P$6&lt;CF분석!BK8,0,1)</f>
        <v>0</v>
      </c>
      <c r="BL160" s="486">
        <f>IF(총괄장!$P$6&lt;CF분석!BL8,0,1)</f>
        <v>0</v>
      </c>
      <c r="BM160" s="486">
        <f>IF(총괄장!$P$6&lt;CF분석!BM8,0,1)</f>
        <v>0</v>
      </c>
      <c r="BN160" s="486">
        <f>IF(총괄장!$P$6&lt;CF분석!BN8,0,1)</f>
        <v>0</v>
      </c>
      <c r="BO160" s="486">
        <f>IF(총괄장!$P$6&lt;CF분석!BO8,0,1)</f>
        <v>0</v>
      </c>
      <c r="BP160" s="486">
        <f>IF(총괄장!$P$6&lt;CF분석!BP8,0,1)</f>
        <v>0</v>
      </c>
      <c r="BQ160" s="486">
        <f>IF(총괄장!$P$6&lt;CF분석!BQ8,0,1)</f>
        <v>0</v>
      </c>
      <c r="BR160" s="486">
        <f>IF(총괄장!$P$6&lt;CF분석!BR8,0,1)</f>
        <v>0</v>
      </c>
      <c r="BS160" s="486">
        <f>IF(총괄장!$P$6&lt;CF분석!BS8,0,1)</f>
        <v>0</v>
      </c>
      <c r="BT160" s="486">
        <f>IF(총괄장!$P$6&lt;CF분석!BT8,0,1)</f>
        <v>0</v>
      </c>
      <c r="BU160" s="486">
        <f>IF(총괄장!$P$6&lt;CF분석!BU8,0,1)</f>
        <v>0</v>
      </c>
      <c r="BV160" s="486">
        <v>1</v>
      </c>
      <c r="BW160" s="486">
        <v>1</v>
      </c>
      <c r="BX160" s="486">
        <v>1</v>
      </c>
      <c r="BY160" s="4"/>
      <c r="BZ160" s="486"/>
      <c r="CB160"/>
      <c r="CC160"/>
      <c r="CD160"/>
      <c r="CE160"/>
      <c r="CF160"/>
      <c r="CG160"/>
      <c r="CH160"/>
      <c r="CI160"/>
      <c r="CJ160"/>
      <c r="CK160"/>
    </row>
    <row r="161" spans="6:77">
      <c r="F161" t="s">
        <v>1102</v>
      </c>
      <c r="G161" s="486">
        <v>1</v>
      </c>
      <c r="K161" s="1211">
        <f t="shared" ref="K161:BB161" si="212">IF(MOD(K7,$G$162)=1,(K124*$D$100*K6/365+L124*$D$100*L6/365+M124*$D$100*M6/365),0)*K160</f>
        <v>499068.49315068492</v>
      </c>
      <c r="L161" s="1211">
        <f t="shared" si="212"/>
        <v>0</v>
      </c>
      <c r="M161" s="1211">
        <f t="shared" si="212"/>
        <v>0</v>
      </c>
      <c r="N161" s="1211">
        <f t="shared" si="212"/>
        <v>493643.83561643836</v>
      </c>
      <c r="O161" s="1211">
        <f t="shared" si="212"/>
        <v>0</v>
      </c>
      <c r="P161" s="1211">
        <f t="shared" si="212"/>
        <v>0</v>
      </c>
      <c r="Q161" s="1211">
        <f t="shared" si="212"/>
        <v>493643.83561643836</v>
      </c>
      <c r="R161" s="1211">
        <f t="shared" si="212"/>
        <v>0</v>
      </c>
      <c r="S161" s="1211">
        <f t="shared" si="212"/>
        <v>0</v>
      </c>
      <c r="T161" s="1211">
        <f t="shared" si="212"/>
        <v>499068.49315068492</v>
      </c>
      <c r="U161" s="1211">
        <f t="shared" si="212"/>
        <v>0</v>
      </c>
      <c r="V161" s="1211">
        <f t="shared" si="212"/>
        <v>0</v>
      </c>
      <c r="W161" s="1211">
        <f t="shared" si="212"/>
        <v>499068.49315068492</v>
      </c>
      <c r="X161" s="1211">
        <f t="shared" si="212"/>
        <v>0</v>
      </c>
      <c r="Y161" s="1211">
        <f t="shared" si="212"/>
        <v>0</v>
      </c>
      <c r="Z161" s="1211">
        <f t="shared" si="212"/>
        <v>488219.17808219179</v>
      </c>
      <c r="AA161" s="1211">
        <f t="shared" si="212"/>
        <v>0</v>
      </c>
      <c r="AB161" s="1211">
        <f t="shared" si="212"/>
        <v>0</v>
      </c>
      <c r="AC161" s="1211">
        <f t="shared" si="212"/>
        <v>493643.83561643836</v>
      </c>
      <c r="AD161" s="1211">
        <f t="shared" si="212"/>
        <v>0</v>
      </c>
      <c r="AE161" s="1211">
        <f t="shared" si="212"/>
        <v>0</v>
      </c>
      <c r="AF161" s="1211">
        <f t="shared" si="212"/>
        <v>499068.49315068492</v>
      </c>
      <c r="AG161" s="1211">
        <f t="shared" si="212"/>
        <v>0</v>
      </c>
      <c r="AH161" s="1211">
        <f t="shared" si="212"/>
        <v>0</v>
      </c>
      <c r="AI161" s="1211">
        <f t="shared" si="212"/>
        <v>499068.49315068492</v>
      </c>
      <c r="AJ161" s="1211">
        <f t="shared" si="212"/>
        <v>0</v>
      </c>
      <c r="AK161" s="1211">
        <f t="shared" si="212"/>
        <v>0</v>
      </c>
      <c r="AL161" s="1211">
        <f t="shared" si="212"/>
        <v>488219.17808219179</v>
      </c>
      <c r="AM161" s="1211">
        <f t="shared" si="212"/>
        <v>0</v>
      </c>
      <c r="AN161" s="1211">
        <f t="shared" si="212"/>
        <v>0</v>
      </c>
      <c r="AO161" s="1211">
        <f t="shared" si="212"/>
        <v>493643.83561643836</v>
      </c>
      <c r="AP161" s="1211">
        <f t="shared" si="212"/>
        <v>0</v>
      </c>
      <c r="AQ161" s="1211">
        <f t="shared" si="212"/>
        <v>0</v>
      </c>
      <c r="AR161" s="1211">
        <f t="shared" si="212"/>
        <v>0</v>
      </c>
      <c r="AS161" s="1211">
        <f t="shared" si="212"/>
        <v>0</v>
      </c>
      <c r="AT161" s="1211">
        <f t="shared" si="212"/>
        <v>0</v>
      </c>
      <c r="AU161" s="1211">
        <f t="shared" si="212"/>
        <v>0</v>
      </c>
      <c r="AV161" s="1211">
        <f t="shared" si="212"/>
        <v>0</v>
      </c>
      <c r="AW161" s="1211">
        <f t="shared" si="212"/>
        <v>0</v>
      </c>
      <c r="AX161" s="1211">
        <f t="shared" si="212"/>
        <v>0</v>
      </c>
      <c r="AY161" s="1211">
        <f t="shared" si="212"/>
        <v>0</v>
      </c>
      <c r="AZ161" s="1211">
        <f t="shared" si="212"/>
        <v>0</v>
      </c>
      <c r="BA161" s="1211">
        <f t="shared" si="212"/>
        <v>0</v>
      </c>
      <c r="BB161" s="1211">
        <f t="shared" si="212"/>
        <v>0</v>
      </c>
      <c r="BC161" s="1211">
        <f>IF(MOD(BC7,$G$162)=1,(BC124*$D$100*BC6/365+BD124*$D$100*BD6/365+BV124*$D$100*BV6/365),0)*BC160</f>
        <v>0</v>
      </c>
      <c r="BD161" s="1211">
        <f>IF(MOD(BD7,$G$162)=1,(BD124*$D$100*BD6/365+BV124*$D$100*BV6/365+BX124*$D$100*BX6/365),0)*BD160</f>
        <v>0</v>
      </c>
      <c r="BE161" s="1211">
        <f t="shared" ref="BE161:BX161" si="213">IF(MOD(BE7,$G$162)=1,(BE124*$D$100*BE6/365+BX124*$D$100*BX6/365+BY124*$D$100*BY6/365),0)*BE160</f>
        <v>0</v>
      </c>
      <c r="BF161" s="1211">
        <f t="shared" si="213"/>
        <v>0</v>
      </c>
      <c r="BG161" s="1211">
        <f t="shared" si="213"/>
        <v>0</v>
      </c>
      <c r="BH161" s="1211">
        <f t="shared" si="213"/>
        <v>0</v>
      </c>
      <c r="BI161" s="1211">
        <f t="shared" si="213"/>
        <v>0</v>
      </c>
      <c r="BJ161" s="1211">
        <f t="shared" si="213"/>
        <v>0</v>
      </c>
      <c r="BK161" s="1211">
        <f t="shared" si="213"/>
        <v>0</v>
      </c>
      <c r="BL161" s="1211">
        <f t="shared" si="213"/>
        <v>0</v>
      </c>
      <c r="BM161" s="1211">
        <f t="shared" si="213"/>
        <v>0</v>
      </c>
      <c r="BN161" s="1211">
        <f t="shared" si="213"/>
        <v>0</v>
      </c>
      <c r="BO161" s="1211">
        <f t="shared" si="213"/>
        <v>0</v>
      </c>
      <c r="BP161" s="1211">
        <f t="shared" si="213"/>
        <v>0</v>
      </c>
      <c r="BQ161" s="1211">
        <f t="shared" si="213"/>
        <v>0</v>
      </c>
      <c r="BR161" s="1211">
        <f t="shared" si="213"/>
        <v>0</v>
      </c>
      <c r="BS161" s="1211">
        <f t="shared" si="213"/>
        <v>0</v>
      </c>
      <c r="BT161" s="1211">
        <f t="shared" si="213"/>
        <v>0</v>
      </c>
      <c r="BU161" s="1211">
        <f t="shared" si="213"/>
        <v>0</v>
      </c>
      <c r="BV161" s="1211">
        <f t="shared" si="213"/>
        <v>71734.554286276412</v>
      </c>
      <c r="BW161" s="1211">
        <f t="shared" si="213"/>
        <v>0</v>
      </c>
      <c r="BX161" s="1211">
        <f t="shared" si="213"/>
        <v>0</v>
      </c>
    </row>
    <row r="162" spans="6:77">
      <c r="F162" t="s">
        <v>1103</v>
      </c>
      <c r="G162" s="486">
        <v>3</v>
      </c>
      <c r="K162" s="486">
        <f>IF(K161=1,11,0)</f>
        <v>0</v>
      </c>
      <c r="L162" s="486">
        <f t="shared" ref="L162:BX162" si="214">IF(L161=1,11,0)</f>
        <v>0</v>
      </c>
      <c r="M162" s="486">
        <f t="shared" si="214"/>
        <v>0</v>
      </c>
      <c r="N162" s="486">
        <f t="shared" si="214"/>
        <v>0</v>
      </c>
      <c r="O162" s="486">
        <f t="shared" si="214"/>
        <v>0</v>
      </c>
      <c r="P162" s="486">
        <f t="shared" si="214"/>
        <v>0</v>
      </c>
      <c r="Q162" s="486">
        <f t="shared" si="214"/>
        <v>0</v>
      </c>
      <c r="R162" s="486">
        <f t="shared" si="214"/>
        <v>0</v>
      </c>
      <c r="S162" s="486">
        <f t="shared" si="214"/>
        <v>0</v>
      </c>
      <c r="T162" s="486">
        <f t="shared" si="214"/>
        <v>0</v>
      </c>
      <c r="U162" s="486">
        <f t="shared" si="214"/>
        <v>0</v>
      </c>
      <c r="V162" s="486">
        <f t="shared" si="214"/>
        <v>0</v>
      </c>
      <c r="W162" s="486">
        <f t="shared" si="214"/>
        <v>0</v>
      </c>
      <c r="X162" s="486">
        <f t="shared" si="214"/>
        <v>0</v>
      </c>
      <c r="Y162" s="486">
        <f t="shared" si="214"/>
        <v>0</v>
      </c>
      <c r="Z162" s="486">
        <f t="shared" si="214"/>
        <v>0</v>
      </c>
      <c r="AA162" s="486">
        <f t="shared" si="214"/>
        <v>0</v>
      </c>
      <c r="AB162" s="486">
        <f t="shared" si="214"/>
        <v>0</v>
      </c>
      <c r="AC162" s="486">
        <f t="shared" si="214"/>
        <v>0</v>
      </c>
      <c r="AD162" s="486">
        <f t="shared" si="214"/>
        <v>0</v>
      </c>
      <c r="AE162" s="486">
        <f t="shared" si="214"/>
        <v>0</v>
      </c>
      <c r="AF162" s="486">
        <f t="shared" si="214"/>
        <v>0</v>
      </c>
      <c r="AG162" s="486">
        <f t="shared" si="214"/>
        <v>0</v>
      </c>
      <c r="AH162" s="486">
        <f t="shared" si="214"/>
        <v>0</v>
      </c>
      <c r="AI162" s="486">
        <f t="shared" si="214"/>
        <v>0</v>
      </c>
      <c r="AJ162" s="486">
        <f t="shared" si="214"/>
        <v>0</v>
      </c>
      <c r="AK162" s="486">
        <f t="shared" si="214"/>
        <v>0</v>
      </c>
      <c r="AL162" s="486">
        <f t="shared" si="214"/>
        <v>0</v>
      </c>
      <c r="AM162" s="486">
        <f t="shared" si="214"/>
        <v>0</v>
      </c>
      <c r="AN162" s="486">
        <f t="shared" si="214"/>
        <v>0</v>
      </c>
      <c r="AO162" s="486">
        <f t="shared" si="214"/>
        <v>0</v>
      </c>
      <c r="AP162" s="486">
        <f t="shared" si="214"/>
        <v>0</v>
      </c>
      <c r="AQ162" s="486">
        <f t="shared" si="214"/>
        <v>0</v>
      </c>
      <c r="AR162" s="486">
        <f t="shared" si="214"/>
        <v>0</v>
      </c>
      <c r="AS162" s="486">
        <f t="shared" si="214"/>
        <v>0</v>
      </c>
      <c r="AT162" s="486">
        <f t="shared" si="214"/>
        <v>0</v>
      </c>
      <c r="AU162" s="486">
        <f t="shared" si="214"/>
        <v>0</v>
      </c>
      <c r="AV162" s="486">
        <f t="shared" si="214"/>
        <v>0</v>
      </c>
      <c r="AW162" s="486">
        <f t="shared" si="214"/>
        <v>0</v>
      </c>
      <c r="AX162" s="486">
        <f t="shared" si="214"/>
        <v>0</v>
      </c>
      <c r="AY162" s="486">
        <f t="shared" si="214"/>
        <v>0</v>
      </c>
      <c r="AZ162" s="486">
        <f t="shared" si="214"/>
        <v>0</v>
      </c>
      <c r="BA162" s="486">
        <f t="shared" si="214"/>
        <v>0</v>
      </c>
      <c r="BB162" s="486">
        <f t="shared" si="214"/>
        <v>0</v>
      </c>
      <c r="BC162" s="486">
        <f t="shared" si="214"/>
        <v>0</v>
      </c>
      <c r="BD162" s="486">
        <f t="shared" si="214"/>
        <v>0</v>
      </c>
      <c r="BE162" s="486">
        <f>IF(BE161=1,11,0)</f>
        <v>0</v>
      </c>
      <c r="BF162" s="486">
        <f t="shared" ref="BF162:BU162" si="215">IF(BF161=1,11,0)</f>
        <v>0</v>
      </c>
      <c r="BG162" s="486">
        <f t="shared" si="215"/>
        <v>0</v>
      </c>
      <c r="BH162" s="486">
        <f t="shared" si="215"/>
        <v>0</v>
      </c>
      <c r="BI162" s="486">
        <f t="shared" si="215"/>
        <v>0</v>
      </c>
      <c r="BJ162" s="486">
        <f t="shared" si="215"/>
        <v>0</v>
      </c>
      <c r="BK162" s="486">
        <f t="shared" si="215"/>
        <v>0</v>
      </c>
      <c r="BL162" s="486">
        <f t="shared" si="215"/>
        <v>0</v>
      </c>
      <c r="BM162" s="486">
        <f t="shared" si="215"/>
        <v>0</v>
      </c>
      <c r="BN162" s="486">
        <f t="shared" si="215"/>
        <v>0</v>
      </c>
      <c r="BO162" s="486">
        <f t="shared" si="215"/>
        <v>0</v>
      </c>
      <c r="BP162" s="486">
        <f t="shared" si="215"/>
        <v>0</v>
      </c>
      <c r="BQ162" s="486">
        <f t="shared" si="215"/>
        <v>0</v>
      </c>
      <c r="BR162" s="486">
        <f t="shared" si="215"/>
        <v>0</v>
      </c>
      <c r="BS162" s="486">
        <f t="shared" si="215"/>
        <v>0</v>
      </c>
      <c r="BT162" s="486">
        <f t="shared" si="215"/>
        <v>0</v>
      </c>
      <c r="BU162" s="486">
        <f t="shared" si="215"/>
        <v>0</v>
      </c>
      <c r="BV162" s="486">
        <f t="shared" si="214"/>
        <v>0</v>
      </c>
      <c r="BW162" s="486">
        <f t="shared" si="214"/>
        <v>0</v>
      </c>
      <c r="BX162" s="486">
        <f t="shared" si="214"/>
        <v>0</v>
      </c>
    </row>
    <row r="163" spans="6:77">
      <c r="G163" s="486">
        <v>2</v>
      </c>
      <c r="K163" s="1211">
        <f t="shared" ref="K163:AP163" si="216">MOD(K7,$G$162)</f>
        <v>1</v>
      </c>
      <c r="L163" s="1211">
        <f t="shared" si="216"/>
        <v>2</v>
      </c>
      <c r="M163" s="1211">
        <f t="shared" si="216"/>
        <v>0</v>
      </c>
      <c r="N163" s="1211">
        <f t="shared" si="216"/>
        <v>1</v>
      </c>
      <c r="O163" s="1211">
        <f t="shared" si="216"/>
        <v>2</v>
      </c>
      <c r="P163" s="1211">
        <f t="shared" si="216"/>
        <v>0</v>
      </c>
      <c r="Q163" s="1211">
        <f t="shared" si="216"/>
        <v>1</v>
      </c>
      <c r="R163" s="1211">
        <f t="shared" si="216"/>
        <v>2</v>
      </c>
      <c r="S163" s="1211">
        <f t="shared" si="216"/>
        <v>0</v>
      </c>
      <c r="T163" s="1211">
        <f t="shared" si="216"/>
        <v>1</v>
      </c>
      <c r="U163" s="1211">
        <f t="shared" si="216"/>
        <v>2</v>
      </c>
      <c r="V163" s="1211">
        <f t="shared" si="216"/>
        <v>0</v>
      </c>
      <c r="W163" s="1211">
        <f t="shared" si="216"/>
        <v>1</v>
      </c>
      <c r="X163" s="1211">
        <f t="shared" si="216"/>
        <v>2</v>
      </c>
      <c r="Y163" s="1211">
        <f t="shared" si="216"/>
        <v>0</v>
      </c>
      <c r="Z163" s="1211">
        <f t="shared" si="216"/>
        <v>1</v>
      </c>
      <c r="AA163" s="1211">
        <f t="shared" si="216"/>
        <v>2</v>
      </c>
      <c r="AB163" s="1211">
        <f t="shared" si="216"/>
        <v>0</v>
      </c>
      <c r="AC163" s="1211">
        <f t="shared" si="216"/>
        <v>1</v>
      </c>
      <c r="AD163" s="1211">
        <f t="shared" si="216"/>
        <v>2</v>
      </c>
      <c r="AE163" s="1211">
        <f t="shared" si="216"/>
        <v>0</v>
      </c>
      <c r="AF163" s="1211">
        <f t="shared" si="216"/>
        <v>1</v>
      </c>
      <c r="AG163" s="1211">
        <f t="shared" si="216"/>
        <v>2</v>
      </c>
      <c r="AH163" s="1211">
        <f t="shared" si="216"/>
        <v>0</v>
      </c>
      <c r="AI163" s="1211">
        <f t="shared" si="216"/>
        <v>1</v>
      </c>
      <c r="AJ163" s="1211">
        <f t="shared" si="216"/>
        <v>2</v>
      </c>
      <c r="AK163" s="1211">
        <f t="shared" si="216"/>
        <v>0</v>
      </c>
      <c r="AL163" s="1211">
        <f t="shared" si="216"/>
        <v>1</v>
      </c>
      <c r="AM163" s="1211">
        <f t="shared" si="216"/>
        <v>2</v>
      </c>
      <c r="AN163" s="1211">
        <f t="shared" si="216"/>
        <v>0</v>
      </c>
      <c r="AO163" s="1211">
        <f t="shared" si="216"/>
        <v>1</v>
      </c>
      <c r="AP163" s="1211">
        <f t="shared" si="216"/>
        <v>2</v>
      </c>
      <c r="AQ163" s="1211">
        <f t="shared" ref="AQ163:BX163" si="217">MOD(AQ7,$G$162)</f>
        <v>0</v>
      </c>
      <c r="AR163" s="1211">
        <f t="shared" si="217"/>
        <v>1</v>
      </c>
      <c r="AS163" s="1211">
        <f t="shared" si="217"/>
        <v>2</v>
      </c>
      <c r="AT163" s="1211">
        <f t="shared" si="217"/>
        <v>0</v>
      </c>
      <c r="AU163" s="1211">
        <f t="shared" si="217"/>
        <v>1</v>
      </c>
      <c r="AV163" s="1211">
        <f t="shared" si="217"/>
        <v>2</v>
      </c>
      <c r="AW163" s="1211">
        <f t="shared" si="217"/>
        <v>0</v>
      </c>
      <c r="AX163" s="1211">
        <f t="shared" si="217"/>
        <v>1</v>
      </c>
      <c r="AY163" s="1211">
        <f t="shared" si="217"/>
        <v>2</v>
      </c>
      <c r="AZ163" s="1211">
        <f t="shared" si="217"/>
        <v>0</v>
      </c>
      <c r="BA163" s="1211">
        <f t="shared" si="217"/>
        <v>1</v>
      </c>
      <c r="BB163" s="1211">
        <f t="shared" si="217"/>
        <v>2</v>
      </c>
      <c r="BC163" s="1211">
        <f t="shared" si="217"/>
        <v>0</v>
      </c>
      <c r="BD163" s="1211">
        <f t="shared" si="217"/>
        <v>1</v>
      </c>
      <c r="BE163" s="1211">
        <f t="shared" si="217"/>
        <v>2</v>
      </c>
      <c r="BF163" s="1211">
        <f t="shared" si="217"/>
        <v>0</v>
      </c>
      <c r="BG163" s="1211">
        <f t="shared" si="217"/>
        <v>1</v>
      </c>
      <c r="BH163" s="1211">
        <f t="shared" si="217"/>
        <v>2</v>
      </c>
      <c r="BI163" s="1211">
        <f t="shared" si="217"/>
        <v>0</v>
      </c>
      <c r="BJ163" s="1211">
        <f t="shared" si="217"/>
        <v>1</v>
      </c>
      <c r="BK163" s="1211">
        <f t="shared" si="217"/>
        <v>2</v>
      </c>
      <c r="BL163" s="1211">
        <f t="shared" si="217"/>
        <v>0</v>
      </c>
      <c r="BM163" s="1211">
        <f t="shared" si="217"/>
        <v>1</v>
      </c>
      <c r="BN163" s="1211">
        <f t="shared" si="217"/>
        <v>2</v>
      </c>
      <c r="BO163" s="1211">
        <f t="shared" si="217"/>
        <v>0</v>
      </c>
      <c r="BP163" s="1211">
        <f t="shared" si="217"/>
        <v>1</v>
      </c>
      <c r="BQ163" s="1211">
        <f t="shared" si="217"/>
        <v>2</v>
      </c>
      <c r="BR163" s="1211">
        <f t="shared" si="217"/>
        <v>0</v>
      </c>
      <c r="BS163" s="1211">
        <f t="shared" si="217"/>
        <v>1</v>
      </c>
      <c r="BT163" s="1211">
        <f t="shared" si="217"/>
        <v>2</v>
      </c>
      <c r="BU163" s="1211">
        <f t="shared" si="217"/>
        <v>0</v>
      </c>
      <c r="BV163" s="1211">
        <f t="shared" si="217"/>
        <v>1</v>
      </c>
      <c r="BW163" s="1211">
        <f t="shared" si="217"/>
        <v>2</v>
      </c>
      <c r="BX163" s="1211">
        <f t="shared" si="217"/>
        <v>0</v>
      </c>
    </row>
    <row r="166" spans="6:77">
      <c r="H166" s="486" t="s">
        <v>1111</v>
      </c>
      <c r="J166" s="486" t="s">
        <v>1104</v>
      </c>
      <c r="K166" s="1211">
        <f t="shared" ref="K166:AP166" si="218">K124*$D$100*K6/365*K160</f>
        <v>168164.38356164383</v>
      </c>
      <c r="L166" s="1211">
        <f t="shared" si="218"/>
        <v>162739.72602739726</v>
      </c>
      <c r="M166" s="1211">
        <f t="shared" si="218"/>
        <v>168164.38356164383</v>
      </c>
      <c r="N166" s="1211">
        <f t="shared" si="218"/>
        <v>168164.38356164383</v>
      </c>
      <c r="O166" s="1211">
        <f t="shared" si="218"/>
        <v>157315.0684931507</v>
      </c>
      <c r="P166" s="1211">
        <f t="shared" si="218"/>
        <v>168164.38356164383</v>
      </c>
      <c r="Q166" s="1211">
        <f t="shared" si="218"/>
        <v>162739.72602739726</v>
      </c>
      <c r="R166" s="1211">
        <f t="shared" si="218"/>
        <v>168164.38356164383</v>
      </c>
      <c r="S166" s="1211">
        <f t="shared" si="218"/>
        <v>162739.72602739726</v>
      </c>
      <c r="T166" s="1211">
        <f t="shared" si="218"/>
        <v>168164.38356164383</v>
      </c>
      <c r="U166" s="1211">
        <f t="shared" si="218"/>
        <v>168164.38356164383</v>
      </c>
      <c r="V166" s="1211">
        <f t="shared" si="218"/>
        <v>162739.72602739726</v>
      </c>
      <c r="W166" s="1211">
        <f t="shared" si="218"/>
        <v>168164.38356164383</v>
      </c>
      <c r="X166" s="1211">
        <f t="shared" si="218"/>
        <v>162739.72602739726</v>
      </c>
      <c r="Y166" s="1211">
        <f t="shared" si="218"/>
        <v>168164.38356164383</v>
      </c>
      <c r="Z166" s="1211">
        <f t="shared" si="218"/>
        <v>168164.38356164383</v>
      </c>
      <c r="AA166" s="1211">
        <f t="shared" si="218"/>
        <v>151890.4109589041</v>
      </c>
      <c r="AB166" s="1211">
        <f t="shared" si="218"/>
        <v>168164.38356164383</v>
      </c>
      <c r="AC166" s="1211">
        <f t="shared" si="218"/>
        <v>162739.72602739726</v>
      </c>
      <c r="AD166" s="1211">
        <f t="shared" si="218"/>
        <v>168164.38356164383</v>
      </c>
      <c r="AE166" s="1211">
        <f t="shared" si="218"/>
        <v>162739.72602739726</v>
      </c>
      <c r="AF166" s="1211">
        <f t="shared" si="218"/>
        <v>168164.38356164383</v>
      </c>
      <c r="AG166" s="1211">
        <f t="shared" si="218"/>
        <v>168164.38356164383</v>
      </c>
      <c r="AH166" s="1211">
        <f t="shared" si="218"/>
        <v>162739.72602739726</v>
      </c>
      <c r="AI166" s="1211">
        <f t="shared" si="218"/>
        <v>168164.38356164383</v>
      </c>
      <c r="AJ166" s="1211">
        <f t="shared" si="218"/>
        <v>162739.72602739726</v>
      </c>
      <c r="AK166" s="1211">
        <f t="shared" si="218"/>
        <v>168164.38356164383</v>
      </c>
      <c r="AL166" s="1211">
        <f t="shared" si="218"/>
        <v>168164.38356164383</v>
      </c>
      <c r="AM166" s="1211">
        <f t="shared" si="218"/>
        <v>151890.4109589041</v>
      </c>
      <c r="AN166" s="1211">
        <f t="shared" si="218"/>
        <v>168164.38356164383</v>
      </c>
      <c r="AO166" s="1211">
        <f t="shared" si="218"/>
        <v>162739.72602739726</v>
      </c>
      <c r="AP166" s="1211">
        <f t="shared" si="218"/>
        <v>168164.38356164383</v>
      </c>
      <c r="AQ166" s="1211">
        <f t="shared" ref="AQ166:BX166" si="219">AQ124*$D$100*AQ6/365*AQ160</f>
        <v>162739.72602739726</v>
      </c>
      <c r="AR166" s="1211">
        <f t="shared" si="219"/>
        <v>0</v>
      </c>
      <c r="AS166" s="1211">
        <f t="shared" si="219"/>
        <v>0</v>
      </c>
      <c r="AT166" s="1211">
        <f t="shared" si="219"/>
        <v>0</v>
      </c>
      <c r="AU166" s="1211">
        <f t="shared" si="219"/>
        <v>0</v>
      </c>
      <c r="AV166" s="1211">
        <f t="shared" si="219"/>
        <v>0</v>
      </c>
      <c r="AW166" s="1211">
        <f t="shared" si="219"/>
        <v>0</v>
      </c>
      <c r="AX166" s="1211">
        <f t="shared" si="219"/>
        <v>0</v>
      </c>
      <c r="AY166" s="1211">
        <f t="shared" si="219"/>
        <v>0</v>
      </c>
      <c r="AZ166" s="1211">
        <f t="shared" si="219"/>
        <v>0</v>
      </c>
      <c r="BA166" s="1211">
        <f t="shared" si="219"/>
        <v>0</v>
      </c>
      <c r="BB166" s="1211">
        <f t="shared" si="219"/>
        <v>0</v>
      </c>
      <c r="BC166" s="1211">
        <f t="shared" si="219"/>
        <v>0</v>
      </c>
      <c r="BD166" s="1211">
        <f t="shared" si="219"/>
        <v>0</v>
      </c>
      <c r="BE166" s="1211">
        <f t="shared" si="219"/>
        <v>0</v>
      </c>
      <c r="BF166" s="1211">
        <f t="shared" si="219"/>
        <v>0</v>
      </c>
      <c r="BG166" s="1211">
        <f t="shared" si="219"/>
        <v>0</v>
      </c>
      <c r="BH166" s="1211">
        <f t="shared" si="219"/>
        <v>0</v>
      </c>
      <c r="BI166" s="1211">
        <f t="shared" si="219"/>
        <v>0</v>
      </c>
      <c r="BJ166" s="1211">
        <f t="shared" si="219"/>
        <v>0</v>
      </c>
      <c r="BK166" s="1211">
        <f t="shared" si="219"/>
        <v>0</v>
      </c>
      <c r="BL166" s="1211">
        <f t="shared" si="219"/>
        <v>0</v>
      </c>
      <c r="BM166" s="1211">
        <f t="shared" si="219"/>
        <v>0</v>
      </c>
      <c r="BN166" s="1211">
        <f t="shared" si="219"/>
        <v>0</v>
      </c>
      <c r="BO166" s="1211">
        <f t="shared" si="219"/>
        <v>0</v>
      </c>
      <c r="BP166" s="1211">
        <f t="shared" si="219"/>
        <v>0</v>
      </c>
      <c r="BQ166" s="1211">
        <f t="shared" si="219"/>
        <v>0</v>
      </c>
      <c r="BR166" s="1211">
        <f t="shared" si="219"/>
        <v>0</v>
      </c>
      <c r="BS166" s="1211">
        <f t="shared" si="219"/>
        <v>0</v>
      </c>
      <c r="BT166" s="1211">
        <f t="shared" si="219"/>
        <v>0</v>
      </c>
      <c r="BU166" s="1211">
        <f t="shared" si="219"/>
        <v>0</v>
      </c>
      <c r="BV166" s="1211">
        <f t="shared" si="219"/>
        <v>71734.554286276412</v>
      </c>
      <c r="BW166" s="1211">
        <f t="shared" si="219"/>
        <v>0</v>
      </c>
      <c r="BX166" s="1211">
        <f t="shared" si="219"/>
        <v>0</v>
      </c>
    </row>
    <row r="167" spans="6:77">
      <c r="J167" s="486" t="s">
        <v>1106</v>
      </c>
      <c r="K167" s="912">
        <f>K166+L166</f>
        <v>330904.10958904109</v>
      </c>
      <c r="M167" s="912">
        <f>M166+N166</f>
        <v>336328.76712328766</v>
      </c>
      <c r="O167" s="912">
        <f>O166+P166</f>
        <v>325479.45205479453</v>
      </c>
      <c r="Q167" s="912">
        <f>Q166+R166</f>
        <v>330904.10958904109</v>
      </c>
      <c r="S167" s="912">
        <f>S166+T166</f>
        <v>330904.10958904109</v>
      </c>
      <c r="U167" s="912">
        <f>U166+V166</f>
        <v>330904.10958904109</v>
      </c>
      <c r="W167" s="912">
        <f>W166+X166</f>
        <v>330904.10958904109</v>
      </c>
      <c r="Y167" s="912">
        <f>Y166+Z166</f>
        <v>336328.76712328766</v>
      </c>
      <c r="AA167" s="912">
        <f>AA166+AB166</f>
        <v>320054.79452054796</v>
      </c>
      <c r="AC167" s="912">
        <f>AC166+AD166</f>
        <v>330904.10958904109</v>
      </c>
      <c r="AE167" s="912">
        <f>AE166+AF166</f>
        <v>330904.10958904109</v>
      </c>
      <c r="AG167" s="912">
        <f>AG166+AH166</f>
        <v>330904.10958904109</v>
      </c>
      <c r="AI167" s="912">
        <f>AI166+AJ166</f>
        <v>330904.10958904109</v>
      </c>
      <c r="AK167" s="912">
        <f>AK166+AL166</f>
        <v>336328.76712328766</v>
      </c>
      <c r="AM167" s="912">
        <f>AM166+AN166</f>
        <v>320054.79452054796</v>
      </c>
      <c r="AO167" s="912">
        <f>AO166+AP166</f>
        <v>330904.10958904109</v>
      </c>
      <c r="AQ167" s="912">
        <f>AQ166+AR166</f>
        <v>162739.72602739726</v>
      </c>
      <c r="AS167" s="912">
        <f>AS166+AT166</f>
        <v>0</v>
      </c>
      <c r="AU167" s="912">
        <f>AU166+AV166</f>
        <v>0</v>
      </c>
      <c r="AW167" s="912">
        <f>AW166+AX166</f>
        <v>0</v>
      </c>
      <c r="AY167" s="912">
        <f>AY166+AZ166</f>
        <v>0</v>
      </c>
      <c r="BA167" s="912">
        <f>BA166+BB166</f>
        <v>0</v>
      </c>
      <c r="BC167" s="912">
        <f>BC166+BD166</f>
        <v>0</v>
      </c>
      <c r="BE167" s="912">
        <f>BE166+BF166</f>
        <v>0</v>
      </c>
      <c r="BG167" s="912">
        <f>BG166+BH166</f>
        <v>0</v>
      </c>
      <c r="BI167" s="912">
        <f>BI166+BJ166</f>
        <v>0</v>
      </c>
      <c r="BK167" s="912">
        <f>BK166+BL166</f>
        <v>0</v>
      </c>
      <c r="BM167" s="912">
        <f>BM166+BN166</f>
        <v>0</v>
      </c>
      <c r="BO167" s="912">
        <f>BO166+BP166</f>
        <v>0</v>
      </c>
      <c r="BQ167" s="912">
        <f>BQ166+BR166</f>
        <v>0</v>
      </c>
      <c r="BS167" s="912">
        <f>BS166+BT166</f>
        <v>0</v>
      </c>
      <c r="BU167" s="912">
        <f>BU166</f>
        <v>0</v>
      </c>
      <c r="BV167" s="912">
        <f>BV166+BW166</f>
        <v>71734.554286276412</v>
      </c>
      <c r="BW167" s="912"/>
      <c r="BX167" s="912"/>
    </row>
    <row r="168" spans="6:77">
      <c r="J168" s="486" t="s">
        <v>1105</v>
      </c>
      <c r="K168" s="912">
        <f>SUM(K166:M166)</f>
        <v>499068.49315068492</v>
      </c>
      <c r="N168" s="912">
        <f>SUM(N166:P166)</f>
        <v>493643.83561643836</v>
      </c>
      <c r="Q168" s="912">
        <f>SUM(Q166:S166)</f>
        <v>493643.83561643836</v>
      </c>
      <c r="T168" s="912">
        <f>SUM(T166:V166)</f>
        <v>499068.49315068492</v>
      </c>
      <c r="W168" s="912">
        <f>SUM(W166:Y166)</f>
        <v>499068.49315068492</v>
      </c>
      <c r="Z168" s="912">
        <f>SUM(Z166:AB166)</f>
        <v>488219.17808219179</v>
      </c>
      <c r="AC168" s="912">
        <f>SUM(AC166:AE166)</f>
        <v>493643.83561643836</v>
      </c>
      <c r="AF168" s="912">
        <f>SUM(AF166:AH166)</f>
        <v>499068.49315068492</v>
      </c>
      <c r="AI168" s="912">
        <f>SUM(AI166:AK166)</f>
        <v>499068.49315068492</v>
      </c>
      <c r="AL168" s="912">
        <f>SUM(AL166:AN166)</f>
        <v>488219.17808219179</v>
      </c>
      <c r="AO168" s="912">
        <f>SUM(AO166:AQ166)</f>
        <v>493643.83561643836</v>
      </c>
      <c r="AR168" s="912">
        <f>SUM(AR166:AT166)</f>
        <v>0</v>
      </c>
      <c r="AU168" s="912">
        <f>SUM(AU166:AW166)</f>
        <v>0</v>
      </c>
      <c r="AX168" s="912">
        <f>SUM(AX166:AZ166)</f>
        <v>0</v>
      </c>
      <c r="BA168" s="912">
        <f>SUM(BA166:BC166)</f>
        <v>0</v>
      </c>
      <c r="BD168" s="912">
        <f>SUM(BD166:BF166)</f>
        <v>0</v>
      </c>
      <c r="BE168" s="912"/>
      <c r="BF168" s="912"/>
      <c r="BG168" s="912">
        <f>SUM(BG166:BI166)</f>
        <v>0</v>
      </c>
      <c r="BH168" s="912"/>
      <c r="BI168" s="912"/>
      <c r="BJ168" s="912">
        <f>SUM(BJ166:BL166)</f>
        <v>0</v>
      </c>
      <c r="BK168" s="912"/>
      <c r="BL168" s="912"/>
      <c r="BM168" s="912">
        <f>SUM(BM166:BO166)</f>
        <v>0</v>
      </c>
      <c r="BN168" s="912"/>
      <c r="BO168" s="912"/>
      <c r="BP168" s="912">
        <f>SUM(BP166:BR166)</f>
        <v>0</v>
      </c>
      <c r="BQ168" s="912"/>
      <c r="BR168" s="912"/>
      <c r="BS168" s="912">
        <f>SUM(BS166:BU166)</f>
        <v>0</v>
      </c>
      <c r="BT168" s="912"/>
      <c r="BU168" s="912"/>
      <c r="BV168" s="912">
        <f>SUM(BV166:BX166)</f>
        <v>71734.554286276412</v>
      </c>
      <c r="BY168" s="912">
        <f>SUM(BY166:CA166)</f>
        <v>0</v>
      </c>
    </row>
    <row r="169" spans="6:77">
      <c r="J169" s="486" t="s">
        <v>1108</v>
      </c>
      <c r="M169" s="912">
        <f>SUM(K166:M166)</f>
        <v>499068.49315068492</v>
      </c>
      <c r="P169" s="912">
        <f>SUM(N166:P166)</f>
        <v>493643.83561643836</v>
      </c>
      <c r="S169" s="912">
        <f>SUM(Q166:S166)</f>
        <v>493643.83561643836</v>
      </c>
      <c r="V169" s="912">
        <f>SUM(T166:V166)</f>
        <v>499068.49315068492</v>
      </c>
      <c r="Y169" s="912">
        <f>SUM(W166:Y166)</f>
        <v>499068.49315068492</v>
      </c>
      <c r="AB169" s="912">
        <f>SUM(Z166:AB166)</f>
        <v>488219.17808219179</v>
      </c>
      <c r="AE169" s="912">
        <f>SUM(AC166:AE166)</f>
        <v>493643.83561643836</v>
      </c>
      <c r="AH169" s="912">
        <f>SUM(AF166:AH166)</f>
        <v>499068.49315068492</v>
      </c>
      <c r="AK169" s="912">
        <f>SUM(AI166:AK166)</f>
        <v>499068.49315068492</v>
      </c>
      <c r="AN169" s="912">
        <f>SUM(AL166:AN166)</f>
        <v>488219.17808219179</v>
      </c>
      <c r="AQ169" s="912">
        <f>SUM(AO166:AQ166)</f>
        <v>493643.83561643836</v>
      </c>
      <c r="AT169" s="912">
        <f>SUM(AR166:AT166)</f>
        <v>0</v>
      </c>
      <c r="AW169" s="912">
        <f>SUM(AU166:AW166)</f>
        <v>0</v>
      </c>
      <c r="AZ169" s="912">
        <f>SUM(AX166:AZ166)</f>
        <v>0</v>
      </c>
      <c r="BC169" s="912">
        <f>SUM(BA166:BC166)</f>
        <v>0</v>
      </c>
      <c r="BF169" s="912">
        <f>SUM(BD166:BF166)</f>
        <v>0</v>
      </c>
      <c r="BI169" s="912">
        <f>SUM(BG166:BI166)</f>
        <v>0</v>
      </c>
      <c r="BL169" s="912">
        <f>SUM(BJ166:BL166)</f>
        <v>0</v>
      </c>
      <c r="BO169" s="912">
        <f>SUM(BM166:BO166)</f>
        <v>0</v>
      </c>
      <c r="BR169" s="912">
        <f>SUM(BP166:BR166)</f>
        <v>0</v>
      </c>
      <c r="BU169" s="912">
        <f>SUM(BS166:BU166)</f>
        <v>0</v>
      </c>
      <c r="BX169" s="912">
        <f>SUM(BD166:BX166)</f>
        <v>71734.554286276412</v>
      </c>
    </row>
    <row r="171" spans="6:77">
      <c r="H171" s="486" t="s">
        <v>1112</v>
      </c>
      <c r="J171" s="486" t="s">
        <v>1104</v>
      </c>
      <c r="K171" s="1211">
        <f t="shared" ref="K171:AP171" si="220">K129*$D$102*K6/365*K160</f>
        <v>0</v>
      </c>
      <c r="L171" s="1211">
        <f t="shared" si="220"/>
        <v>0</v>
      </c>
      <c r="M171" s="1211">
        <f t="shared" si="220"/>
        <v>0</v>
      </c>
      <c r="N171" s="1211">
        <f t="shared" si="220"/>
        <v>0</v>
      </c>
      <c r="O171" s="1211">
        <f t="shared" si="220"/>
        <v>0</v>
      </c>
      <c r="P171" s="1211">
        <f t="shared" si="220"/>
        <v>0</v>
      </c>
      <c r="Q171" s="1211">
        <f t="shared" si="220"/>
        <v>0</v>
      </c>
      <c r="R171" s="1211">
        <f t="shared" si="220"/>
        <v>0</v>
      </c>
      <c r="S171" s="1211">
        <f t="shared" si="220"/>
        <v>0</v>
      </c>
      <c r="T171" s="1211">
        <f t="shared" si="220"/>
        <v>0</v>
      </c>
      <c r="U171" s="1211">
        <f t="shared" si="220"/>
        <v>0</v>
      </c>
      <c r="V171" s="1211">
        <f t="shared" si="220"/>
        <v>0</v>
      </c>
      <c r="W171" s="1211">
        <f t="shared" si="220"/>
        <v>0</v>
      </c>
      <c r="X171" s="1211">
        <f t="shared" si="220"/>
        <v>0</v>
      </c>
      <c r="Y171" s="1211">
        <f t="shared" si="220"/>
        <v>0</v>
      </c>
      <c r="Z171" s="1211">
        <f t="shared" si="220"/>
        <v>0</v>
      </c>
      <c r="AA171" s="1211">
        <f t="shared" si="220"/>
        <v>0</v>
      </c>
      <c r="AB171" s="1211">
        <f t="shared" si="220"/>
        <v>0</v>
      </c>
      <c r="AC171" s="1211">
        <f t="shared" si="220"/>
        <v>0</v>
      </c>
      <c r="AD171" s="1211">
        <f t="shared" si="220"/>
        <v>0</v>
      </c>
      <c r="AE171" s="1211">
        <f t="shared" si="220"/>
        <v>0</v>
      </c>
      <c r="AF171" s="1211">
        <f t="shared" si="220"/>
        <v>0</v>
      </c>
      <c r="AG171" s="1211">
        <f t="shared" si="220"/>
        <v>0</v>
      </c>
      <c r="AH171" s="1211">
        <f t="shared" si="220"/>
        <v>0</v>
      </c>
      <c r="AI171" s="1211">
        <f t="shared" si="220"/>
        <v>0</v>
      </c>
      <c r="AJ171" s="1211">
        <f t="shared" si="220"/>
        <v>0</v>
      </c>
      <c r="AK171" s="1211">
        <f t="shared" si="220"/>
        <v>0</v>
      </c>
      <c r="AL171" s="1211">
        <f t="shared" si="220"/>
        <v>0</v>
      </c>
      <c r="AM171" s="1211">
        <f t="shared" si="220"/>
        <v>0</v>
      </c>
      <c r="AN171" s="1211">
        <f t="shared" si="220"/>
        <v>0</v>
      </c>
      <c r="AO171" s="1211">
        <f t="shared" si="220"/>
        <v>0</v>
      </c>
      <c r="AP171" s="1211">
        <f t="shared" si="220"/>
        <v>0</v>
      </c>
      <c r="AQ171" s="1211">
        <f t="shared" ref="AQ171:BX171" si="221">AQ129*$D$102*AQ6/365*AQ160</f>
        <v>0</v>
      </c>
      <c r="AR171" s="1211">
        <f t="shared" si="221"/>
        <v>0</v>
      </c>
      <c r="AS171" s="1211">
        <f t="shared" si="221"/>
        <v>0</v>
      </c>
      <c r="AT171" s="1211">
        <f t="shared" si="221"/>
        <v>0</v>
      </c>
      <c r="AU171" s="1211">
        <f t="shared" si="221"/>
        <v>0</v>
      </c>
      <c r="AV171" s="1211">
        <f t="shared" si="221"/>
        <v>0</v>
      </c>
      <c r="AW171" s="1211">
        <f t="shared" si="221"/>
        <v>0</v>
      </c>
      <c r="AX171" s="1211">
        <f t="shared" si="221"/>
        <v>0</v>
      </c>
      <c r="AY171" s="1211">
        <f t="shared" si="221"/>
        <v>0</v>
      </c>
      <c r="AZ171" s="1211">
        <f t="shared" si="221"/>
        <v>0</v>
      </c>
      <c r="BA171" s="1211">
        <f t="shared" si="221"/>
        <v>0</v>
      </c>
      <c r="BB171" s="1211">
        <f t="shared" si="221"/>
        <v>0</v>
      </c>
      <c r="BC171" s="1211">
        <f t="shared" si="221"/>
        <v>0</v>
      </c>
      <c r="BD171" s="1211">
        <f t="shared" si="221"/>
        <v>0</v>
      </c>
      <c r="BE171" s="1211">
        <f t="shared" si="221"/>
        <v>0</v>
      </c>
      <c r="BF171" s="1211">
        <f t="shared" si="221"/>
        <v>0</v>
      </c>
      <c r="BG171" s="1211">
        <f t="shared" si="221"/>
        <v>0</v>
      </c>
      <c r="BH171" s="1211">
        <f t="shared" si="221"/>
        <v>0</v>
      </c>
      <c r="BI171" s="1211">
        <f t="shared" si="221"/>
        <v>0</v>
      </c>
      <c r="BJ171" s="1211">
        <f t="shared" si="221"/>
        <v>0</v>
      </c>
      <c r="BK171" s="1211">
        <f t="shared" si="221"/>
        <v>0</v>
      </c>
      <c r="BL171" s="1211">
        <f t="shared" si="221"/>
        <v>0</v>
      </c>
      <c r="BM171" s="1211">
        <f t="shared" si="221"/>
        <v>0</v>
      </c>
      <c r="BN171" s="1211">
        <f t="shared" si="221"/>
        <v>0</v>
      </c>
      <c r="BO171" s="1211">
        <f t="shared" si="221"/>
        <v>0</v>
      </c>
      <c r="BP171" s="1211">
        <f t="shared" si="221"/>
        <v>0</v>
      </c>
      <c r="BQ171" s="1211">
        <f t="shared" si="221"/>
        <v>0</v>
      </c>
      <c r="BR171" s="1211">
        <f t="shared" si="221"/>
        <v>0</v>
      </c>
      <c r="BS171" s="1211">
        <f t="shared" si="221"/>
        <v>0</v>
      </c>
      <c r="BT171" s="1211">
        <f t="shared" si="221"/>
        <v>0</v>
      </c>
      <c r="BU171" s="1211">
        <f t="shared" si="221"/>
        <v>0</v>
      </c>
      <c r="BV171" s="1211">
        <f t="shared" si="221"/>
        <v>0</v>
      </c>
      <c r="BW171" s="1211">
        <f t="shared" si="221"/>
        <v>0</v>
      </c>
      <c r="BX171" s="1211">
        <f t="shared" si="221"/>
        <v>0</v>
      </c>
    </row>
    <row r="172" spans="6:77">
      <c r="J172" s="486" t="s">
        <v>1106</v>
      </c>
      <c r="K172" s="912">
        <f>K171+L171</f>
        <v>0</v>
      </c>
      <c r="M172" s="912">
        <f>M171+N171</f>
        <v>0</v>
      </c>
      <c r="O172" s="912">
        <f>O171+P171</f>
        <v>0</v>
      </c>
      <c r="Q172" s="912">
        <f>Q171+R171</f>
        <v>0</v>
      </c>
      <c r="S172" s="912">
        <f>S171+T171</f>
        <v>0</v>
      </c>
      <c r="U172" s="912">
        <f>U171+V171</f>
        <v>0</v>
      </c>
      <c r="W172" s="912">
        <f>W171+X171</f>
        <v>0</v>
      </c>
      <c r="Y172" s="912">
        <f>Y171+Z171</f>
        <v>0</v>
      </c>
      <c r="AA172" s="912">
        <f>AA171+AB171</f>
        <v>0</v>
      </c>
      <c r="AC172" s="912">
        <f>AC171+AD171</f>
        <v>0</v>
      </c>
      <c r="AE172" s="912">
        <f>AE171+AF171</f>
        <v>0</v>
      </c>
      <c r="AG172" s="912">
        <f>AG171+AH171</f>
        <v>0</v>
      </c>
      <c r="AI172" s="912">
        <f>AI171+AJ171</f>
        <v>0</v>
      </c>
      <c r="AK172" s="912">
        <f>AK171+AL171</f>
        <v>0</v>
      </c>
      <c r="AM172" s="912">
        <f>AM171+AN171</f>
        <v>0</v>
      </c>
      <c r="AO172" s="912">
        <f>AO171+AP171</f>
        <v>0</v>
      </c>
      <c r="AQ172" s="912">
        <f>AQ171+AR171</f>
        <v>0</v>
      </c>
      <c r="AS172" s="912">
        <f>AS171+AT171</f>
        <v>0</v>
      </c>
      <c r="AU172" s="912">
        <f>AU171+AV171</f>
        <v>0</v>
      </c>
      <c r="AW172" s="912">
        <f>AW171+AX171</f>
        <v>0</v>
      </c>
      <c r="AY172" s="912">
        <f>AY171+AZ171</f>
        <v>0</v>
      </c>
      <c r="BA172" s="912">
        <f>BA171+BB171</f>
        <v>0</v>
      </c>
      <c r="BC172" s="912">
        <f>BC171+BD171</f>
        <v>0</v>
      </c>
      <c r="BE172" s="912">
        <f>BE171+BF171</f>
        <v>0</v>
      </c>
      <c r="BG172" s="912">
        <f>BG171+BH171</f>
        <v>0</v>
      </c>
      <c r="BI172" s="912">
        <f>BI171+BJ171</f>
        <v>0</v>
      </c>
      <c r="BK172" s="912">
        <f>BK171+BL171</f>
        <v>0</v>
      </c>
      <c r="BM172" s="912">
        <f>BM171+BN171</f>
        <v>0</v>
      </c>
      <c r="BO172" s="912">
        <f>BO171+BP171</f>
        <v>0</v>
      </c>
      <c r="BQ172" s="912">
        <f>BQ171+BR171</f>
        <v>0</v>
      </c>
      <c r="BS172" s="912">
        <f>BS171+BT171</f>
        <v>0</v>
      </c>
      <c r="BU172" s="912">
        <f>BU171</f>
        <v>0</v>
      </c>
      <c r="BV172" s="912">
        <f>BV171+BX171</f>
        <v>0</v>
      </c>
      <c r="BW172" s="912"/>
    </row>
    <row r="173" spans="6:77">
      <c r="J173" s="486" t="s">
        <v>1105</v>
      </c>
      <c r="K173" s="912">
        <f>SUM(K171:M171)</f>
        <v>0</v>
      </c>
      <c r="N173" s="912">
        <f>SUM(N171:P171)</f>
        <v>0</v>
      </c>
      <c r="Q173" s="912">
        <f>SUM(Q171:S171)</f>
        <v>0</v>
      </c>
      <c r="T173" s="912">
        <f>SUM(T171:V171)</f>
        <v>0</v>
      </c>
      <c r="W173" s="912">
        <f>SUM(W171:Y171)</f>
        <v>0</v>
      </c>
      <c r="Z173" s="912">
        <f>SUM(Z171:AB171)</f>
        <v>0</v>
      </c>
      <c r="AC173" s="912">
        <f>SUM(AC171:AE171)</f>
        <v>0</v>
      </c>
      <c r="AF173" s="912">
        <f>SUM(AF171:AH171)</f>
        <v>0</v>
      </c>
      <c r="AI173" s="912">
        <f>SUM(AI171:AK171)</f>
        <v>0</v>
      </c>
      <c r="AL173" s="912">
        <f>SUM(AL171:AN171)</f>
        <v>0</v>
      </c>
      <c r="AO173" s="912">
        <f>SUM(AO171:AQ171)</f>
        <v>0</v>
      </c>
      <c r="AR173" s="912">
        <f>SUM(AR171:AT171)</f>
        <v>0</v>
      </c>
      <c r="AU173" s="912">
        <f>SUM(AU171:AW171)</f>
        <v>0</v>
      </c>
      <c r="AX173" s="912">
        <f>SUM(AX171:AZ171)</f>
        <v>0</v>
      </c>
      <c r="BA173" s="912">
        <f>SUM(BA171:BC171)</f>
        <v>0</v>
      </c>
      <c r="BD173" s="912">
        <f>SUM(BD171:BF171)</f>
        <v>0</v>
      </c>
      <c r="BG173" s="912">
        <f>SUM(BG171:BI171)</f>
        <v>0</v>
      </c>
      <c r="BJ173" s="912">
        <f>SUM(BJ171:BL171)</f>
        <v>0</v>
      </c>
      <c r="BM173" s="912">
        <f>SUM(BM171:BO171)</f>
        <v>0</v>
      </c>
      <c r="BP173" s="912">
        <f>SUM(BP171:BR171)</f>
        <v>0</v>
      </c>
      <c r="BS173" s="912">
        <f>SUM(BS171:BU171)</f>
        <v>0</v>
      </c>
      <c r="BV173" s="912">
        <f>SUM(BV171:BX171)</f>
        <v>0</v>
      </c>
    </row>
    <row r="174" spans="6:77">
      <c r="J174" s="486" t="s">
        <v>1108</v>
      </c>
      <c r="M174" s="912">
        <f>SUM(K171:M171)</f>
        <v>0</v>
      </c>
      <c r="P174" s="912">
        <f>SUM(N171:P171)</f>
        <v>0</v>
      </c>
      <c r="S174" s="912">
        <f>SUM(Q171:S171)</f>
        <v>0</v>
      </c>
      <c r="V174" s="912">
        <f>SUM(T171:V171)</f>
        <v>0</v>
      </c>
      <c r="Y174" s="912">
        <f>SUM(W171:Y171)</f>
        <v>0</v>
      </c>
      <c r="AB174" s="912">
        <f>SUM(Z171:AB171)</f>
        <v>0</v>
      </c>
      <c r="AE174" s="912">
        <f>SUM(AC171:AE171)</f>
        <v>0</v>
      </c>
      <c r="AH174" s="912">
        <f>SUM(AF171:AH171)</f>
        <v>0</v>
      </c>
      <c r="AK174" s="912">
        <f>SUM(AI171:AK171)</f>
        <v>0</v>
      </c>
      <c r="AN174" s="912">
        <f>SUM(AL171:AN171)</f>
        <v>0</v>
      </c>
      <c r="AQ174" s="912">
        <f>SUM(AO171:AQ171)</f>
        <v>0</v>
      </c>
      <c r="AT174" s="912">
        <f>SUM(AR171:AT171)</f>
        <v>0</v>
      </c>
      <c r="AW174" s="912">
        <f>SUM(AU171:AW171)</f>
        <v>0</v>
      </c>
      <c r="AZ174" s="912">
        <f>SUM(AX171:AZ171)</f>
        <v>0</v>
      </c>
      <c r="BC174" s="912">
        <f>SUM(BA171:BC171)</f>
        <v>0</v>
      </c>
      <c r="BF174" s="912">
        <f>SUM(BD171:BF171)</f>
        <v>0</v>
      </c>
      <c r="BI174" s="912">
        <f>SUM(BG171:BI171)</f>
        <v>0</v>
      </c>
      <c r="BL174" s="912">
        <f>SUM(BJ171:BL171)</f>
        <v>0</v>
      </c>
      <c r="BO174" s="912">
        <f>SUM(BM171:BO171)</f>
        <v>0</v>
      </c>
      <c r="BR174" s="912">
        <f>SUM(BP171:BR171)</f>
        <v>0</v>
      </c>
      <c r="BU174" s="912">
        <f>SUM(BS171:BU171)</f>
        <v>0</v>
      </c>
      <c r="BX174" s="912">
        <f>SUM(BD171:BX171)</f>
        <v>0</v>
      </c>
    </row>
    <row r="176" spans="6:77">
      <c r="H176" s="486" t="s">
        <v>1112</v>
      </c>
      <c r="J176" s="486" t="s">
        <v>1104</v>
      </c>
      <c r="K176" s="1211">
        <f t="shared" ref="K176:AP176" si="222">K134*$D$104*K6/365*K160</f>
        <v>0</v>
      </c>
      <c r="L176" s="1211">
        <f t="shared" si="222"/>
        <v>0</v>
      </c>
      <c r="M176" s="1211">
        <f t="shared" si="222"/>
        <v>0</v>
      </c>
      <c r="N176" s="1211">
        <f t="shared" si="222"/>
        <v>0</v>
      </c>
      <c r="O176" s="1211">
        <f t="shared" si="222"/>
        <v>0</v>
      </c>
      <c r="P176" s="1211">
        <f t="shared" si="222"/>
        <v>0</v>
      </c>
      <c r="Q176" s="1211">
        <f t="shared" si="222"/>
        <v>0</v>
      </c>
      <c r="R176" s="1211">
        <f t="shared" si="222"/>
        <v>0</v>
      </c>
      <c r="S176" s="1211">
        <f t="shared" si="222"/>
        <v>0</v>
      </c>
      <c r="T176" s="1211">
        <f t="shared" si="222"/>
        <v>0</v>
      </c>
      <c r="U176" s="1211">
        <f t="shared" si="222"/>
        <v>0</v>
      </c>
      <c r="V176" s="1211">
        <f t="shared" si="222"/>
        <v>0</v>
      </c>
      <c r="W176" s="1211">
        <f t="shared" si="222"/>
        <v>0</v>
      </c>
      <c r="X176" s="1211">
        <f t="shared" si="222"/>
        <v>0</v>
      </c>
      <c r="Y176" s="1211">
        <f t="shared" si="222"/>
        <v>0</v>
      </c>
      <c r="Z176" s="1211">
        <f t="shared" si="222"/>
        <v>0</v>
      </c>
      <c r="AA176" s="1211">
        <f t="shared" si="222"/>
        <v>0</v>
      </c>
      <c r="AB176" s="1211">
        <f t="shared" si="222"/>
        <v>0</v>
      </c>
      <c r="AC176" s="1211">
        <f t="shared" si="222"/>
        <v>0</v>
      </c>
      <c r="AD176" s="1211">
        <f t="shared" si="222"/>
        <v>0</v>
      </c>
      <c r="AE176" s="1211">
        <f t="shared" si="222"/>
        <v>0</v>
      </c>
      <c r="AF176" s="1211">
        <f t="shared" si="222"/>
        <v>0</v>
      </c>
      <c r="AG176" s="1211">
        <f t="shared" si="222"/>
        <v>0</v>
      </c>
      <c r="AH176" s="1211">
        <f t="shared" si="222"/>
        <v>0</v>
      </c>
      <c r="AI176" s="1211">
        <f t="shared" si="222"/>
        <v>0</v>
      </c>
      <c r="AJ176" s="1211">
        <f t="shared" si="222"/>
        <v>0</v>
      </c>
      <c r="AK176" s="1211">
        <f t="shared" si="222"/>
        <v>0</v>
      </c>
      <c r="AL176" s="1211">
        <f t="shared" si="222"/>
        <v>0</v>
      </c>
      <c r="AM176" s="1211">
        <f t="shared" si="222"/>
        <v>0</v>
      </c>
      <c r="AN176" s="1211">
        <f t="shared" si="222"/>
        <v>0</v>
      </c>
      <c r="AO176" s="1211">
        <f t="shared" si="222"/>
        <v>0</v>
      </c>
      <c r="AP176" s="1211">
        <f t="shared" si="222"/>
        <v>0</v>
      </c>
      <c r="AQ176" s="1211">
        <f t="shared" ref="AQ176:BX176" si="223">AQ134*$D$104*AQ6/365*AQ160</f>
        <v>0</v>
      </c>
      <c r="AR176" s="1211">
        <f t="shared" si="223"/>
        <v>0</v>
      </c>
      <c r="AS176" s="1211">
        <f t="shared" si="223"/>
        <v>0</v>
      </c>
      <c r="AT176" s="1211">
        <f t="shared" si="223"/>
        <v>0</v>
      </c>
      <c r="AU176" s="1211">
        <f t="shared" si="223"/>
        <v>0</v>
      </c>
      <c r="AV176" s="1211">
        <f t="shared" si="223"/>
        <v>0</v>
      </c>
      <c r="AW176" s="1211">
        <f t="shared" si="223"/>
        <v>0</v>
      </c>
      <c r="AX176" s="1211">
        <f t="shared" si="223"/>
        <v>0</v>
      </c>
      <c r="AY176" s="1211">
        <f t="shared" si="223"/>
        <v>0</v>
      </c>
      <c r="AZ176" s="1211">
        <f t="shared" si="223"/>
        <v>0</v>
      </c>
      <c r="BA176" s="1211">
        <f t="shared" si="223"/>
        <v>0</v>
      </c>
      <c r="BB176" s="1211">
        <f t="shared" si="223"/>
        <v>0</v>
      </c>
      <c r="BC176" s="1211">
        <f t="shared" si="223"/>
        <v>0</v>
      </c>
      <c r="BD176" s="1211">
        <f t="shared" si="223"/>
        <v>0</v>
      </c>
      <c r="BE176" s="1211">
        <f t="shared" si="223"/>
        <v>0</v>
      </c>
      <c r="BF176" s="1211">
        <f t="shared" si="223"/>
        <v>0</v>
      </c>
      <c r="BG176" s="1211">
        <f t="shared" si="223"/>
        <v>0</v>
      </c>
      <c r="BH176" s="1211">
        <f t="shared" si="223"/>
        <v>0</v>
      </c>
      <c r="BI176" s="1211">
        <f t="shared" si="223"/>
        <v>0</v>
      </c>
      <c r="BJ176" s="1211">
        <f t="shared" si="223"/>
        <v>0</v>
      </c>
      <c r="BK176" s="1211">
        <f t="shared" si="223"/>
        <v>0</v>
      </c>
      <c r="BL176" s="1211">
        <f t="shared" si="223"/>
        <v>0</v>
      </c>
      <c r="BM176" s="1211">
        <f t="shared" si="223"/>
        <v>0</v>
      </c>
      <c r="BN176" s="1211">
        <f t="shared" si="223"/>
        <v>0</v>
      </c>
      <c r="BO176" s="1211">
        <f t="shared" si="223"/>
        <v>0</v>
      </c>
      <c r="BP176" s="1211">
        <f t="shared" si="223"/>
        <v>0</v>
      </c>
      <c r="BQ176" s="1211">
        <f t="shared" si="223"/>
        <v>0</v>
      </c>
      <c r="BR176" s="1211">
        <f t="shared" si="223"/>
        <v>0</v>
      </c>
      <c r="BS176" s="1211">
        <f t="shared" si="223"/>
        <v>0</v>
      </c>
      <c r="BT176" s="1211">
        <f t="shared" si="223"/>
        <v>0</v>
      </c>
      <c r="BU176" s="1211">
        <f t="shared" si="223"/>
        <v>0</v>
      </c>
      <c r="BV176" s="1211">
        <f t="shared" si="223"/>
        <v>0</v>
      </c>
      <c r="BW176" s="1211">
        <f t="shared" si="223"/>
        <v>0</v>
      </c>
      <c r="BX176" s="1211">
        <f t="shared" si="223"/>
        <v>0</v>
      </c>
    </row>
    <row r="177" spans="2:79">
      <c r="J177" s="486" t="s">
        <v>1106</v>
      </c>
      <c r="K177" s="912">
        <f>K176+L176</f>
        <v>0</v>
      </c>
      <c r="M177" s="912">
        <f>M176+N176</f>
        <v>0</v>
      </c>
      <c r="O177" s="912">
        <f>O176+P176</f>
        <v>0</v>
      </c>
      <c r="Q177" s="912">
        <f>Q176+R176</f>
        <v>0</v>
      </c>
      <c r="S177" s="912">
        <f>S176+T176</f>
        <v>0</v>
      </c>
      <c r="U177" s="912">
        <f>U176+V176</f>
        <v>0</v>
      </c>
      <c r="W177" s="912">
        <f>W176+X176</f>
        <v>0</v>
      </c>
      <c r="Y177" s="912">
        <f>Y176+Z176</f>
        <v>0</v>
      </c>
      <c r="AA177" s="912">
        <f>AA176+AB176</f>
        <v>0</v>
      </c>
      <c r="AC177" s="912">
        <f>AC176+AD176</f>
        <v>0</v>
      </c>
      <c r="AE177" s="912">
        <f>AE176+AF176</f>
        <v>0</v>
      </c>
      <c r="AG177" s="912">
        <f>AG176+AH176</f>
        <v>0</v>
      </c>
      <c r="AI177" s="912">
        <f>AI176+AJ176</f>
        <v>0</v>
      </c>
      <c r="AK177" s="912">
        <f>AK176+AL176</f>
        <v>0</v>
      </c>
      <c r="AM177" s="912">
        <f>AM176+AN176</f>
        <v>0</v>
      </c>
      <c r="AO177" s="912">
        <f>AO176+AP176</f>
        <v>0</v>
      </c>
      <c r="AQ177" s="912">
        <f>AQ176+AR176</f>
        <v>0</v>
      </c>
      <c r="AS177" s="912">
        <f>AS176+AT176</f>
        <v>0</v>
      </c>
      <c r="AU177" s="912">
        <f>AU176+AV176</f>
        <v>0</v>
      </c>
      <c r="AW177" s="912">
        <f>AW176+AX176</f>
        <v>0</v>
      </c>
      <c r="AY177" s="912">
        <f>AY176+AZ176</f>
        <v>0</v>
      </c>
      <c r="BA177" s="912">
        <f>BA176+BB176</f>
        <v>0</v>
      </c>
      <c r="BC177" s="912">
        <f>BC176+BD176</f>
        <v>0</v>
      </c>
      <c r="BE177" s="912">
        <f>BE176+BF176</f>
        <v>0</v>
      </c>
      <c r="BG177" s="912">
        <f>BG176+BH176</f>
        <v>0</v>
      </c>
      <c r="BI177" s="912">
        <f>BI176+BJ176</f>
        <v>0</v>
      </c>
      <c r="BK177" s="912">
        <f>BK176+BL176</f>
        <v>0</v>
      </c>
      <c r="BM177" s="912">
        <f>BM176+BN176</f>
        <v>0</v>
      </c>
      <c r="BO177" s="912">
        <f>BO176+BP176</f>
        <v>0</v>
      </c>
      <c r="BQ177" s="912">
        <f>BQ176+BR176</f>
        <v>0</v>
      </c>
      <c r="BS177" s="912">
        <f>BS176+BT176</f>
        <v>0</v>
      </c>
      <c r="BU177" s="912">
        <f>BU176</f>
        <v>0</v>
      </c>
      <c r="BV177" s="912">
        <f>BV176+BX176</f>
        <v>0</v>
      </c>
      <c r="BW177" s="912"/>
    </row>
    <row r="178" spans="2:79">
      <c r="J178" s="486" t="s">
        <v>1105</v>
      </c>
      <c r="K178" s="912">
        <f>SUM(K176:M176)</f>
        <v>0</v>
      </c>
      <c r="N178" s="912">
        <f>SUM(N176:P176)</f>
        <v>0</v>
      </c>
      <c r="Q178" s="912">
        <f>SUM(Q176:S176)</f>
        <v>0</v>
      </c>
      <c r="T178" s="912">
        <f>SUM(T176:V176)</f>
        <v>0</v>
      </c>
      <c r="W178" s="912">
        <f>SUM(W176:Y176)</f>
        <v>0</v>
      </c>
      <c r="Z178" s="912">
        <f>SUM(Z176:AB176)</f>
        <v>0</v>
      </c>
      <c r="AC178" s="912">
        <f>SUM(AC176:AE176)</f>
        <v>0</v>
      </c>
      <c r="AF178" s="912">
        <f>SUM(AF176:AH176)</f>
        <v>0</v>
      </c>
      <c r="AI178" s="912">
        <f>SUM(AI176:AK176)</f>
        <v>0</v>
      </c>
      <c r="AL178" s="912">
        <f>SUM(AL176:AN176)</f>
        <v>0</v>
      </c>
      <c r="AO178" s="912">
        <f>SUM(AO176:AQ176)</f>
        <v>0</v>
      </c>
      <c r="AR178" s="912">
        <f>SUM(AR176:AT176)</f>
        <v>0</v>
      </c>
      <c r="AU178" s="912">
        <f>SUM(AU176:AW176)</f>
        <v>0</v>
      </c>
      <c r="AX178" s="912">
        <f>SUM(AX176:AZ176)</f>
        <v>0</v>
      </c>
      <c r="BA178" s="912">
        <f>SUM(BA176:BC176)</f>
        <v>0</v>
      </c>
      <c r="BD178" s="912">
        <f>SUM(BD176:BF176)</f>
        <v>0</v>
      </c>
      <c r="BG178" s="912">
        <f>SUM(BG176:BI176)</f>
        <v>0</v>
      </c>
      <c r="BJ178" s="912">
        <f>SUM(BJ176:BL176)</f>
        <v>0</v>
      </c>
      <c r="BM178" s="912">
        <f>SUM(BM176:BO176)</f>
        <v>0</v>
      </c>
      <c r="BP178" s="912">
        <f>SUM(BP176:BR176)</f>
        <v>0</v>
      </c>
      <c r="BS178" s="912">
        <f>SUM(BS176:BU176)</f>
        <v>0</v>
      </c>
      <c r="BV178" s="912">
        <f>SUM(BV176:BX176)</f>
        <v>0</v>
      </c>
    </row>
    <row r="179" spans="2:79">
      <c r="J179" s="486" t="s">
        <v>1108</v>
      </c>
      <c r="M179" s="912">
        <f>SUM(K176:M176)</f>
        <v>0</v>
      </c>
      <c r="P179" s="912">
        <f>SUM(N176:P176)</f>
        <v>0</v>
      </c>
      <c r="S179" s="912">
        <f>SUM(Q176:S176)</f>
        <v>0</v>
      </c>
      <c r="V179" s="912">
        <f>SUM(T176:V176)</f>
        <v>0</v>
      </c>
      <c r="Y179" s="912">
        <f>SUM(W176:Y176)</f>
        <v>0</v>
      </c>
      <c r="AB179" s="912">
        <f>SUM(Z176:AB176)</f>
        <v>0</v>
      </c>
      <c r="AE179" s="912">
        <f>SUM(AC176:AE176)</f>
        <v>0</v>
      </c>
      <c r="AH179" s="912">
        <f>SUM(AF176:AH176)</f>
        <v>0</v>
      </c>
      <c r="AK179" s="912">
        <f>SUM(AI176:AK176)</f>
        <v>0</v>
      </c>
      <c r="AN179" s="912">
        <f>SUM(AL176:AN176)</f>
        <v>0</v>
      </c>
      <c r="AQ179" s="912">
        <f>SUM(AO176:AQ176)</f>
        <v>0</v>
      </c>
      <c r="AT179" s="912">
        <f>SUM(AR176:AT176)</f>
        <v>0</v>
      </c>
      <c r="AW179" s="912">
        <f>SUM(AU176:AW176)</f>
        <v>0</v>
      </c>
      <c r="AZ179" s="912">
        <f>SUM(AX176:AZ176)</f>
        <v>0</v>
      </c>
      <c r="BC179" s="912">
        <f>SUM(BA176:BC176)</f>
        <v>0</v>
      </c>
      <c r="BF179" s="912">
        <f>SUM(BD176:BF176)</f>
        <v>0</v>
      </c>
      <c r="BI179" s="912">
        <f>SUM(BG176:BI176)</f>
        <v>0</v>
      </c>
      <c r="BL179" s="912">
        <f>SUM(BJ176:BL176)</f>
        <v>0</v>
      </c>
      <c r="BO179" s="912">
        <f>SUM(BM176:BO176)</f>
        <v>0</v>
      </c>
      <c r="BR179" s="912">
        <f>SUM(BP176:BR176)</f>
        <v>0</v>
      </c>
      <c r="BU179" s="912">
        <f>SUM(BS176:BU176)</f>
        <v>0</v>
      </c>
      <c r="BX179" s="912">
        <f>SUM(BD176:BX176)</f>
        <v>0</v>
      </c>
    </row>
    <row r="181" spans="2:79" s="957" customFormat="1" ht="15.6">
      <c r="B181" s="963"/>
      <c r="C181" s="963"/>
      <c r="F181" s="998"/>
      <c r="G181" s="998"/>
      <c r="H181" s="998"/>
      <c r="I181" s="998"/>
      <c r="J181" s="998"/>
      <c r="K181" s="998"/>
      <c r="L181" s="999"/>
      <c r="M181" s="999"/>
      <c r="N181" s="999"/>
      <c r="O181" s="999"/>
      <c r="P181" s="999"/>
      <c r="Q181" s="999"/>
      <c r="R181" s="999"/>
      <c r="S181" s="999"/>
      <c r="T181" s="999"/>
      <c r="U181" s="999"/>
      <c r="V181" s="999"/>
      <c r="W181" s="999"/>
      <c r="X181" s="999"/>
      <c r="Y181" s="999"/>
      <c r="Z181" s="999"/>
      <c r="AA181" s="999"/>
      <c r="AB181" s="999"/>
      <c r="AC181" s="999"/>
      <c r="AD181" s="999"/>
      <c r="AE181" s="999"/>
      <c r="AF181" s="999"/>
      <c r="AG181" s="999"/>
      <c r="AH181" s="999"/>
      <c r="AI181" s="999"/>
      <c r="AJ181" s="999"/>
      <c r="AK181" s="999"/>
      <c r="AL181" s="999"/>
      <c r="AM181" s="999"/>
      <c r="AN181" s="999"/>
      <c r="AO181" s="999"/>
      <c r="AP181" s="999"/>
      <c r="AQ181" s="1030"/>
      <c r="AR181" s="999"/>
      <c r="AS181" s="999"/>
      <c r="AT181" s="999"/>
      <c r="AU181" s="999"/>
      <c r="AV181" s="999"/>
      <c r="AW181" s="999"/>
      <c r="AX181" s="999"/>
      <c r="AY181" s="999"/>
      <c r="AZ181" s="999"/>
      <c r="BA181" s="999"/>
      <c r="BB181" s="999"/>
      <c r="BC181" s="999"/>
      <c r="BD181" s="999"/>
      <c r="BE181" s="999"/>
      <c r="BF181" s="999"/>
      <c r="BG181" s="999"/>
      <c r="BH181" s="999"/>
      <c r="BI181" s="999"/>
      <c r="BJ181" s="999"/>
      <c r="BK181" s="999"/>
      <c r="BL181" s="999"/>
      <c r="BM181" s="999"/>
      <c r="BN181" s="999"/>
      <c r="BO181" s="999"/>
      <c r="BP181" s="999"/>
      <c r="BQ181" s="999"/>
      <c r="BR181" s="999"/>
      <c r="BS181" s="999"/>
      <c r="BT181" s="999"/>
      <c r="BU181" s="999"/>
      <c r="BV181" s="1030"/>
      <c r="BW181" s="1030"/>
      <c r="BX181" s="999"/>
      <c r="BY181" s="976"/>
      <c r="BZ181" s="998"/>
    </row>
    <row r="182" spans="2:79">
      <c r="B182" s="1031" t="s">
        <v>1032</v>
      </c>
      <c r="C182" s="1895"/>
      <c r="D182" s="1032"/>
      <c r="E182" s="1032"/>
      <c r="F182" s="1033"/>
      <c r="G182" s="1033"/>
      <c r="H182" s="1034"/>
      <c r="I182" s="1034"/>
      <c r="J182" s="1034"/>
      <c r="K182" s="1034"/>
      <c r="L182" s="1034"/>
      <c r="M182" s="1035">
        <v>0</v>
      </c>
      <c r="N182" s="1035">
        <f>공정율산정!M6</f>
        <v>1.1999999999999999E-3</v>
      </c>
      <c r="O182" s="1035">
        <f>공정율산정!N6</f>
        <v>5.5999999999999991E-3</v>
      </c>
      <c r="P182" s="1035">
        <f>공정율산정!O6</f>
        <v>7.1999999999999998E-3</v>
      </c>
      <c r="Q182" s="1035">
        <f>공정율산정!P6</f>
        <v>9.5999999999999992E-3</v>
      </c>
      <c r="R182" s="1035">
        <f>공정율산정!Q6</f>
        <v>1.6799999999999992E-2</v>
      </c>
      <c r="S182" s="1035">
        <f>공정율산정!R6</f>
        <v>1.5599999999999987E-2</v>
      </c>
      <c r="T182" s="1035">
        <f>공정율산정!S6</f>
        <v>2.3999999999999994E-2</v>
      </c>
      <c r="U182" s="1035">
        <f>공정율산정!T6</f>
        <v>3.6799999999999986E-2</v>
      </c>
      <c r="V182" s="1035">
        <f>공정율산정!U6</f>
        <v>3.1199999999999974E-2</v>
      </c>
      <c r="W182" s="1035">
        <f>공정율산정!V6</f>
        <v>4.4400000000000016E-2</v>
      </c>
      <c r="X182" s="1035">
        <f>공정율산정!W6</f>
        <v>5.6000000000000015E-2</v>
      </c>
      <c r="Y182" s="1035">
        <f>공정율산정!X6</f>
        <v>3.960000000000001E-2</v>
      </c>
      <c r="Z182" s="1035">
        <f>공정율산정!Y6</f>
        <v>4.7399999999999949E-2</v>
      </c>
      <c r="AA182" s="1035">
        <f>공정율산정!Z6</f>
        <v>5.5199999999999957E-2</v>
      </c>
      <c r="AB182" s="1035">
        <f>공정율산정!AA6</f>
        <v>3.5399999999999994E-2</v>
      </c>
      <c r="AC182" s="1035">
        <f>공정율산정!AB6</f>
        <v>5.0399999999999993E-2</v>
      </c>
      <c r="AD182" s="1035">
        <f>공정율산정!AC6</f>
        <v>6.7600000000000049E-2</v>
      </c>
      <c r="AE182" s="1035">
        <f>공정율산정!AD6</f>
        <v>5.1000000000000087E-2</v>
      </c>
      <c r="AF182" s="1035">
        <f>공정율산정!AE6</f>
        <v>4.4399999999999905E-2</v>
      </c>
      <c r="AG182" s="1035">
        <f>공정율산정!AF6</f>
        <v>6.5689999999999957E-2</v>
      </c>
      <c r="AH182" s="1035">
        <f>공정율산정!AG6</f>
        <v>5.3999999999999916E-2</v>
      </c>
      <c r="AI182" s="1035">
        <f>공정율산정!AH6</f>
        <v>4.7399999999999949E-2</v>
      </c>
      <c r="AJ182" s="1035">
        <f>공정율산정!AI6</f>
        <v>6.1200000000000046E-2</v>
      </c>
      <c r="AK182" s="1035">
        <f>공정율산정!AJ6</f>
        <v>4.440000000000012E-2</v>
      </c>
      <c r="AL182" s="1035">
        <f>공정율산정!AK6</f>
        <v>2.1000000000000085E-2</v>
      </c>
      <c r="AM182" s="1035">
        <f>공정율산정!AL6</f>
        <v>2.5600000000000022E-2</v>
      </c>
      <c r="AN182" s="1035">
        <f>공정율산정!AM6</f>
        <v>1.739999999999995E-2</v>
      </c>
      <c r="AO182" s="1035">
        <f>공정율산정!AN6</f>
        <v>6.5999999999999661E-3</v>
      </c>
      <c r="AP182" s="1035">
        <f>공정율산정!AO6</f>
        <v>9.600000000000079E-3</v>
      </c>
      <c r="AQ182" s="1035">
        <f>공정율산정!AP6</f>
        <v>7.7100000000001499E-3</v>
      </c>
      <c r="AR182" s="1035">
        <f>공정율산정!AQ6</f>
        <v>0</v>
      </c>
      <c r="AS182" s="1035">
        <f>공정율산정!AR6</f>
        <v>0</v>
      </c>
      <c r="AT182" s="1035">
        <f>공정율산정!AS6</f>
        <v>0</v>
      </c>
      <c r="AU182" s="1035">
        <f>공정율산정!AT6</f>
        <v>0</v>
      </c>
      <c r="AV182" s="1035">
        <f>공정율산정!AU6</f>
        <v>0</v>
      </c>
      <c r="AW182" s="1035">
        <f>공정율산정!AV6</f>
        <v>0</v>
      </c>
      <c r="AX182" s="1035">
        <f>공정율산정!AW6</f>
        <v>0</v>
      </c>
      <c r="AY182" s="1035">
        <f>공정율산정!AX6</f>
        <v>0</v>
      </c>
      <c r="AZ182" s="1035">
        <f>공정율산정!AY6</f>
        <v>0</v>
      </c>
      <c r="BA182" s="1035">
        <f>공정율산정!AZ6</f>
        <v>0</v>
      </c>
      <c r="BB182" s="1035">
        <f>공정율산정!BA6</f>
        <v>0</v>
      </c>
      <c r="BC182" s="1035">
        <f>공정율산정!BB6</f>
        <v>0</v>
      </c>
      <c r="BD182" s="1035">
        <f>공정율산정!BC6</f>
        <v>0</v>
      </c>
      <c r="BE182" s="1035">
        <f>공정율산정!BD6</f>
        <v>0</v>
      </c>
      <c r="BF182" s="1035">
        <f>공정율산정!BE6</f>
        <v>0</v>
      </c>
      <c r="BG182" s="1035">
        <f>공정율산정!BF6</f>
        <v>0</v>
      </c>
      <c r="BH182" s="1035">
        <f>공정율산정!BG6</f>
        <v>0</v>
      </c>
      <c r="BI182" s="1035">
        <f>공정율산정!BH6</f>
        <v>0</v>
      </c>
      <c r="BJ182" s="1035">
        <f>공정율산정!BI6</f>
        <v>0</v>
      </c>
      <c r="BK182" s="1035">
        <f>공정율산정!BJ6</f>
        <v>0</v>
      </c>
      <c r="BL182" s="1035">
        <f>공정율산정!BK6</f>
        <v>0</v>
      </c>
      <c r="BM182" s="1035">
        <f>공정율산정!BL6</f>
        <v>0</v>
      </c>
      <c r="BN182" s="1035">
        <f>공정율산정!BM6</f>
        <v>0</v>
      </c>
      <c r="BO182" s="1035">
        <f>공정율산정!BN6</f>
        <v>0</v>
      </c>
      <c r="BP182" s="1035">
        <f>공정율산정!BO6</f>
        <v>0</v>
      </c>
      <c r="BQ182" s="1035">
        <f>공정율산정!BP6</f>
        <v>0</v>
      </c>
      <c r="BR182" s="1035">
        <f>공정율산정!BQ6</f>
        <v>0</v>
      </c>
      <c r="BS182" s="1035">
        <f>공정율산정!BR6</f>
        <v>0</v>
      </c>
      <c r="BT182" s="1035">
        <f>공정율산정!BS6</f>
        <v>0</v>
      </c>
      <c r="BU182" s="1035">
        <f>공정율산정!BT6</f>
        <v>0</v>
      </c>
      <c r="BV182" s="1036">
        <f>공정율산정!BD6</f>
        <v>0</v>
      </c>
      <c r="BW182" s="1036">
        <f>공정율산정!BE6</f>
        <v>0</v>
      </c>
      <c r="BX182" s="1036">
        <f>공정율산정!BF6</f>
        <v>0</v>
      </c>
      <c r="BY182" s="976"/>
      <c r="BZ182" s="1037"/>
      <c r="CA182" s="1038"/>
    </row>
    <row r="183" spans="2:79">
      <c r="B183" s="1039" t="s">
        <v>1033</v>
      </c>
      <c r="C183" s="1896"/>
      <c r="D183" s="1040"/>
      <c r="E183" s="1040"/>
      <c r="F183" s="1033"/>
      <c r="G183" s="1033"/>
      <c r="H183" s="1034"/>
      <c r="I183" s="1034"/>
      <c r="J183" s="1034"/>
      <c r="K183" s="1034"/>
      <c r="L183" s="1034"/>
      <c r="M183" s="1035">
        <f>M182</f>
        <v>0</v>
      </c>
      <c r="N183" s="1035">
        <f>M183+N182</f>
        <v>1.1999999999999999E-3</v>
      </c>
      <c r="O183" s="1035">
        <f t="shared" ref="O183:AQ183" si="224">N183+O182</f>
        <v>6.7999999999999988E-3</v>
      </c>
      <c r="P183" s="1035">
        <f t="shared" si="224"/>
        <v>1.3999999999999999E-2</v>
      </c>
      <c r="Q183" s="1035">
        <f t="shared" si="224"/>
        <v>2.3599999999999996E-2</v>
      </c>
      <c r="R183" s="1035">
        <f t="shared" si="224"/>
        <v>4.0399999999999991E-2</v>
      </c>
      <c r="S183" s="1035">
        <f t="shared" si="224"/>
        <v>5.599999999999998E-2</v>
      </c>
      <c r="T183" s="1035">
        <f t="shared" si="224"/>
        <v>7.9999999999999974E-2</v>
      </c>
      <c r="U183" s="1035">
        <f t="shared" si="224"/>
        <v>0.11679999999999996</v>
      </c>
      <c r="V183" s="1035">
        <f t="shared" si="224"/>
        <v>0.14799999999999994</v>
      </c>
      <c r="W183" s="1035">
        <f t="shared" si="224"/>
        <v>0.19239999999999996</v>
      </c>
      <c r="X183" s="1035">
        <f t="shared" si="224"/>
        <v>0.24839999999999998</v>
      </c>
      <c r="Y183" s="1035">
        <f t="shared" si="224"/>
        <v>0.28799999999999998</v>
      </c>
      <c r="Z183" s="1035">
        <f t="shared" si="224"/>
        <v>0.33539999999999992</v>
      </c>
      <c r="AA183" s="1035">
        <f t="shared" si="224"/>
        <v>0.39059999999999989</v>
      </c>
      <c r="AB183" s="1035">
        <f t="shared" si="224"/>
        <v>0.42599999999999988</v>
      </c>
      <c r="AC183" s="1035">
        <f t="shared" si="224"/>
        <v>0.47639999999999988</v>
      </c>
      <c r="AD183" s="1035">
        <f t="shared" si="224"/>
        <v>0.54399999999999993</v>
      </c>
      <c r="AE183" s="1035">
        <f t="shared" si="224"/>
        <v>0.59499999999999997</v>
      </c>
      <c r="AF183" s="1035">
        <f t="shared" si="224"/>
        <v>0.63939999999999986</v>
      </c>
      <c r="AG183" s="1035">
        <f t="shared" si="224"/>
        <v>0.70508999999999977</v>
      </c>
      <c r="AH183" s="1035">
        <f t="shared" si="224"/>
        <v>0.75908999999999971</v>
      </c>
      <c r="AI183" s="1035">
        <f t="shared" si="224"/>
        <v>0.80648999999999971</v>
      </c>
      <c r="AJ183" s="1035">
        <f t="shared" si="224"/>
        <v>0.86768999999999974</v>
      </c>
      <c r="AK183" s="1035">
        <f t="shared" si="224"/>
        <v>0.91208999999999985</v>
      </c>
      <c r="AL183" s="1035">
        <f t="shared" si="224"/>
        <v>0.93308999999999997</v>
      </c>
      <c r="AM183" s="1035">
        <f t="shared" si="224"/>
        <v>0.95869000000000004</v>
      </c>
      <c r="AN183" s="1035">
        <f t="shared" si="224"/>
        <v>0.97609000000000001</v>
      </c>
      <c r="AO183" s="1035">
        <f t="shared" si="224"/>
        <v>0.98268999999999995</v>
      </c>
      <c r="AP183" s="1035">
        <f t="shared" si="224"/>
        <v>0.99229000000000001</v>
      </c>
      <c r="AQ183" s="1036">
        <f t="shared" si="224"/>
        <v>1.0000000000000002</v>
      </c>
      <c r="AR183" s="1035">
        <f t="shared" ref="AR183:BE183" si="225">AQ183+AR182</f>
        <v>1.0000000000000002</v>
      </c>
      <c r="AS183" s="1035">
        <f t="shared" si="225"/>
        <v>1.0000000000000002</v>
      </c>
      <c r="AT183" s="1035">
        <f t="shared" si="225"/>
        <v>1.0000000000000002</v>
      </c>
      <c r="AU183" s="1041">
        <f t="shared" si="225"/>
        <v>1.0000000000000002</v>
      </c>
      <c r="AV183" s="1041">
        <f t="shared" si="225"/>
        <v>1.0000000000000002</v>
      </c>
      <c r="AW183" s="1035">
        <f t="shared" si="225"/>
        <v>1.0000000000000002</v>
      </c>
      <c r="AX183" s="1035">
        <f t="shared" si="225"/>
        <v>1.0000000000000002</v>
      </c>
      <c r="AY183" s="1035">
        <f t="shared" si="225"/>
        <v>1.0000000000000002</v>
      </c>
      <c r="AZ183" s="1041">
        <f t="shared" si="225"/>
        <v>1.0000000000000002</v>
      </c>
      <c r="BA183" s="1041">
        <f t="shared" si="225"/>
        <v>1.0000000000000002</v>
      </c>
      <c r="BB183" s="1035">
        <f t="shared" si="225"/>
        <v>1.0000000000000002</v>
      </c>
      <c r="BC183" s="1035">
        <f t="shared" si="225"/>
        <v>1.0000000000000002</v>
      </c>
      <c r="BD183" s="1035">
        <f t="shared" si="225"/>
        <v>1.0000000000000002</v>
      </c>
      <c r="BE183" s="1035">
        <f t="shared" si="225"/>
        <v>1.0000000000000002</v>
      </c>
      <c r="BF183" s="1035">
        <f t="shared" ref="BF183:BU183" si="226">BE183+BF182</f>
        <v>1.0000000000000002</v>
      </c>
      <c r="BG183" s="1035">
        <f t="shared" si="226"/>
        <v>1.0000000000000002</v>
      </c>
      <c r="BH183" s="1035">
        <f t="shared" si="226"/>
        <v>1.0000000000000002</v>
      </c>
      <c r="BI183" s="1035">
        <f t="shared" si="226"/>
        <v>1.0000000000000002</v>
      </c>
      <c r="BJ183" s="1035">
        <f t="shared" si="226"/>
        <v>1.0000000000000002</v>
      </c>
      <c r="BK183" s="1035">
        <f t="shared" si="226"/>
        <v>1.0000000000000002</v>
      </c>
      <c r="BL183" s="1035">
        <f t="shared" si="226"/>
        <v>1.0000000000000002</v>
      </c>
      <c r="BM183" s="1035">
        <f t="shared" si="226"/>
        <v>1.0000000000000002</v>
      </c>
      <c r="BN183" s="1035">
        <f t="shared" si="226"/>
        <v>1.0000000000000002</v>
      </c>
      <c r="BO183" s="1035">
        <f t="shared" si="226"/>
        <v>1.0000000000000002</v>
      </c>
      <c r="BP183" s="1035">
        <f t="shared" si="226"/>
        <v>1.0000000000000002</v>
      </c>
      <c r="BQ183" s="1035">
        <f t="shared" si="226"/>
        <v>1.0000000000000002</v>
      </c>
      <c r="BR183" s="1035">
        <f t="shared" si="226"/>
        <v>1.0000000000000002</v>
      </c>
      <c r="BS183" s="1035">
        <f t="shared" si="226"/>
        <v>1.0000000000000002</v>
      </c>
      <c r="BT183" s="1035">
        <f t="shared" si="226"/>
        <v>1.0000000000000002</v>
      </c>
      <c r="BU183" s="1035">
        <f t="shared" si="226"/>
        <v>1.0000000000000002</v>
      </c>
      <c r="BV183" s="1042">
        <f>BD183+BV182</f>
        <v>1.0000000000000002</v>
      </c>
      <c r="BW183" s="1042">
        <f t="shared" ref="BW183:BX183" si="227">BE183+BW182</f>
        <v>1.0000000000000002</v>
      </c>
      <c r="BX183" s="1042">
        <f t="shared" si="227"/>
        <v>1.0000000000000002</v>
      </c>
      <c r="BY183" s="1043"/>
      <c r="BZ183" s="1037"/>
      <c r="CA183" s="1038"/>
    </row>
    <row r="184" spans="2:79">
      <c r="B184" s="1044" t="s">
        <v>1094</v>
      </c>
      <c r="C184" s="1044"/>
      <c r="D184" s="1045" t="s">
        <v>1095</v>
      </c>
      <c r="E184" s="1046">
        <f>총괄장!P7</f>
        <v>2</v>
      </c>
      <c r="F184" s="1047"/>
      <c r="G184" s="1047"/>
      <c r="H184" s="1047"/>
      <c r="I184" s="1047"/>
      <c r="J184" s="1047"/>
      <c r="K184" s="1047"/>
      <c r="L184" s="1048"/>
      <c r="M184" s="1048">
        <f>IF(M186=1,(SUM($L$182:L182)-SUM(K$184:$L184)),0)</f>
        <v>0</v>
      </c>
      <c r="N184" s="1048">
        <f>IF(N186=1,(SUM($L$182:M182)-SUM(L$184:$L184)),0)</f>
        <v>0</v>
      </c>
      <c r="O184" s="1048">
        <f>IF(O186=1,(SUM($L$182:N182)-SUM($L$184:M184)),0)</f>
        <v>0</v>
      </c>
      <c r="P184" s="1048">
        <f>IF(P186=1,(SUM($L$182:O182)-SUM($L$184:N184)),0)</f>
        <v>6.7999999999999988E-3</v>
      </c>
      <c r="Q184" s="1048">
        <f>IF(Q186=1,(SUM($L$182:P182)-SUM($L$184:O184)),0)</f>
        <v>0</v>
      </c>
      <c r="R184" s="1048">
        <f>IF(R186=1,(SUM($L$182:Q182)-SUM($L$184:P184)),0)</f>
        <v>1.6799999999999995E-2</v>
      </c>
      <c r="S184" s="1048">
        <f>IF(S186=1,(SUM($L$182:R182)-SUM($L$184:Q184)),0)</f>
        <v>0</v>
      </c>
      <c r="T184" s="1048">
        <f>IF(T186=1,(SUM($L$182:S182)-SUM($L$184:R184)),0)</f>
        <v>3.2399999999999984E-2</v>
      </c>
      <c r="U184" s="1048">
        <f>IF(U186=1,(SUM($L$182:T182)-SUM($L$184:S184)),0)</f>
        <v>0</v>
      </c>
      <c r="V184" s="1048">
        <f>IF(V186=1,(SUM($L$182:U182)-SUM($L$184:T184)),0)</f>
        <v>6.0799999999999979E-2</v>
      </c>
      <c r="W184" s="1048">
        <f>IF(W186=1,(SUM($L$182:V182)-SUM($L$184:U184)),0)</f>
        <v>0</v>
      </c>
      <c r="X184" s="1048">
        <f>IF(X186=1,(SUM($L$182:W182)-SUM($L$184:V184)),0)</f>
        <v>7.5600000000000001E-2</v>
      </c>
      <c r="Y184" s="1048">
        <f>IF(Y186=1,(SUM($L$182:X182)-SUM($L$184:W184)),0)</f>
        <v>0</v>
      </c>
      <c r="Z184" s="1048">
        <f>IF(Z186=1,(SUM($L$182:Y182)-SUM($L$184:X184)),0)</f>
        <v>9.5600000000000018E-2</v>
      </c>
      <c r="AA184" s="1048">
        <f>IF(AA186=1,(SUM($L$182:Z182)-SUM($L$184:Y184)),0)</f>
        <v>0</v>
      </c>
      <c r="AB184" s="1048">
        <f>IF(AB186=1,(SUM($L$182:AA182)-SUM($L$184:Z184)),0)</f>
        <v>0.10259999999999991</v>
      </c>
      <c r="AC184" s="1048">
        <f>IF(AC186=1,(SUM($L$182:AB182)-SUM($L$184:AA184)),0)</f>
        <v>0</v>
      </c>
      <c r="AD184" s="1048">
        <f>IF(AD186=1,(SUM($L$182:AC182)-SUM($L$184:AB184)),0)</f>
        <v>8.5799999999999987E-2</v>
      </c>
      <c r="AE184" s="1048">
        <f>IF(AE186=1,(SUM($L$182:AD182)-SUM($L$184:AC184)),0)</f>
        <v>0</v>
      </c>
      <c r="AF184" s="1048">
        <f>IF(AF186=1,(SUM($L$182:AE182)-SUM($L$184:AD184)),0)</f>
        <v>0.11860000000000009</v>
      </c>
      <c r="AG184" s="1048">
        <f>IF(AG186=1,(SUM($L$182:AF182)-SUM($L$184:AE184)),0)</f>
        <v>0</v>
      </c>
      <c r="AH184" s="1048">
        <f>IF(AH186=1,(SUM($L$182:AG182)-SUM($L$184:AF184)),0)</f>
        <v>0.1100899999999998</v>
      </c>
      <c r="AI184" s="1048">
        <f>IF(AI186=1,(SUM($L$182:AH182)-SUM($L$184:AG184)),0)</f>
        <v>0</v>
      </c>
      <c r="AJ184" s="1048">
        <f>IF(AJ186=1,(SUM($L$182:AI182)-SUM($L$184:AH184)),0)</f>
        <v>0.10139999999999993</v>
      </c>
      <c r="AK184" s="1048">
        <f>IF(AK186=1,(SUM($L$182:AJ182)-SUM($L$184:AI184)),0)</f>
        <v>0</v>
      </c>
      <c r="AL184" s="1048">
        <f>IF(AL186=1,(SUM($L$182:AK182)-SUM($L$184:AJ184)),0)</f>
        <v>0.10560000000000014</v>
      </c>
      <c r="AM184" s="1048">
        <f>IF(AM186=1,(SUM($L$182:AL182)-SUM($L$184:AK184)),0)</f>
        <v>0</v>
      </c>
      <c r="AN184" s="1048">
        <f>IF(AN186=1,(SUM($L$182:AM182)-SUM($L$184:AL184)),0)</f>
        <v>4.6600000000000197E-2</v>
      </c>
      <c r="AO184" s="1048">
        <f>IF(AO186=1,(SUM($L$182:AN182)-SUM($L$184:AM184)),0)</f>
        <v>0</v>
      </c>
      <c r="AP184" s="1048">
        <f>IF(AP186=1,(SUM($L$182:AO182)-SUM($L$184:AN184)),0)</f>
        <v>2.399999999999991E-2</v>
      </c>
      <c r="AQ184" s="1048">
        <f>IF(AQ186=1,(SUM($L$182:AP182)-SUM($L$184:AO184)),0)</f>
        <v>0</v>
      </c>
      <c r="AR184" s="1048">
        <f>IF(AR186=1,(SUM($L$182:AQ182)-SUM($L$184:AP184)),0)</f>
        <v>1.731000000000027E-2</v>
      </c>
      <c r="AS184" s="1048">
        <f>IF(AS186=1,(SUM($L$182:AR182)-SUM($L$184:AQ184)),0)</f>
        <v>0</v>
      </c>
      <c r="AT184" s="1048">
        <f>IF(AT186=1,(SUM($L$182:AS182)-SUM($L$184:AR184)),0)</f>
        <v>0</v>
      </c>
      <c r="AU184" s="1048">
        <f>IF(AU186=1,(SUM($L$182:AT182)-SUM($L$184:AS184)),0)</f>
        <v>0</v>
      </c>
      <c r="AV184" s="1048">
        <f>IF(AV186=1,(SUM($L$182:AU182)-SUM($L$184:AT184)),0)</f>
        <v>0</v>
      </c>
      <c r="AW184" s="1048">
        <f>IF(AW186=1,(SUM($L$182:AV182)-SUM($L$184:AU184)),0)</f>
        <v>0</v>
      </c>
      <c r="AX184" s="1048">
        <f>IF(AX186=1,(SUM($L$182:AW182)-SUM($L$184:AV184)),0)</f>
        <v>0</v>
      </c>
      <c r="AY184" s="1048">
        <f>IF(AY186=1,(SUM($L$182:AX182)-SUM($L$184:AW184)),0)</f>
        <v>0</v>
      </c>
      <c r="AZ184" s="1048">
        <f>IF(AZ186=1,(SUM($L$182:AY182)-SUM($L$184:AX184)),0)</f>
        <v>0</v>
      </c>
      <c r="BA184" s="1048">
        <f>IF(BA186=1,(SUM($L$182:AZ182)-SUM($L$184:AY184)),0)</f>
        <v>0</v>
      </c>
      <c r="BB184" s="1048">
        <f>IF(BB186=1,(SUM($L$182:BA182)-SUM($L$184:AZ184)),0)</f>
        <v>0</v>
      </c>
      <c r="BC184" s="1048">
        <f>IF(BC186=1,(SUM($L$182:BB182)-SUM($L$184:BA184)),0)</f>
        <v>0</v>
      </c>
      <c r="BD184" s="1048">
        <f>IF(BD186=1,(SUM($L$182:BC182)-SUM($L$184:BB184)),0)</f>
        <v>0</v>
      </c>
      <c r="BE184" s="1048">
        <f>IF(BE186=1,(SUM($L$182:BD182)-SUM($L$184:BC184)),0)</f>
        <v>0</v>
      </c>
      <c r="BF184" s="1048">
        <f>IF(BF186=1,(SUM($L$182:BE182)-SUM($L$184:BD184)),0)</f>
        <v>0</v>
      </c>
      <c r="BG184" s="1048">
        <f>IF(BG186=1,(SUM($L$182:BF182)-SUM($L$184:BE184)),0)</f>
        <v>0</v>
      </c>
      <c r="BH184" s="1048">
        <f>IF(BH186=1,(SUM($L$182:BG182)-SUM($L$184:BF184)),0)</f>
        <v>0</v>
      </c>
      <c r="BI184" s="1048">
        <f>IF(BI186=1,(SUM($L$182:BH182)-SUM($L$184:BG184)),0)</f>
        <v>0</v>
      </c>
      <c r="BJ184" s="1048">
        <f>IF(BJ186=1,(SUM($L$182:BI182)-SUM($L$184:BH184)),0)</f>
        <v>0</v>
      </c>
      <c r="BK184" s="1048">
        <f>IF(BK186=1,(SUM($L$182:BJ182)-SUM($L$184:BI184)),0)</f>
        <v>0</v>
      </c>
      <c r="BL184" s="1048">
        <f>IF(BL186=1,(SUM($L$182:BK182)-SUM($L$184:BJ184)),0)</f>
        <v>0</v>
      </c>
      <c r="BM184" s="1048">
        <f>IF(BM186=1,(SUM($L$182:BL182)-SUM($L$184:BK184)),0)</f>
        <v>0</v>
      </c>
      <c r="BN184" s="1048">
        <f>IF(BN186=1,(SUM($L$182:BM182)-SUM($L$184:BL184)),0)</f>
        <v>0</v>
      </c>
      <c r="BO184" s="1048">
        <f>IF(BO186=1,(SUM($L$182:BN182)-SUM($L$184:BM184)),0)</f>
        <v>0</v>
      </c>
      <c r="BP184" s="1048">
        <f>IF(BP186=1,(SUM($L$182:BO182)-SUM($L$184:BN184)),0)</f>
        <v>0</v>
      </c>
      <c r="BQ184" s="1048">
        <f>IF(BQ186=1,(SUM($L$182:BP182)-SUM($L$184:BO184)),0)</f>
        <v>0</v>
      </c>
      <c r="BR184" s="1048">
        <f>IF(BR186=1,(SUM($L$182:BQ182)-SUM($L$184:BP184)),0)</f>
        <v>0</v>
      </c>
      <c r="BS184" s="1048">
        <f>IF(BS186=1,(SUM($L$182:BR182)-SUM($L$184:BQ184)),0)</f>
        <v>0</v>
      </c>
      <c r="BT184" s="1048">
        <f>IF(BT186=1,(SUM($L$182:BS182)-SUM($L$184:BR184)),0)</f>
        <v>0</v>
      </c>
      <c r="BU184" s="1048">
        <f>IF(BU186=1,(SUM($L$182:BT182)-SUM($L$184:BS184)),0)</f>
        <v>0</v>
      </c>
      <c r="BV184" s="1048">
        <f>IF(BV186=1,(SUM($L$182:BU182)-SUM($L$184:BT184)),0)</f>
        <v>0</v>
      </c>
      <c r="BW184" s="1048">
        <f>IF(BW186=1,(SUM($L$182:BV182)-SUM($L$184:BU184)),0)</f>
        <v>0</v>
      </c>
      <c r="BX184" s="1048">
        <f>IF(BX186=1,(SUM($L$182:BW182)-SUM($L$184:BV184)),0)</f>
        <v>0</v>
      </c>
      <c r="BY184" s="1043"/>
      <c r="BZ184" s="1037"/>
      <c r="CA184" s="1038"/>
    </row>
    <row r="185" spans="2:79">
      <c r="B185" s="1044" t="s">
        <v>1096</v>
      </c>
      <c r="C185" s="1044"/>
      <c r="D185" s="1045"/>
      <c r="E185" s="1045"/>
      <c r="F185" s="1047"/>
      <c r="G185" s="1047"/>
      <c r="H185" s="1047"/>
      <c r="I185" s="1047"/>
      <c r="J185" s="1047"/>
      <c r="K185" s="1047"/>
      <c r="L185" s="1048"/>
      <c r="M185" s="1048">
        <f>L185+M184</f>
        <v>0</v>
      </c>
      <c r="N185" s="1048">
        <f t="shared" ref="N185:BD185" si="228">M185+N184</f>
        <v>0</v>
      </c>
      <c r="O185" s="1048">
        <f t="shared" si="228"/>
        <v>0</v>
      </c>
      <c r="P185" s="1048">
        <f t="shared" si="228"/>
        <v>6.7999999999999988E-3</v>
      </c>
      <c r="Q185" s="1048">
        <f t="shared" si="228"/>
        <v>6.7999999999999988E-3</v>
      </c>
      <c r="R185" s="1048">
        <f t="shared" si="228"/>
        <v>2.3599999999999996E-2</v>
      </c>
      <c r="S185" s="1048">
        <f t="shared" si="228"/>
        <v>2.3599999999999996E-2</v>
      </c>
      <c r="T185" s="1048">
        <f t="shared" si="228"/>
        <v>5.599999999999998E-2</v>
      </c>
      <c r="U185" s="1048">
        <f t="shared" si="228"/>
        <v>5.599999999999998E-2</v>
      </c>
      <c r="V185" s="1048">
        <f t="shared" si="228"/>
        <v>0.11679999999999996</v>
      </c>
      <c r="W185" s="1048">
        <f t="shared" si="228"/>
        <v>0.11679999999999996</v>
      </c>
      <c r="X185" s="1048">
        <f t="shared" si="228"/>
        <v>0.19239999999999996</v>
      </c>
      <c r="Y185" s="1048">
        <f t="shared" si="228"/>
        <v>0.19239999999999996</v>
      </c>
      <c r="Z185" s="1048">
        <f t="shared" si="228"/>
        <v>0.28799999999999998</v>
      </c>
      <c r="AA185" s="1048">
        <f t="shared" si="228"/>
        <v>0.28799999999999998</v>
      </c>
      <c r="AB185" s="1048">
        <f t="shared" si="228"/>
        <v>0.39059999999999989</v>
      </c>
      <c r="AC185" s="1048">
        <f t="shared" si="228"/>
        <v>0.39059999999999989</v>
      </c>
      <c r="AD185" s="1048">
        <f t="shared" si="228"/>
        <v>0.47639999999999988</v>
      </c>
      <c r="AE185" s="1048">
        <f t="shared" si="228"/>
        <v>0.47639999999999988</v>
      </c>
      <c r="AF185" s="1048">
        <f t="shared" si="228"/>
        <v>0.59499999999999997</v>
      </c>
      <c r="AG185" s="1048">
        <f t="shared" si="228"/>
        <v>0.59499999999999997</v>
      </c>
      <c r="AH185" s="1048">
        <f t="shared" si="228"/>
        <v>0.70508999999999977</v>
      </c>
      <c r="AI185" s="1048">
        <f t="shared" si="228"/>
        <v>0.70508999999999977</v>
      </c>
      <c r="AJ185" s="1048">
        <f t="shared" si="228"/>
        <v>0.80648999999999971</v>
      </c>
      <c r="AK185" s="1048">
        <f t="shared" si="228"/>
        <v>0.80648999999999971</v>
      </c>
      <c r="AL185" s="1048">
        <f t="shared" si="228"/>
        <v>0.91208999999999985</v>
      </c>
      <c r="AM185" s="1048">
        <f t="shared" si="228"/>
        <v>0.91208999999999985</v>
      </c>
      <c r="AN185" s="1048">
        <f t="shared" si="228"/>
        <v>0.95869000000000004</v>
      </c>
      <c r="AO185" s="1048">
        <f t="shared" si="228"/>
        <v>0.95869000000000004</v>
      </c>
      <c r="AP185" s="1048">
        <f t="shared" si="228"/>
        <v>0.98268999999999995</v>
      </c>
      <c r="AQ185" s="1048">
        <f t="shared" si="228"/>
        <v>0.98268999999999995</v>
      </c>
      <c r="AR185" s="1048">
        <f t="shared" si="228"/>
        <v>1.0000000000000002</v>
      </c>
      <c r="AS185" s="1048">
        <f t="shared" si="228"/>
        <v>1.0000000000000002</v>
      </c>
      <c r="AT185" s="1048">
        <f t="shared" si="228"/>
        <v>1.0000000000000002</v>
      </c>
      <c r="AU185" s="1048">
        <f t="shared" si="228"/>
        <v>1.0000000000000002</v>
      </c>
      <c r="AV185" s="1048">
        <f t="shared" si="228"/>
        <v>1.0000000000000002</v>
      </c>
      <c r="AW185" s="1048">
        <f t="shared" si="228"/>
        <v>1.0000000000000002</v>
      </c>
      <c r="AX185" s="1048">
        <f t="shared" si="228"/>
        <v>1.0000000000000002</v>
      </c>
      <c r="AY185" s="1048">
        <f t="shared" si="228"/>
        <v>1.0000000000000002</v>
      </c>
      <c r="AZ185" s="1048">
        <f t="shared" si="228"/>
        <v>1.0000000000000002</v>
      </c>
      <c r="BA185" s="1048">
        <f t="shared" si="228"/>
        <v>1.0000000000000002</v>
      </c>
      <c r="BB185" s="1048">
        <f t="shared" si="228"/>
        <v>1.0000000000000002</v>
      </c>
      <c r="BC185" s="1048">
        <f t="shared" si="228"/>
        <v>1.0000000000000002</v>
      </c>
      <c r="BD185" s="1048">
        <f t="shared" si="228"/>
        <v>1.0000000000000002</v>
      </c>
      <c r="BE185" s="1048">
        <f>BD185+BE184</f>
        <v>1.0000000000000002</v>
      </c>
      <c r="BF185" s="1048">
        <f t="shared" ref="BF185:BU185" si="229">BE185+BF184</f>
        <v>1.0000000000000002</v>
      </c>
      <c r="BG185" s="1048">
        <f t="shared" si="229"/>
        <v>1.0000000000000002</v>
      </c>
      <c r="BH185" s="1048">
        <f t="shared" si="229"/>
        <v>1.0000000000000002</v>
      </c>
      <c r="BI185" s="1048">
        <f t="shared" si="229"/>
        <v>1.0000000000000002</v>
      </c>
      <c r="BJ185" s="1048">
        <f t="shared" si="229"/>
        <v>1.0000000000000002</v>
      </c>
      <c r="BK185" s="1048">
        <f t="shared" si="229"/>
        <v>1.0000000000000002</v>
      </c>
      <c r="BL185" s="1048">
        <f t="shared" si="229"/>
        <v>1.0000000000000002</v>
      </c>
      <c r="BM185" s="1048">
        <f t="shared" si="229"/>
        <v>1.0000000000000002</v>
      </c>
      <c r="BN185" s="1048">
        <f t="shared" si="229"/>
        <v>1.0000000000000002</v>
      </c>
      <c r="BO185" s="1048">
        <f t="shared" si="229"/>
        <v>1.0000000000000002</v>
      </c>
      <c r="BP185" s="1048">
        <f t="shared" si="229"/>
        <v>1.0000000000000002</v>
      </c>
      <c r="BQ185" s="1048">
        <f t="shared" si="229"/>
        <v>1.0000000000000002</v>
      </c>
      <c r="BR185" s="1048">
        <f t="shared" si="229"/>
        <v>1.0000000000000002</v>
      </c>
      <c r="BS185" s="1048">
        <f t="shared" si="229"/>
        <v>1.0000000000000002</v>
      </c>
      <c r="BT185" s="1048">
        <f t="shared" si="229"/>
        <v>1.0000000000000002</v>
      </c>
      <c r="BU185" s="1048">
        <f t="shared" si="229"/>
        <v>1.0000000000000002</v>
      </c>
      <c r="BV185" s="1048">
        <f t="shared" ref="BV185" si="230">BU185+BV184</f>
        <v>1.0000000000000002</v>
      </c>
      <c r="BW185" s="1048">
        <f t="shared" ref="BW185" si="231">BV185+BW184</f>
        <v>1.0000000000000002</v>
      </c>
      <c r="BX185" s="1048">
        <f t="shared" ref="BX185" si="232">BW185+BX184</f>
        <v>1.0000000000000002</v>
      </c>
      <c r="BY185" s="1043"/>
      <c r="BZ185" s="1037"/>
      <c r="CA185" s="1038"/>
    </row>
    <row r="186" spans="2:79">
      <c r="B186" s="1044" t="s">
        <v>1097</v>
      </c>
      <c r="C186" s="1044"/>
      <c r="D186" s="1045"/>
      <c r="E186" s="1045"/>
      <c r="F186" s="1047"/>
      <c r="G186" s="1047"/>
      <c r="H186" s="1047"/>
      <c r="I186" s="1047"/>
      <c r="J186" s="1047"/>
      <c r="K186" s="1047"/>
      <c r="L186" s="1048"/>
      <c r="M186" s="1049">
        <f t="shared" ref="M186:AR186" si="233">(MOD(M8,$E$184)=1)*1</f>
        <v>0</v>
      </c>
      <c r="N186" s="1049">
        <f t="shared" si="233"/>
        <v>1</v>
      </c>
      <c r="O186" s="1049">
        <f t="shared" si="233"/>
        <v>0</v>
      </c>
      <c r="P186" s="1049">
        <f t="shared" si="233"/>
        <v>1</v>
      </c>
      <c r="Q186" s="1049">
        <f t="shared" si="233"/>
        <v>0</v>
      </c>
      <c r="R186" s="1049">
        <f t="shared" si="233"/>
        <v>1</v>
      </c>
      <c r="S186" s="1049">
        <f t="shared" si="233"/>
        <v>0</v>
      </c>
      <c r="T186" s="1049">
        <f t="shared" si="233"/>
        <v>1</v>
      </c>
      <c r="U186" s="1049">
        <f t="shared" si="233"/>
        <v>0</v>
      </c>
      <c r="V186" s="1049">
        <f t="shared" si="233"/>
        <v>1</v>
      </c>
      <c r="W186" s="1049">
        <f t="shared" si="233"/>
        <v>0</v>
      </c>
      <c r="X186" s="1049">
        <f t="shared" si="233"/>
        <v>1</v>
      </c>
      <c r="Y186" s="1049">
        <f t="shared" si="233"/>
        <v>0</v>
      </c>
      <c r="Z186" s="1049">
        <f t="shared" si="233"/>
        <v>1</v>
      </c>
      <c r="AA186" s="1049">
        <f t="shared" si="233"/>
        <v>0</v>
      </c>
      <c r="AB186" s="1049">
        <f t="shared" si="233"/>
        <v>1</v>
      </c>
      <c r="AC186" s="1049">
        <f t="shared" si="233"/>
        <v>0</v>
      </c>
      <c r="AD186" s="1049">
        <f t="shared" si="233"/>
        <v>1</v>
      </c>
      <c r="AE186" s="1049">
        <f t="shared" si="233"/>
        <v>0</v>
      </c>
      <c r="AF186" s="1049">
        <f t="shared" si="233"/>
        <v>1</v>
      </c>
      <c r="AG186" s="1049">
        <f t="shared" si="233"/>
        <v>0</v>
      </c>
      <c r="AH186" s="1049">
        <f t="shared" si="233"/>
        <v>1</v>
      </c>
      <c r="AI186" s="1049">
        <f t="shared" si="233"/>
        <v>0</v>
      </c>
      <c r="AJ186" s="1049">
        <f t="shared" si="233"/>
        <v>1</v>
      </c>
      <c r="AK186" s="1049">
        <f t="shared" si="233"/>
        <v>0</v>
      </c>
      <c r="AL186" s="1049">
        <f t="shared" si="233"/>
        <v>1</v>
      </c>
      <c r="AM186" s="1049">
        <f t="shared" si="233"/>
        <v>0</v>
      </c>
      <c r="AN186" s="1049">
        <f t="shared" si="233"/>
        <v>1</v>
      </c>
      <c r="AO186" s="1049">
        <f t="shared" si="233"/>
        <v>0</v>
      </c>
      <c r="AP186" s="1049">
        <f t="shared" si="233"/>
        <v>1</v>
      </c>
      <c r="AQ186" s="1049">
        <f t="shared" si="233"/>
        <v>0</v>
      </c>
      <c r="AR186" s="1049">
        <f t="shared" si="233"/>
        <v>1</v>
      </c>
      <c r="AS186" s="1049">
        <f t="shared" ref="AS186:BX186" si="234">(MOD(AS8,$E$184)=1)*1</f>
        <v>0</v>
      </c>
      <c r="AT186" s="1049">
        <f t="shared" si="234"/>
        <v>1</v>
      </c>
      <c r="AU186" s="1049">
        <f t="shared" si="234"/>
        <v>0</v>
      </c>
      <c r="AV186" s="1049">
        <f t="shared" si="234"/>
        <v>1</v>
      </c>
      <c r="AW186" s="1049">
        <f t="shared" si="234"/>
        <v>0</v>
      </c>
      <c r="AX186" s="1049">
        <f t="shared" si="234"/>
        <v>1</v>
      </c>
      <c r="AY186" s="1049">
        <f t="shared" si="234"/>
        <v>0</v>
      </c>
      <c r="AZ186" s="1049">
        <f t="shared" si="234"/>
        <v>1</v>
      </c>
      <c r="BA186" s="1049">
        <f t="shared" si="234"/>
        <v>0</v>
      </c>
      <c r="BB186" s="1049">
        <f t="shared" si="234"/>
        <v>1</v>
      </c>
      <c r="BC186" s="1049">
        <f t="shared" si="234"/>
        <v>0</v>
      </c>
      <c r="BD186" s="1049">
        <f t="shared" si="234"/>
        <v>1</v>
      </c>
      <c r="BE186" s="1049">
        <f t="shared" si="234"/>
        <v>0</v>
      </c>
      <c r="BF186" s="1049">
        <f t="shared" si="234"/>
        <v>1</v>
      </c>
      <c r="BG186" s="1049">
        <f t="shared" si="234"/>
        <v>0</v>
      </c>
      <c r="BH186" s="1049">
        <f t="shared" si="234"/>
        <v>1</v>
      </c>
      <c r="BI186" s="1049">
        <f t="shared" si="234"/>
        <v>0</v>
      </c>
      <c r="BJ186" s="1049">
        <f t="shared" si="234"/>
        <v>1</v>
      </c>
      <c r="BK186" s="1049">
        <f t="shared" si="234"/>
        <v>0</v>
      </c>
      <c r="BL186" s="1049">
        <f t="shared" si="234"/>
        <v>1</v>
      </c>
      <c r="BM186" s="1049">
        <f t="shared" si="234"/>
        <v>0</v>
      </c>
      <c r="BN186" s="1049">
        <f t="shared" si="234"/>
        <v>1</v>
      </c>
      <c r="BO186" s="1049">
        <f t="shared" si="234"/>
        <v>0</v>
      </c>
      <c r="BP186" s="1049">
        <f t="shared" si="234"/>
        <v>1</v>
      </c>
      <c r="BQ186" s="1049">
        <f t="shared" si="234"/>
        <v>0</v>
      </c>
      <c r="BR186" s="1049">
        <f t="shared" si="234"/>
        <v>1</v>
      </c>
      <c r="BS186" s="1049">
        <f t="shared" si="234"/>
        <v>0</v>
      </c>
      <c r="BT186" s="1049">
        <f t="shared" si="234"/>
        <v>1</v>
      </c>
      <c r="BU186" s="1049">
        <f t="shared" si="234"/>
        <v>0</v>
      </c>
      <c r="BV186" s="1049">
        <f t="shared" si="234"/>
        <v>1</v>
      </c>
      <c r="BW186" s="1049">
        <f t="shared" si="234"/>
        <v>0</v>
      </c>
      <c r="BX186" s="1049">
        <f t="shared" si="234"/>
        <v>1</v>
      </c>
      <c r="BY186" s="1043"/>
      <c r="BZ186" s="1037"/>
      <c r="CA186" s="1038"/>
    </row>
    <row r="187" spans="2:79">
      <c r="B187" s="1044" t="s">
        <v>1098</v>
      </c>
      <c r="C187" s="1044"/>
      <c r="D187" s="1045"/>
      <c r="E187" s="1045"/>
      <c r="F187" s="1047"/>
      <c r="G187" s="1047"/>
      <c r="H187" s="1047"/>
      <c r="I187" s="1047"/>
      <c r="J187" s="1047"/>
      <c r="K187" s="1047"/>
      <c r="L187" s="1048"/>
      <c r="M187" s="1049">
        <f>IF('사업수지표 '!$R$41&lt;M185,2,0)</f>
        <v>0</v>
      </c>
      <c r="N187" s="1049">
        <f>IF('사업수지표 '!$R$41&lt;N185,2,0)</f>
        <v>0</v>
      </c>
      <c r="O187" s="1049">
        <f>IF('사업수지표 '!$R$41&lt;O185,2,0)</f>
        <v>0</v>
      </c>
      <c r="P187" s="1049">
        <f>IF('사업수지표 '!$R$41&lt;P185,2,0)</f>
        <v>2</v>
      </c>
      <c r="Q187" s="1049">
        <f>IF('사업수지표 '!$R$41&lt;Q185,2,0)</f>
        <v>2</v>
      </c>
      <c r="R187" s="1049">
        <f>IF('사업수지표 '!$R$41&lt;R185,2,0)</f>
        <v>2</v>
      </c>
      <c r="S187" s="1049">
        <f>IF('사업수지표 '!$R$41&lt;S185,2,0)</f>
        <v>2</v>
      </c>
      <c r="T187" s="1049">
        <f>IF('사업수지표 '!$R$41&lt;T185,2,0)</f>
        <v>2</v>
      </c>
      <c r="U187" s="1049">
        <f>IF('사업수지표 '!$R$41&lt;U185,2,0)</f>
        <v>2</v>
      </c>
      <c r="V187" s="1049">
        <f>IF('사업수지표 '!$R$41&lt;V185,2,0)</f>
        <v>2</v>
      </c>
      <c r="W187" s="1049">
        <f>IF('사업수지표 '!$R$41&lt;W185,2,0)</f>
        <v>2</v>
      </c>
      <c r="X187" s="1049">
        <f>IF('사업수지표 '!$R$41&lt;X185,2,0)</f>
        <v>2</v>
      </c>
      <c r="Y187" s="1049">
        <f>IF('사업수지표 '!$R$41&lt;Y185,2,0)</f>
        <v>2</v>
      </c>
      <c r="Z187" s="1049">
        <f>IF('사업수지표 '!$R$41&lt;Z185,2,0)</f>
        <v>2</v>
      </c>
      <c r="AA187" s="1049">
        <f>IF('사업수지표 '!$R$41&lt;AA185,2,0)</f>
        <v>2</v>
      </c>
      <c r="AB187" s="1049">
        <f>IF('사업수지표 '!$R$41&lt;AB185,2,0)</f>
        <v>2</v>
      </c>
      <c r="AC187" s="1049">
        <f>IF('사업수지표 '!$R$41&lt;AC185,2,0)</f>
        <v>2</v>
      </c>
      <c r="AD187" s="1049">
        <f>IF('사업수지표 '!$R$41&lt;AD185,2,0)</f>
        <v>2</v>
      </c>
      <c r="AE187" s="1049">
        <f>IF('사업수지표 '!$R$41&lt;AE185,2,0)</f>
        <v>2</v>
      </c>
      <c r="AF187" s="1049">
        <f>IF('사업수지표 '!$R$41&lt;AF185,2,0)</f>
        <v>2</v>
      </c>
      <c r="AG187" s="1049">
        <f>IF('사업수지표 '!$R$41&lt;AG185,2,0)</f>
        <v>2</v>
      </c>
      <c r="AH187" s="1049">
        <f>IF('사업수지표 '!$R$41&lt;AH185,2,0)</f>
        <v>2</v>
      </c>
      <c r="AI187" s="1049">
        <f>IF('사업수지표 '!$R$41&lt;AI185,2,0)</f>
        <v>2</v>
      </c>
      <c r="AJ187" s="1049">
        <f>IF('사업수지표 '!$R$41&lt;AJ185,2,0)</f>
        <v>2</v>
      </c>
      <c r="AK187" s="1049">
        <f>IF('사업수지표 '!$R$41&lt;AK185,2,0)</f>
        <v>2</v>
      </c>
      <c r="AL187" s="1049">
        <f>IF('사업수지표 '!$R$41&lt;AL185,2,0)</f>
        <v>2</v>
      </c>
      <c r="AM187" s="1049">
        <f>IF('사업수지표 '!$R$41&lt;AM185,2,0)</f>
        <v>2</v>
      </c>
      <c r="AN187" s="1049">
        <f>IF('사업수지표 '!$R$41&lt;AN185,2,0)</f>
        <v>2</v>
      </c>
      <c r="AO187" s="1049">
        <f>IF('사업수지표 '!$R$41&lt;AO185,2,0)</f>
        <v>2</v>
      </c>
      <c r="AP187" s="1049">
        <f>IF('사업수지표 '!$R$41&lt;AP185,2,0)</f>
        <v>2</v>
      </c>
      <c r="AQ187" s="1049">
        <f>IF('사업수지표 '!$R$41&lt;AQ185,2,0)</f>
        <v>2</v>
      </c>
      <c r="AR187" s="1049">
        <f>IF('사업수지표 '!$R$41&lt;AR185,2,0)</f>
        <v>2</v>
      </c>
      <c r="AS187" s="1049">
        <f>IF('사업수지표 '!$R$41&lt;AS185,2,0)</f>
        <v>2</v>
      </c>
      <c r="AT187" s="1049">
        <f>IF('사업수지표 '!$R$41&lt;AT185,2,0)</f>
        <v>2</v>
      </c>
      <c r="AU187" s="1049">
        <f>IF('사업수지표 '!$R$41&lt;AU185,2,0)</f>
        <v>2</v>
      </c>
      <c r="AV187" s="1049">
        <f>IF('사업수지표 '!$R$41&lt;AV185,2,0)</f>
        <v>2</v>
      </c>
      <c r="AW187" s="1049">
        <f>IF('사업수지표 '!$R$41&lt;AW185,2,0)</f>
        <v>2</v>
      </c>
      <c r="AX187" s="1049">
        <f>IF('사업수지표 '!$R$41&lt;AX185,2,0)</f>
        <v>2</v>
      </c>
      <c r="AY187" s="1049">
        <f>IF('사업수지표 '!$R$41&lt;AY185,2,0)</f>
        <v>2</v>
      </c>
      <c r="AZ187" s="1049">
        <f>IF('사업수지표 '!$R$41&lt;AZ185,2,0)</f>
        <v>2</v>
      </c>
      <c r="BA187" s="1049">
        <f>IF('사업수지표 '!$R$41&lt;BA185,2,0)</f>
        <v>2</v>
      </c>
      <c r="BB187" s="1049">
        <f>IF('사업수지표 '!$R$41&lt;BB185,2,0)</f>
        <v>2</v>
      </c>
      <c r="BC187" s="1049">
        <f>IF('사업수지표 '!$R$41&lt;BC185,2,0)</f>
        <v>2</v>
      </c>
      <c r="BD187" s="1049">
        <f>IF('사업수지표 '!$R$41&lt;BD185,2,0)</f>
        <v>2</v>
      </c>
      <c r="BE187" s="1049">
        <f>IF('사업수지표 '!$R$41&lt;BE185,2,0)</f>
        <v>2</v>
      </c>
      <c r="BF187" s="1049">
        <f>IF('사업수지표 '!$R$41&lt;BF185,2,0)</f>
        <v>2</v>
      </c>
      <c r="BG187" s="1049">
        <f>IF('사업수지표 '!$R$41&lt;BG185,2,0)</f>
        <v>2</v>
      </c>
      <c r="BH187" s="1049">
        <f>IF('사업수지표 '!$R$41&lt;BH185,2,0)</f>
        <v>2</v>
      </c>
      <c r="BI187" s="1049">
        <f>IF('사업수지표 '!$R$41&lt;BI185,2,0)</f>
        <v>2</v>
      </c>
      <c r="BJ187" s="1049">
        <f>IF('사업수지표 '!$R$41&lt;BJ185,2,0)</f>
        <v>2</v>
      </c>
      <c r="BK187" s="1049">
        <f>IF('사업수지표 '!$R$41&lt;BK185,2,0)</f>
        <v>2</v>
      </c>
      <c r="BL187" s="1049">
        <f>IF('사업수지표 '!$R$41&lt;BL185,2,0)</f>
        <v>2</v>
      </c>
      <c r="BM187" s="1049">
        <f>IF('사업수지표 '!$R$41&lt;BM185,2,0)</f>
        <v>2</v>
      </c>
      <c r="BN187" s="1049">
        <f>IF('사업수지표 '!$R$41&lt;BN185,2,0)</f>
        <v>2</v>
      </c>
      <c r="BO187" s="1049">
        <f>IF('사업수지표 '!$R$41&lt;BO185,2,0)</f>
        <v>2</v>
      </c>
      <c r="BP187" s="1049">
        <f>IF('사업수지표 '!$R$41&lt;BP185,2,0)</f>
        <v>2</v>
      </c>
      <c r="BQ187" s="1049">
        <f>IF('사업수지표 '!$R$41&lt;BQ185,2,0)</f>
        <v>2</v>
      </c>
      <c r="BR187" s="1049">
        <f>IF('사업수지표 '!$R$41&lt;BR185,2,0)</f>
        <v>2</v>
      </c>
      <c r="BS187" s="1049">
        <f>IF('사업수지표 '!$R$41&lt;BS185,2,0)</f>
        <v>2</v>
      </c>
      <c r="BT187" s="1049">
        <f>IF('사업수지표 '!$R$41&lt;BT185,2,0)</f>
        <v>2</v>
      </c>
      <c r="BU187" s="1049">
        <f>IF('사업수지표 '!$R$41&lt;BU185,2,0)</f>
        <v>2</v>
      </c>
      <c r="BV187" s="1049">
        <f>IF('사업수지표 '!$R$41&lt;BV185,2,0)</f>
        <v>2</v>
      </c>
      <c r="BW187" s="1049">
        <f>IF('사업수지표 '!$R$41&lt;BW185,2,0)</f>
        <v>2</v>
      </c>
      <c r="BX187" s="1049">
        <f>IF('사업수지표 '!$R$41&lt;BX185,2,0)</f>
        <v>2</v>
      </c>
      <c r="BY187" s="1043"/>
      <c r="BZ187" s="1037"/>
      <c r="CA187" s="1038"/>
    </row>
    <row r="188" spans="2:79">
      <c r="B188" s="1044" t="s">
        <v>1187</v>
      </c>
      <c r="C188" s="1044"/>
      <c r="D188" s="1045"/>
      <c r="E188" s="1045"/>
      <c r="F188" s="1047"/>
      <c r="G188" s="1047"/>
      <c r="H188" s="1047"/>
      <c r="I188" s="1047"/>
      <c r="J188" s="1047"/>
      <c r="K188" s="1047"/>
      <c r="L188" s="1048"/>
      <c r="M188" s="1048">
        <v>1</v>
      </c>
      <c r="N188" s="1048">
        <f>1-M190</f>
        <v>1</v>
      </c>
      <c r="O188" s="1048">
        <f t="shared" ref="O188:BE188" si="235">1-N190</f>
        <v>1</v>
      </c>
      <c r="P188" s="1048">
        <f t="shared" si="235"/>
        <v>1</v>
      </c>
      <c r="Q188" s="1048">
        <f t="shared" si="235"/>
        <v>0.99319999999999997</v>
      </c>
      <c r="R188" s="1048">
        <f t="shared" si="235"/>
        <v>0.99319999999999997</v>
      </c>
      <c r="S188" s="1048">
        <f t="shared" si="235"/>
        <v>0.97640000000000005</v>
      </c>
      <c r="T188" s="1048">
        <f t="shared" si="235"/>
        <v>0.97640000000000005</v>
      </c>
      <c r="U188" s="1048">
        <f t="shared" si="235"/>
        <v>0.94400000000000006</v>
      </c>
      <c r="V188" s="1048">
        <f t="shared" si="235"/>
        <v>0.94400000000000006</v>
      </c>
      <c r="W188" s="1048">
        <f t="shared" si="235"/>
        <v>0.88319999999999999</v>
      </c>
      <c r="X188" s="1048">
        <f t="shared" si="235"/>
        <v>0.88319999999999999</v>
      </c>
      <c r="Y188" s="1048">
        <f t="shared" si="235"/>
        <v>0.8076000000000001</v>
      </c>
      <c r="Z188" s="1048">
        <f t="shared" si="235"/>
        <v>0.8076000000000001</v>
      </c>
      <c r="AA188" s="1048">
        <f t="shared" si="235"/>
        <v>0.71199999999999997</v>
      </c>
      <c r="AB188" s="1048">
        <f t="shared" si="235"/>
        <v>0.71199999999999997</v>
      </c>
      <c r="AC188" s="1048">
        <f t="shared" si="235"/>
        <v>0.60940000000000016</v>
      </c>
      <c r="AD188" s="1048">
        <f t="shared" si="235"/>
        <v>0.60940000000000016</v>
      </c>
      <c r="AE188" s="1048">
        <f t="shared" si="235"/>
        <v>0.52360000000000007</v>
      </c>
      <c r="AF188" s="1048">
        <f t="shared" si="235"/>
        <v>0.52360000000000007</v>
      </c>
      <c r="AG188" s="1048">
        <f t="shared" si="235"/>
        <v>0.40500000000000003</v>
      </c>
      <c r="AH188" s="1048">
        <f t="shared" si="235"/>
        <v>0.40500000000000003</v>
      </c>
      <c r="AI188" s="1048">
        <f t="shared" si="235"/>
        <v>0.29491000000000023</v>
      </c>
      <c r="AJ188" s="1048">
        <f t="shared" si="235"/>
        <v>0.29491000000000023</v>
      </c>
      <c r="AK188" s="1048">
        <f t="shared" si="235"/>
        <v>0.19351000000000029</v>
      </c>
      <c r="AL188" s="1048">
        <f t="shared" si="235"/>
        <v>0.19351000000000029</v>
      </c>
      <c r="AM188" s="1048">
        <f t="shared" si="235"/>
        <v>9.9999999999999978E-2</v>
      </c>
      <c r="AN188" s="1048">
        <f t="shared" si="235"/>
        <v>9.9999999999999978E-2</v>
      </c>
      <c r="AO188" s="1048">
        <f t="shared" si="235"/>
        <v>9.9999999999999978E-2</v>
      </c>
      <c r="AP188" s="1048">
        <f t="shared" si="235"/>
        <v>9.9999999999999978E-2</v>
      </c>
      <c r="AQ188" s="1048">
        <f t="shared" si="235"/>
        <v>9.9999999999999978E-2</v>
      </c>
      <c r="AR188" s="1048">
        <f t="shared" si="235"/>
        <v>9.9999999999999978E-2</v>
      </c>
      <c r="AS188" s="1048">
        <f t="shared" si="235"/>
        <v>9.9999999999999978E-2</v>
      </c>
      <c r="AT188" s="1048">
        <f t="shared" si="235"/>
        <v>9.9999999999999978E-2</v>
      </c>
      <c r="AU188" s="1048">
        <f t="shared" si="235"/>
        <v>9.9999999999999978E-2</v>
      </c>
      <c r="AV188" s="1048">
        <f t="shared" si="235"/>
        <v>9.9999999999999978E-2</v>
      </c>
      <c r="AW188" s="1048">
        <f t="shared" si="235"/>
        <v>9.9999999999999978E-2</v>
      </c>
      <c r="AX188" s="1048">
        <f t="shared" si="235"/>
        <v>9.9999999999999978E-2</v>
      </c>
      <c r="AY188" s="1048">
        <f t="shared" si="235"/>
        <v>9.9999999999999978E-2</v>
      </c>
      <c r="AZ188" s="1048">
        <f t="shared" si="235"/>
        <v>9.9999999999999978E-2</v>
      </c>
      <c r="BA188" s="1048">
        <f t="shared" si="235"/>
        <v>9.9999999999999978E-2</v>
      </c>
      <c r="BB188" s="1048">
        <f t="shared" si="235"/>
        <v>9.9999999999999978E-2</v>
      </c>
      <c r="BC188" s="1048">
        <f t="shared" si="235"/>
        <v>9.9999999999999978E-2</v>
      </c>
      <c r="BD188" s="1048">
        <f t="shared" si="235"/>
        <v>9.9999999999999978E-2</v>
      </c>
      <c r="BE188" s="1048">
        <f t="shared" si="235"/>
        <v>9.9999999999999978E-2</v>
      </c>
      <c r="BF188" s="1048">
        <f t="shared" ref="BF188:BU188" si="236">1-BE190</f>
        <v>9.9999999999999978E-2</v>
      </c>
      <c r="BG188" s="1048">
        <f t="shared" si="236"/>
        <v>9.9999999999999978E-2</v>
      </c>
      <c r="BH188" s="1048">
        <f t="shared" si="236"/>
        <v>9.9999999999999978E-2</v>
      </c>
      <c r="BI188" s="1048">
        <f t="shared" si="236"/>
        <v>9.9999999999999978E-2</v>
      </c>
      <c r="BJ188" s="1048">
        <f t="shared" si="236"/>
        <v>9.9999999999999978E-2</v>
      </c>
      <c r="BK188" s="1048">
        <f t="shared" si="236"/>
        <v>9.9999999999999978E-2</v>
      </c>
      <c r="BL188" s="1048">
        <f t="shared" si="236"/>
        <v>9.9999999999999978E-2</v>
      </c>
      <c r="BM188" s="1048">
        <f t="shared" si="236"/>
        <v>9.9999999999999978E-2</v>
      </c>
      <c r="BN188" s="1048">
        <f t="shared" si="236"/>
        <v>9.9999999999999978E-2</v>
      </c>
      <c r="BO188" s="1048">
        <f t="shared" si="236"/>
        <v>9.9999999999999978E-2</v>
      </c>
      <c r="BP188" s="1048">
        <f t="shared" si="236"/>
        <v>9.9999999999999978E-2</v>
      </c>
      <c r="BQ188" s="1048">
        <f t="shared" si="236"/>
        <v>9.9999999999999978E-2</v>
      </c>
      <c r="BR188" s="1048">
        <f t="shared" si="236"/>
        <v>9.9999999999999978E-2</v>
      </c>
      <c r="BS188" s="1048">
        <f t="shared" si="236"/>
        <v>9.9999999999999978E-2</v>
      </c>
      <c r="BT188" s="1048">
        <f t="shared" si="236"/>
        <v>9.9999999999999978E-2</v>
      </c>
      <c r="BU188" s="1048">
        <f t="shared" si="236"/>
        <v>9.9999999999999978E-2</v>
      </c>
      <c r="BV188" s="1048">
        <f t="shared" ref="BV188" si="237">1-BU190</f>
        <v>9.9999999999999978E-2</v>
      </c>
      <c r="BW188" s="1048">
        <f t="shared" ref="BW188" si="238">1-BV190</f>
        <v>9.9999999999999978E-2</v>
      </c>
      <c r="BX188" s="1048">
        <f t="shared" ref="BX188" si="239">1-BW190</f>
        <v>9.9999999999999978E-2</v>
      </c>
      <c r="BY188" s="1043"/>
      <c r="BZ188" s="1037"/>
      <c r="CA188" s="1038"/>
    </row>
    <row r="189" spans="2:79">
      <c r="B189" s="1044" t="s">
        <v>1189</v>
      </c>
      <c r="C189" s="1044"/>
      <c r="D189" s="1045"/>
      <c r="E189" s="1045"/>
      <c r="F189" s="1047"/>
      <c r="G189" s="1047"/>
      <c r="H189" s="1047"/>
      <c r="I189" s="1047"/>
      <c r="J189" s="1047"/>
      <c r="K189" s="1047"/>
      <c r="L189" s="1048"/>
      <c r="M189" s="1048">
        <f>IF((M186+M187)=1,M184,IF((M186+M187)=3,0,IF(M10="준공/입주",M188,0)))</f>
        <v>0</v>
      </c>
      <c r="N189" s="1048">
        <f>비용집행계획!I129</f>
        <v>0</v>
      </c>
      <c r="O189" s="1048">
        <f>비용집행계획!J129</f>
        <v>0</v>
      </c>
      <c r="P189" s="1048">
        <f>비용집행계획!K129</f>
        <v>6.7999999999999988E-3</v>
      </c>
      <c r="Q189" s="1048">
        <f>비용집행계획!L129</f>
        <v>0</v>
      </c>
      <c r="R189" s="1048">
        <f>비용집행계획!M129</f>
        <v>1.6799999999999995E-2</v>
      </c>
      <c r="S189" s="1048">
        <f>비용집행계획!N129</f>
        <v>0</v>
      </c>
      <c r="T189" s="1048">
        <f>비용집행계획!O129</f>
        <v>3.2399999999999984E-2</v>
      </c>
      <c r="U189" s="1048">
        <f>비용집행계획!P129</f>
        <v>0</v>
      </c>
      <c r="V189" s="1048">
        <f>비용집행계획!Q129</f>
        <v>6.0799999999999979E-2</v>
      </c>
      <c r="W189" s="1048">
        <f>비용집행계획!R129</f>
        <v>0</v>
      </c>
      <c r="X189" s="1048">
        <f>비용집행계획!S129</f>
        <v>7.5600000000000001E-2</v>
      </c>
      <c r="Y189" s="1048">
        <f>비용집행계획!T129</f>
        <v>0</v>
      </c>
      <c r="Z189" s="1048">
        <f>비용집행계획!U129</f>
        <v>9.5600000000000018E-2</v>
      </c>
      <c r="AA189" s="1048">
        <f>비용집행계획!V129</f>
        <v>0</v>
      </c>
      <c r="AB189" s="1048">
        <f>비용집행계획!W129</f>
        <v>0.10259999999999991</v>
      </c>
      <c r="AC189" s="1048">
        <f>비용집행계획!X129</f>
        <v>0</v>
      </c>
      <c r="AD189" s="1048">
        <f>비용집행계획!Y129</f>
        <v>8.5799999999999987E-2</v>
      </c>
      <c r="AE189" s="1048">
        <f>비용집행계획!Z129</f>
        <v>0</v>
      </c>
      <c r="AF189" s="1048">
        <f>비용집행계획!AA129</f>
        <v>0.11860000000000009</v>
      </c>
      <c r="AG189" s="1048">
        <f>비용집행계획!AB129</f>
        <v>0</v>
      </c>
      <c r="AH189" s="1048">
        <f>비용집행계획!AC129</f>
        <v>0.1100899999999998</v>
      </c>
      <c r="AI189" s="1048">
        <f>비용집행계획!AD129</f>
        <v>0</v>
      </c>
      <c r="AJ189" s="1048">
        <f>비용집행계획!AE129</f>
        <v>0.10139999999999993</v>
      </c>
      <c r="AK189" s="1048">
        <f>비용집행계획!AF129</f>
        <v>0</v>
      </c>
      <c r="AL189" s="1048">
        <f>비용집행계획!AG129</f>
        <v>9.3510000000000315E-2</v>
      </c>
      <c r="AM189" s="1048">
        <f>비용집행계획!AH129</f>
        <v>0</v>
      </c>
      <c r="AN189" s="1048">
        <f>비용집행계획!AI129</f>
        <v>0</v>
      </c>
      <c r="AO189" s="1048">
        <f>비용집행계획!AJ129</f>
        <v>0</v>
      </c>
      <c r="AP189" s="1048">
        <f>비용집행계획!AK129</f>
        <v>0</v>
      </c>
      <c r="AQ189" s="1048">
        <f>비용집행계획!AL129</f>
        <v>0</v>
      </c>
      <c r="AR189" s="1048">
        <f>비용집행계획!AM129</f>
        <v>0</v>
      </c>
      <c r="AS189" s="1048">
        <f>비용집행계획!AN129</f>
        <v>0</v>
      </c>
      <c r="AT189" s="1048">
        <f>비용집행계획!AO129</f>
        <v>0</v>
      </c>
      <c r="AU189" s="1048">
        <f>비용집행계획!AP129</f>
        <v>0</v>
      </c>
      <c r="AV189" s="1048">
        <f>비용집행계획!AQ129</f>
        <v>0</v>
      </c>
      <c r="AW189" s="1048">
        <f>비용집행계획!AR129</f>
        <v>0</v>
      </c>
      <c r="AX189" s="1048">
        <f>비용집행계획!AS129</f>
        <v>0</v>
      </c>
      <c r="AY189" s="1048">
        <f>비용집행계획!AT129</f>
        <v>0</v>
      </c>
      <c r="AZ189" s="1048">
        <f>비용집행계획!AU129</f>
        <v>0</v>
      </c>
      <c r="BA189" s="1048">
        <f>비용집행계획!AV129</f>
        <v>0</v>
      </c>
      <c r="BB189" s="1048">
        <f>비용집행계획!AW129</f>
        <v>0</v>
      </c>
      <c r="BC189" s="1048">
        <f>비용집행계획!AX129</f>
        <v>0</v>
      </c>
      <c r="BD189" s="1048">
        <f>비용집행계획!AY129</f>
        <v>0</v>
      </c>
      <c r="BE189" s="1048">
        <f>비용집행계획!AZ129</f>
        <v>0</v>
      </c>
      <c r="BF189" s="1048">
        <f>비용집행계획!BA129</f>
        <v>0</v>
      </c>
      <c r="BG189" s="1048">
        <f>비용집행계획!BB129</f>
        <v>0</v>
      </c>
      <c r="BH189" s="1048">
        <f>비용집행계획!BC129</f>
        <v>0</v>
      </c>
      <c r="BI189" s="1048">
        <f>비용집행계획!BD129</f>
        <v>0</v>
      </c>
      <c r="BJ189" s="1048">
        <f>비용집행계획!BE129</f>
        <v>0</v>
      </c>
      <c r="BK189" s="1048">
        <f>비용집행계획!BF129</f>
        <v>0</v>
      </c>
      <c r="BL189" s="1048">
        <f>비용집행계획!BG129</f>
        <v>0</v>
      </c>
      <c r="BM189" s="1048">
        <f>비용집행계획!BH129</f>
        <v>0</v>
      </c>
      <c r="BN189" s="1048">
        <f>비용집행계획!BI129</f>
        <v>0</v>
      </c>
      <c r="BO189" s="1048">
        <f>비용집행계획!BJ129</f>
        <v>0</v>
      </c>
      <c r="BP189" s="1048">
        <f>비용집행계획!BK129</f>
        <v>0</v>
      </c>
      <c r="BQ189" s="1048">
        <f>비용집행계획!BL129</f>
        <v>0</v>
      </c>
      <c r="BR189" s="1048">
        <f>비용집행계획!BM129</f>
        <v>0</v>
      </c>
      <c r="BS189" s="1048">
        <f>비용집행계획!BN129</f>
        <v>0</v>
      </c>
      <c r="BT189" s="1048">
        <f>비용집행계획!BO129</f>
        <v>0</v>
      </c>
      <c r="BU189" s="1048">
        <f>비용집행계획!BP129</f>
        <v>0</v>
      </c>
      <c r="BV189" s="1048">
        <f>비용집행계획!BQ129</f>
        <v>0</v>
      </c>
      <c r="BW189" s="1048">
        <f>비용집행계획!BR129</f>
        <v>0</v>
      </c>
      <c r="BX189" s="1048">
        <f>비용집행계획!BS129</f>
        <v>9.9999999999999978E-2</v>
      </c>
      <c r="BY189" s="1043"/>
      <c r="BZ189" s="1037"/>
      <c r="CA189" s="1038"/>
    </row>
    <row r="190" spans="2:79">
      <c r="B190" s="1044" t="s">
        <v>1099</v>
      </c>
      <c r="C190" s="1044"/>
      <c r="D190" s="1045"/>
      <c r="E190" s="1045"/>
      <c r="F190" s="1047"/>
      <c r="G190" s="1047"/>
      <c r="H190" s="1047"/>
      <c r="I190" s="1047"/>
      <c r="J190" s="1047"/>
      <c r="K190" s="1047"/>
      <c r="L190" s="1048"/>
      <c r="M190" s="1048">
        <f>L190+M189</f>
        <v>0</v>
      </c>
      <c r="N190" s="1048">
        <f t="shared" ref="N190:BD190" si="240">M190+N189</f>
        <v>0</v>
      </c>
      <c r="O190" s="1048">
        <f t="shared" si="240"/>
        <v>0</v>
      </c>
      <c r="P190" s="1048">
        <f t="shared" si="240"/>
        <v>6.7999999999999988E-3</v>
      </c>
      <c r="Q190" s="1048">
        <f t="shared" si="240"/>
        <v>6.7999999999999988E-3</v>
      </c>
      <c r="R190" s="1048">
        <f t="shared" si="240"/>
        <v>2.3599999999999996E-2</v>
      </c>
      <c r="S190" s="1048">
        <f t="shared" si="240"/>
        <v>2.3599999999999996E-2</v>
      </c>
      <c r="T190" s="1048">
        <f t="shared" si="240"/>
        <v>5.599999999999998E-2</v>
      </c>
      <c r="U190" s="1048">
        <f t="shared" si="240"/>
        <v>5.599999999999998E-2</v>
      </c>
      <c r="V190" s="1048">
        <f t="shared" si="240"/>
        <v>0.11679999999999996</v>
      </c>
      <c r="W190" s="1048">
        <f t="shared" si="240"/>
        <v>0.11679999999999996</v>
      </c>
      <c r="X190" s="1048">
        <f t="shared" si="240"/>
        <v>0.19239999999999996</v>
      </c>
      <c r="Y190" s="1048">
        <f t="shared" si="240"/>
        <v>0.19239999999999996</v>
      </c>
      <c r="Z190" s="1048">
        <f t="shared" si="240"/>
        <v>0.28799999999999998</v>
      </c>
      <c r="AA190" s="1048">
        <f t="shared" si="240"/>
        <v>0.28799999999999998</v>
      </c>
      <c r="AB190" s="1048">
        <f t="shared" si="240"/>
        <v>0.39059999999999989</v>
      </c>
      <c r="AC190" s="1048">
        <f t="shared" si="240"/>
        <v>0.39059999999999989</v>
      </c>
      <c r="AD190" s="1048">
        <f t="shared" si="240"/>
        <v>0.47639999999999988</v>
      </c>
      <c r="AE190" s="1048">
        <f t="shared" si="240"/>
        <v>0.47639999999999988</v>
      </c>
      <c r="AF190" s="1048">
        <f t="shared" si="240"/>
        <v>0.59499999999999997</v>
      </c>
      <c r="AG190" s="1048">
        <f t="shared" si="240"/>
        <v>0.59499999999999997</v>
      </c>
      <c r="AH190" s="1048">
        <f t="shared" si="240"/>
        <v>0.70508999999999977</v>
      </c>
      <c r="AI190" s="1048">
        <f t="shared" si="240"/>
        <v>0.70508999999999977</v>
      </c>
      <c r="AJ190" s="1048">
        <f t="shared" si="240"/>
        <v>0.80648999999999971</v>
      </c>
      <c r="AK190" s="1048">
        <f t="shared" si="240"/>
        <v>0.80648999999999971</v>
      </c>
      <c r="AL190" s="1048">
        <f t="shared" si="240"/>
        <v>0.9</v>
      </c>
      <c r="AM190" s="1048">
        <f t="shared" si="240"/>
        <v>0.9</v>
      </c>
      <c r="AN190" s="1048">
        <f t="shared" si="240"/>
        <v>0.9</v>
      </c>
      <c r="AO190" s="1048">
        <f t="shared" si="240"/>
        <v>0.9</v>
      </c>
      <c r="AP190" s="1048">
        <f t="shared" si="240"/>
        <v>0.9</v>
      </c>
      <c r="AQ190" s="1048">
        <f t="shared" si="240"/>
        <v>0.9</v>
      </c>
      <c r="AR190" s="1048">
        <f t="shared" si="240"/>
        <v>0.9</v>
      </c>
      <c r="AS190" s="1048">
        <f t="shared" si="240"/>
        <v>0.9</v>
      </c>
      <c r="AT190" s="1048">
        <f t="shared" si="240"/>
        <v>0.9</v>
      </c>
      <c r="AU190" s="1048">
        <f t="shared" si="240"/>
        <v>0.9</v>
      </c>
      <c r="AV190" s="1048">
        <f t="shared" si="240"/>
        <v>0.9</v>
      </c>
      <c r="AW190" s="1048">
        <f t="shared" si="240"/>
        <v>0.9</v>
      </c>
      <c r="AX190" s="1048">
        <f t="shared" si="240"/>
        <v>0.9</v>
      </c>
      <c r="AY190" s="1048">
        <f t="shared" si="240"/>
        <v>0.9</v>
      </c>
      <c r="AZ190" s="1048">
        <f t="shared" si="240"/>
        <v>0.9</v>
      </c>
      <c r="BA190" s="1048">
        <f t="shared" si="240"/>
        <v>0.9</v>
      </c>
      <c r="BB190" s="1048">
        <f t="shared" si="240"/>
        <v>0.9</v>
      </c>
      <c r="BC190" s="1048">
        <f t="shared" si="240"/>
        <v>0.9</v>
      </c>
      <c r="BD190" s="1048">
        <f t="shared" si="240"/>
        <v>0.9</v>
      </c>
      <c r="BE190" s="1048">
        <f>BD190+BE189</f>
        <v>0.9</v>
      </c>
      <c r="BF190" s="1048">
        <f t="shared" ref="BF190:BU190" si="241">BE190+BF189</f>
        <v>0.9</v>
      </c>
      <c r="BG190" s="1048">
        <f t="shared" si="241"/>
        <v>0.9</v>
      </c>
      <c r="BH190" s="1048">
        <f t="shared" si="241"/>
        <v>0.9</v>
      </c>
      <c r="BI190" s="1048">
        <f t="shared" si="241"/>
        <v>0.9</v>
      </c>
      <c r="BJ190" s="1048">
        <f t="shared" si="241"/>
        <v>0.9</v>
      </c>
      <c r="BK190" s="1048">
        <f t="shared" si="241"/>
        <v>0.9</v>
      </c>
      <c r="BL190" s="1048">
        <f t="shared" si="241"/>
        <v>0.9</v>
      </c>
      <c r="BM190" s="1048">
        <f t="shared" si="241"/>
        <v>0.9</v>
      </c>
      <c r="BN190" s="1048">
        <f t="shared" si="241"/>
        <v>0.9</v>
      </c>
      <c r="BO190" s="1048">
        <f t="shared" si="241"/>
        <v>0.9</v>
      </c>
      <c r="BP190" s="1048">
        <f t="shared" si="241"/>
        <v>0.9</v>
      </c>
      <c r="BQ190" s="1048">
        <f t="shared" si="241"/>
        <v>0.9</v>
      </c>
      <c r="BR190" s="1048">
        <f t="shared" si="241"/>
        <v>0.9</v>
      </c>
      <c r="BS190" s="1048">
        <f t="shared" si="241"/>
        <v>0.9</v>
      </c>
      <c r="BT190" s="1048">
        <f t="shared" si="241"/>
        <v>0.9</v>
      </c>
      <c r="BU190" s="1048">
        <f t="shared" si="241"/>
        <v>0.9</v>
      </c>
      <c r="BV190" s="1048">
        <f t="shared" ref="BV190" si="242">BU190+BV189</f>
        <v>0.9</v>
      </c>
      <c r="BW190" s="1048">
        <f t="shared" ref="BW190" si="243">BV190+BW189</f>
        <v>0.9</v>
      </c>
      <c r="BX190" s="1048">
        <f t="shared" ref="BX190" si="244">BW190+BX189</f>
        <v>1</v>
      </c>
      <c r="BY190" s="1043"/>
      <c r="BZ190" s="1037"/>
      <c r="CA190" s="1038"/>
    </row>
    <row r="191" spans="2:79">
      <c r="B191" s="1044"/>
      <c r="C191" s="1044"/>
      <c r="D191" s="1045"/>
      <c r="E191" s="1045"/>
      <c r="F191" s="1033"/>
      <c r="G191" s="1047"/>
      <c r="H191" s="1047"/>
      <c r="I191" s="1047"/>
      <c r="J191" s="1047"/>
      <c r="K191" s="1047"/>
      <c r="L191" s="1047"/>
      <c r="M191" s="1048"/>
      <c r="N191" s="1048"/>
      <c r="O191" s="1048"/>
      <c r="P191" s="1048"/>
      <c r="Q191" s="1048"/>
      <c r="R191" s="1048"/>
      <c r="S191" s="1048"/>
      <c r="T191" s="1048"/>
      <c r="U191" s="1048"/>
      <c r="V191" s="1048"/>
      <c r="W191" s="1048"/>
      <c r="X191" s="1048"/>
      <c r="Y191" s="1048"/>
      <c r="Z191" s="1048"/>
      <c r="AA191" s="1048"/>
      <c r="AB191" s="1048"/>
      <c r="AC191" s="1048"/>
      <c r="AD191" s="1048"/>
      <c r="AE191" s="1048"/>
      <c r="AF191" s="1048"/>
      <c r="AG191" s="1048"/>
      <c r="AH191" s="1048"/>
      <c r="AI191" s="1048"/>
      <c r="AJ191" s="1048"/>
      <c r="AK191" s="1048"/>
      <c r="AL191" s="1048"/>
      <c r="AM191" s="1048"/>
      <c r="AN191" s="1048"/>
      <c r="AO191" s="1048"/>
      <c r="AP191" s="1048"/>
      <c r="AQ191" s="1050"/>
      <c r="AR191" s="1048"/>
      <c r="AS191" s="1048"/>
      <c r="AT191" s="1048"/>
      <c r="AU191" s="1051"/>
      <c r="AV191" s="1051"/>
      <c r="AW191" s="1048"/>
      <c r="AX191" s="1048"/>
      <c r="AY191" s="1048"/>
      <c r="AZ191" s="1051"/>
      <c r="BA191" s="1051"/>
      <c r="BB191" s="1048"/>
      <c r="BC191" s="1048"/>
      <c r="BD191" s="1048"/>
      <c r="BE191" s="1048"/>
      <c r="BF191" s="1048"/>
      <c r="BG191" s="1048"/>
      <c r="BH191" s="1048"/>
      <c r="BI191" s="1048"/>
      <c r="BJ191" s="1048"/>
      <c r="BK191" s="1048"/>
      <c r="BL191" s="1048"/>
      <c r="BM191" s="1048"/>
      <c r="BN191" s="1048"/>
      <c r="BO191" s="1048"/>
      <c r="BP191" s="1048"/>
      <c r="BQ191" s="1048"/>
      <c r="BR191" s="1048"/>
      <c r="BS191" s="1048"/>
      <c r="BT191" s="1048"/>
      <c r="BU191" s="1048"/>
      <c r="BV191" s="1052"/>
      <c r="BW191" s="1052"/>
      <c r="BX191" s="1051"/>
      <c r="BY191" s="1043"/>
      <c r="BZ191" s="1037"/>
      <c r="CA191" s="1038"/>
    </row>
    <row r="192" spans="2:79">
      <c r="B192" s="1038"/>
      <c r="C192" s="1038"/>
      <c r="D192" s="1038"/>
      <c r="E192" s="1038"/>
      <c r="F192" s="1053" t="s">
        <v>1093</v>
      </c>
      <c r="G192" s="998"/>
      <c r="H192" s="998"/>
      <c r="I192" s="998"/>
      <c r="J192" s="998"/>
      <c r="K192" s="998"/>
      <c r="L192" s="998"/>
      <c r="M192" s="998"/>
      <c r="N192" s="998"/>
      <c r="O192" s="998"/>
      <c r="P192" s="998"/>
      <c r="Q192" s="998"/>
      <c r="R192" s="998"/>
      <c r="S192" s="998"/>
      <c r="T192" s="998"/>
      <c r="U192" s="998"/>
      <c r="V192" s="998"/>
      <c r="W192" s="998"/>
      <c r="X192" s="998"/>
      <c r="Y192" s="998"/>
      <c r="Z192" s="998"/>
      <c r="AA192" s="998"/>
      <c r="AB192" s="998"/>
      <c r="AC192" s="998"/>
      <c r="AD192" s="998"/>
      <c r="AE192" s="998"/>
      <c r="AF192" s="998"/>
      <c r="AG192" s="998"/>
      <c r="AH192" s="998"/>
      <c r="AI192" s="998"/>
      <c r="AJ192" s="998"/>
      <c r="AK192" s="998"/>
      <c r="AL192" s="998"/>
      <c r="AM192" s="998"/>
      <c r="AN192" s="998"/>
      <c r="AO192" s="998"/>
      <c r="AP192" s="998"/>
      <c r="AQ192" s="998"/>
      <c r="AR192" s="998"/>
      <c r="AS192" s="998"/>
      <c r="AT192" s="998"/>
      <c r="AU192" s="998"/>
      <c r="AV192" s="998"/>
      <c r="AW192" s="998"/>
      <c r="AX192" s="998"/>
      <c r="AY192" s="998"/>
      <c r="AZ192" s="998"/>
      <c r="BA192" s="998"/>
      <c r="BB192" s="998"/>
      <c r="BC192" s="998"/>
      <c r="BD192" s="998"/>
      <c r="BE192" s="998"/>
      <c r="BF192" s="998"/>
      <c r="BG192" s="998"/>
      <c r="BH192" s="998"/>
      <c r="BI192" s="998"/>
      <c r="BJ192" s="998"/>
      <c r="BK192" s="998"/>
      <c r="BL192" s="998"/>
      <c r="BM192" s="998"/>
      <c r="BN192" s="998"/>
      <c r="BO192" s="998"/>
      <c r="BP192" s="998"/>
      <c r="BQ192" s="998"/>
      <c r="BR192" s="998"/>
      <c r="BS192" s="998"/>
      <c r="BT192" s="998"/>
      <c r="BU192" s="998"/>
      <c r="BV192" s="1054" t="s">
        <v>1605</v>
      </c>
      <c r="BW192" s="1054"/>
      <c r="BX192" s="998"/>
      <c r="BY192" s="962"/>
      <c r="BZ192" s="1037"/>
      <c r="CA192" s="1038"/>
    </row>
    <row r="193" spans="1:80">
      <c r="B193" s="2360" t="str">
        <f>Equity!G6</f>
        <v>공동주택</v>
      </c>
      <c r="C193" s="2361"/>
      <c r="D193" s="2361"/>
      <c r="E193" s="2361"/>
      <c r="F193" s="1055"/>
      <c r="G193" s="1056"/>
      <c r="H193" s="1057"/>
      <c r="I193" s="1057"/>
      <c r="J193" s="1057"/>
      <c r="K193" s="1057"/>
      <c r="L193" s="1057"/>
      <c r="M193" s="1057"/>
      <c r="N193" s="1057"/>
      <c r="O193" s="1057"/>
      <c r="P193" s="1057"/>
      <c r="Q193" s="1057"/>
      <c r="R193" s="1057"/>
      <c r="S193" s="1057"/>
      <c r="T193" s="1057"/>
      <c r="U193" s="1057"/>
      <c r="V193" s="1057"/>
      <c r="W193" s="1057"/>
      <c r="X193" s="1057"/>
      <c r="Y193" s="1057"/>
      <c r="Z193" s="1057"/>
      <c r="AA193" s="1057"/>
      <c r="AB193" s="1057"/>
      <c r="AC193" s="1057"/>
      <c r="AD193" s="1057"/>
      <c r="AE193" s="1057"/>
      <c r="AF193" s="1057"/>
      <c r="AG193" s="1057"/>
      <c r="AH193" s="1057"/>
      <c r="AI193" s="1057"/>
      <c r="AJ193" s="1057"/>
      <c r="AK193" s="1057"/>
      <c r="AL193" s="1057"/>
      <c r="AM193" s="1057"/>
      <c r="AN193" s="1057"/>
      <c r="AO193" s="1057"/>
      <c r="AP193" s="1057"/>
      <c r="AQ193" s="1057"/>
      <c r="AR193" s="1057"/>
      <c r="AS193" s="1057"/>
      <c r="AT193" s="1057"/>
      <c r="AU193" s="1057"/>
      <c r="AV193" s="1057"/>
      <c r="AW193" s="1057"/>
      <c r="AX193" s="1057"/>
      <c r="AY193" s="1057"/>
      <c r="AZ193" s="1057"/>
      <c r="BA193" s="1057"/>
      <c r="BB193" s="1057"/>
      <c r="BC193" s="1057"/>
      <c r="BD193" s="1057"/>
      <c r="BE193" s="1057"/>
      <c r="BF193" s="1057"/>
      <c r="BG193" s="1057"/>
      <c r="BH193" s="1057"/>
      <c r="BI193" s="1057"/>
      <c r="BJ193" s="1057"/>
      <c r="BK193" s="1057"/>
      <c r="BL193" s="1057"/>
      <c r="BM193" s="1057"/>
      <c r="BN193" s="1057"/>
      <c r="BO193" s="1057"/>
      <c r="BP193" s="1057"/>
      <c r="BQ193" s="1057"/>
      <c r="BR193" s="1057"/>
      <c r="BS193" s="1057"/>
      <c r="BT193" s="1057"/>
      <c r="BU193" s="1057"/>
      <c r="BV193" s="1910">
        <f>비용집행계획!BQ8</f>
        <v>0.1</v>
      </c>
      <c r="BW193" s="1910">
        <f>비용집행계획!BR8</f>
        <v>0.2</v>
      </c>
      <c r="BX193" s="1910">
        <f>비용집행계획!BS8</f>
        <v>0.7</v>
      </c>
      <c r="BY193" s="2366" t="str">
        <f t="shared" ref="BY193:BY232" si="245">B193</f>
        <v>공동주택</v>
      </c>
      <c r="BZ193" s="2367"/>
      <c r="CA193" s="1038"/>
    </row>
    <row r="194" spans="1:80">
      <c r="B194" s="1059" t="s">
        <v>1034</v>
      </c>
      <c r="C194" s="1897"/>
      <c r="D194" s="1060">
        <f>Equity!H6</f>
        <v>0.1</v>
      </c>
      <c r="E194" s="1061">
        <f>(분양개요!$O$7)*D194</f>
        <v>15266214.5625</v>
      </c>
      <c r="F194" s="1062" t="b">
        <f t="shared" ref="F194:F202" si="246">CA194</f>
        <v>1</v>
      </c>
      <c r="G194" s="1056"/>
      <c r="H194" s="1057"/>
      <c r="I194" s="1057"/>
      <c r="J194" s="1057"/>
      <c r="K194" s="1057">
        <f t="shared" ref="K194:AP194" si="247">$E$194*K12</f>
        <v>0</v>
      </c>
      <c r="L194" s="1057">
        <f t="shared" si="247"/>
        <v>0</v>
      </c>
      <c r="M194" s="1057">
        <f t="shared" si="247"/>
        <v>0</v>
      </c>
      <c r="N194" s="1057">
        <f t="shared" si="247"/>
        <v>3053242.9125000001</v>
      </c>
      <c r="O194" s="1057">
        <f t="shared" si="247"/>
        <v>2289932.1843749997</v>
      </c>
      <c r="P194" s="1057">
        <f t="shared" si="247"/>
        <v>1831945.7474999998</v>
      </c>
      <c r="Q194" s="1057">
        <f t="shared" si="247"/>
        <v>1526621.45625</v>
      </c>
      <c r="R194" s="1057">
        <f t="shared" si="247"/>
        <v>1221297.165</v>
      </c>
      <c r="S194" s="1057">
        <f t="shared" si="247"/>
        <v>1068635.0193750001</v>
      </c>
      <c r="T194" s="1057">
        <f t="shared" si="247"/>
        <v>915972.87374999991</v>
      </c>
      <c r="U194" s="1057">
        <f t="shared" si="247"/>
        <v>763310.72812500002</v>
      </c>
      <c r="V194" s="1057">
        <f t="shared" si="247"/>
        <v>763310.72812500002</v>
      </c>
      <c r="W194" s="1057">
        <f t="shared" si="247"/>
        <v>610648.58250000002</v>
      </c>
      <c r="X194" s="1057">
        <f t="shared" si="247"/>
        <v>610648.58250000002</v>
      </c>
      <c r="Y194" s="1057">
        <f t="shared" si="247"/>
        <v>610648.58250000002</v>
      </c>
      <c r="Z194" s="1057">
        <f t="shared" si="247"/>
        <v>0</v>
      </c>
      <c r="AA194" s="1057">
        <f t="shared" si="247"/>
        <v>0</v>
      </c>
      <c r="AB194" s="1057">
        <f t="shared" si="247"/>
        <v>0</v>
      </c>
      <c r="AC194" s="1063">
        <f t="shared" si="247"/>
        <v>0</v>
      </c>
      <c r="AD194" s="1057">
        <f t="shared" si="247"/>
        <v>0</v>
      </c>
      <c r="AE194" s="1057">
        <f t="shared" si="247"/>
        <v>0</v>
      </c>
      <c r="AF194" s="1057">
        <f t="shared" si="247"/>
        <v>0</v>
      </c>
      <c r="AG194" s="1057">
        <f t="shared" si="247"/>
        <v>0</v>
      </c>
      <c r="AH194" s="1057">
        <f t="shared" si="247"/>
        <v>0</v>
      </c>
      <c r="AI194" s="1057">
        <f t="shared" si="247"/>
        <v>0</v>
      </c>
      <c r="AJ194" s="1057">
        <f t="shared" si="247"/>
        <v>0</v>
      </c>
      <c r="AK194" s="1057">
        <f t="shared" si="247"/>
        <v>0</v>
      </c>
      <c r="AL194" s="1057">
        <f t="shared" si="247"/>
        <v>0</v>
      </c>
      <c r="AM194" s="1057">
        <f t="shared" si="247"/>
        <v>0</v>
      </c>
      <c r="AN194" s="1057">
        <f t="shared" si="247"/>
        <v>0</v>
      </c>
      <c r="AO194" s="1057">
        <f t="shared" si="247"/>
        <v>0</v>
      </c>
      <c r="AP194" s="1057">
        <f t="shared" si="247"/>
        <v>0</v>
      </c>
      <c r="AQ194" s="1057">
        <f t="shared" ref="AQ194:BX194" si="248">$E$194*AQ12</f>
        <v>0</v>
      </c>
      <c r="AR194" s="1057">
        <f t="shared" si="248"/>
        <v>0</v>
      </c>
      <c r="AS194" s="1057">
        <f t="shared" si="248"/>
        <v>0</v>
      </c>
      <c r="AT194" s="1057">
        <f t="shared" si="248"/>
        <v>0</v>
      </c>
      <c r="AU194" s="1057">
        <f t="shared" si="248"/>
        <v>0</v>
      </c>
      <c r="AV194" s="1057">
        <f t="shared" si="248"/>
        <v>0</v>
      </c>
      <c r="AW194" s="1057">
        <f t="shared" si="248"/>
        <v>0</v>
      </c>
      <c r="AX194" s="1057">
        <f t="shared" si="248"/>
        <v>0</v>
      </c>
      <c r="AY194" s="1057">
        <f t="shared" si="248"/>
        <v>0</v>
      </c>
      <c r="AZ194" s="1057">
        <f t="shared" si="248"/>
        <v>0</v>
      </c>
      <c r="BA194" s="1057">
        <f t="shared" si="248"/>
        <v>0</v>
      </c>
      <c r="BB194" s="1057">
        <f t="shared" si="248"/>
        <v>0</v>
      </c>
      <c r="BC194" s="1057">
        <f t="shared" si="248"/>
        <v>0</v>
      </c>
      <c r="BD194" s="1057">
        <f t="shared" si="248"/>
        <v>0</v>
      </c>
      <c r="BE194" s="1057">
        <f t="shared" si="248"/>
        <v>0</v>
      </c>
      <c r="BF194" s="1057">
        <f t="shared" si="248"/>
        <v>0</v>
      </c>
      <c r="BG194" s="1057">
        <f t="shared" si="248"/>
        <v>0</v>
      </c>
      <c r="BH194" s="1057">
        <f t="shared" si="248"/>
        <v>0</v>
      </c>
      <c r="BI194" s="1057">
        <f t="shared" si="248"/>
        <v>0</v>
      </c>
      <c r="BJ194" s="1057">
        <f t="shared" si="248"/>
        <v>0</v>
      </c>
      <c r="BK194" s="1057">
        <f t="shared" si="248"/>
        <v>0</v>
      </c>
      <c r="BL194" s="1057">
        <f t="shared" si="248"/>
        <v>0</v>
      </c>
      <c r="BM194" s="1057">
        <f t="shared" si="248"/>
        <v>0</v>
      </c>
      <c r="BN194" s="1057">
        <f t="shared" si="248"/>
        <v>0</v>
      </c>
      <c r="BO194" s="1057">
        <f t="shared" si="248"/>
        <v>0</v>
      </c>
      <c r="BP194" s="1057">
        <f t="shared" si="248"/>
        <v>0</v>
      </c>
      <c r="BQ194" s="1057">
        <f t="shared" si="248"/>
        <v>0</v>
      </c>
      <c r="BR194" s="1057">
        <f t="shared" si="248"/>
        <v>0</v>
      </c>
      <c r="BS194" s="1057">
        <f t="shared" si="248"/>
        <v>0</v>
      </c>
      <c r="BT194" s="1057">
        <f t="shared" si="248"/>
        <v>0</v>
      </c>
      <c r="BU194" s="1057">
        <f t="shared" si="248"/>
        <v>0</v>
      </c>
      <c r="BV194" s="1058">
        <f t="shared" si="248"/>
        <v>0</v>
      </c>
      <c r="BW194" s="1058">
        <f t="shared" si="248"/>
        <v>0</v>
      </c>
      <c r="BX194" s="1058">
        <f t="shared" si="248"/>
        <v>0</v>
      </c>
      <c r="BY194" s="1064" t="str">
        <f t="shared" si="245"/>
        <v>계약금</v>
      </c>
      <c r="BZ194" s="1065">
        <f t="shared" ref="BZ194:BZ202" si="249">SUM(G194:BX194)</f>
        <v>15266214.562499998</v>
      </c>
      <c r="CA194" s="1066" t="b">
        <f t="shared" ref="CA194:CA202" si="250">ROUND(BZ194,0)=ROUND(E194,0)</f>
        <v>1</v>
      </c>
    </row>
    <row r="195" spans="1:80">
      <c r="A195">
        <v>1</v>
      </c>
      <c r="B195" s="1067">
        <v>1</v>
      </c>
      <c r="C195" s="1898"/>
      <c r="D195" s="1060">
        <f>IF(B195&lt;Equity!$D$27+1,Equity!$I$6/Equity!$D$27,0)</f>
        <v>9.9999999999999992E-2</v>
      </c>
      <c r="E195" s="1061">
        <f>(분양개요!$O$7)*D195</f>
        <v>15266214.562499998</v>
      </c>
      <c r="F195" s="1062" t="b">
        <f t="shared" si="246"/>
        <v>1</v>
      </c>
      <c r="G195" s="1056"/>
      <c r="H195" s="1057"/>
      <c r="I195" s="1057"/>
      <c r="J195" s="1057"/>
      <c r="K195" s="1057">
        <f>IF(SUM(K$10:$O10)&lt;$A$195,0,(K13*$E$195)-SUM(J$195:$N195))</f>
        <v>0</v>
      </c>
      <c r="L195" s="1057">
        <f>IF(SUM(L$10:$O10)&lt;$A$195,0,(L13*$E$195)-SUM(K$195:$N195))</f>
        <v>0</v>
      </c>
      <c r="M195" s="1057">
        <f>IF(SUM(M$10:$O10)&lt;$A$195,0,(M13*$E$195)-SUM(L$195:$N195))</f>
        <v>0</v>
      </c>
      <c r="N195" s="1057">
        <f>IF(SUM(N$10:$O10)&lt;$A$195,0,(N13*$E$195)-SUM(M$195:$N195))</f>
        <v>0</v>
      </c>
      <c r="O195" s="1057">
        <f>IF(SUM(O$10:$O10)&lt;$A$195,0,(O13*$E$195)-SUM(N$195:$N195))</f>
        <v>0</v>
      </c>
      <c r="P195" s="1057">
        <f>IF(SUM($O$10:P10)&lt;$A$195,0,(P13*$E$195)-SUM($N$195:O195))</f>
        <v>0</v>
      </c>
      <c r="Q195" s="1057">
        <f>IF(SUM($O$10:Q10)&lt;$A$195,0,(Q13*$E$195)-SUM($N$195:P195))</f>
        <v>0</v>
      </c>
      <c r="R195" s="1057">
        <f>IF(SUM($O$10:R10)&lt;$A$195,0,(R13*$E$195)-SUM($N$195:Q195))</f>
        <v>9923039.4656249974</v>
      </c>
      <c r="S195" s="1057">
        <f>IF(SUM($O$10:S10)&lt;$A$195,0,(S13*$E$195)-SUM($N$195:R195))</f>
        <v>1068635.0193750001</v>
      </c>
      <c r="T195" s="1057">
        <f>IF(SUM($O$10:T10)&lt;$A$195,0,(T13*$E$195)-SUM($N$195:S195))</f>
        <v>915972.87375000119</v>
      </c>
      <c r="U195" s="1057">
        <f>IF(SUM($O$10:U10)&lt;$A$195,0,(U13*$E$195)-SUM($N$195:T195))</f>
        <v>763310.72812500037</v>
      </c>
      <c r="V195" s="1057">
        <f>IF(SUM($O$10:V10)&lt;$A$195,0,(V13*$E$195)-SUM($N$195:U195))</f>
        <v>763310.72812500037</v>
      </c>
      <c r="W195" s="1057">
        <f>IF(SUM($O$10:W10)&lt;$A$195,0,(W13*$E$195)-SUM($N$195:V195))</f>
        <v>610648.58250000142</v>
      </c>
      <c r="X195" s="1057">
        <f>IF(SUM($O$10:X10)&lt;$A$195,0,(X13*$E$195)-SUM($N$195:W195))</f>
        <v>610648.58249999955</v>
      </c>
      <c r="Y195" s="1057">
        <f>IF(SUM($O$10:Y10)&lt;$A$195,0,(Y13*$E$195)-SUM($N$195:X195))</f>
        <v>610648.58250000142</v>
      </c>
      <c r="Z195" s="1057">
        <f>IF(SUM($O$10:Z10)&lt;$A$195,0,(Z13*$E$195)-SUM($N$195:Y195))</f>
        <v>0</v>
      </c>
      <c r="AA195" s="1057">
        <f>IF(SUM($O$10:AA10)&lt;$A$195,0,(AA13*$E$195)-SUM($N$195:Z195))</f>
        <v>0</v>
      </c>
      <c r="AB195" s="1057">
        <f>IF(SUM($O$10:AB10)&lt;$A$195,0,(AB13*$E$195)-SUM($N$195:AA195))</f>
        <v>0</v>
      </c>
      <c r="AC195" s="1057">
        <f>IF(SUM($O$10:AC10)&lt;$A$195,0,(AC13*$E$195)-SUM($N$195:AB195))</f>
        <v>0</v>
      </c>
      <c r="AD195" s="1057">
        <f>IF(SUM($O$10:AD10)&lt;$A$195,0,(AD13*$E$195)-SUM($N$195:AC195))</f>
        <v>0</v>
      </c>
      <c r="AE195" s="1057">
        <f>IF(SUM($O$10:AE10)&lt;$A$195,0,(AE13*$E$195)-SUM($N$195:AD195))</f>
        <v>0</v>
      </c>
      <c r="AF195" s="1057">
        <f>IF(SUM($O$10:AF10)&lt;$A$195,0,(AF13*$E$195)-SUM($N$195:AE195))</f>
        <v>0</v>
      </c>
      <c r="AG195" s="1057">
        <f>IF(SUM($O$10:AG10)&lt;$A$195,0,(AG13*$E$195)-SUM($N$195:AF195))</f>
        <v>0</v>
      </c>
      <c r="AH195" s="1057">
        <f>IF(SUM($O$10:AH10)&lt;$A$195,0,(AH13*$E$195)-SUM($N$195:AG195))</f>
        <v>0</v>
      </c>
      <c r="AI195" s="1057">
        <f>IF(SUM($O$10:AI10)&lt;$A$195,0,(AI13*$E$195)-SUM($N$195:AH195))</f>
        <v>0</v>
      </c>
      <c r="AJ195" s="1057">
        <f>IF(SUM($O$10:AJ10)&lt;$A$195,0,(AJ13*$E$195)-SUM($N$195:AI195))</f>
        <v>0</v>
      </c>
      <c r="AK195" s="1057">
        <f>IF(SUM($O$10:AK10)&lt;$A$195,0,(AK13*$E$195)-SUM($N$195:AJ195))</f>
        <v>0</v>
      </c>
      <c r="AL195" s="1057">
        <f>IF(SUM($O$10:AL10)&lt;$A$195,0,(AL13*$E$195)-SUM($N$195:AK195))</f>
        <v>0</v>
      </c>
      <c r="AM195" s="1057">
        <f>IF(SUM($O$10:AM10)&lt;$A$195,0,(AM13*$E$195)-SUM($N$195:AL195))</f>
        <v>0</v>
      </c>
      <c r="AN195" s="1057">
        <f>IF(SUM($O$10:AN10)&lt;$A$195,0,(AN13*$E$195)-SUM($N$195:AM195))</f>
        <v>0</v>
      </c>
      <c r="AO195" s="1057">
        <f>IF(SUM($O$10:AO10)&lt;$A$195,0,(AO13*$E$195)-SUM($N$195:AN195))</f>
        <v>0</v>
      </c>
      <c r="AP195" s="1057">
        <f>IF(SUM($O$10:AP10)&lt;$A$195,0,(AP13*$E$195)-SUM($N$195:AO195))</f>
        <v>0</v>
      </c>
      <c r="AQ195" s="1057">
        <f>IF(SUM($O$10:AQ10)&lt;$A$195,0,(AQ13*$E$195)-SUM($N$195:AP195))</f>
        <v>0</v>
      </c>
      <c r="AR195" s="1057">
        <f>IF(SUM($O$10:AR10)&lt;$A$195,0,(AR13*$E$195)-SUM($N$195:AQ195))</f>
        <v>0</v>
      </c>
      <c r="AS195" s="1057">
        <f>IF(SUM($O$10:AS10)&lt;$A$195,0,(AS13*$E$195)-SUM($N$195:AR195))</f>
        <v>0</v>
      </c>
      <c r="AT195" s="1057">
        <f>IF(SUM($O$10:AT10)&lt;$A$195,0,(AT13*$E$195)-SUM($N$195:AS195))</f>
        <v>0</v>
      </c>
      <c r="AU195" s="1057">
        <f>IF(SUM($O$10:AU10)&lt;$A$195,0,(AU13*$E$195)-SUM($N$195:AT195))</f>
        <v>0</v>
      </c>
      <c r="AV195" s="1057">
        <f>IF(SUM($O$10:AV10)&lt;$A$195,0,(AV13*$E$195)-SUM($N$195:AU195))</f>
        <v>0</v>
      </c>
      <c r="AW195" s="1057">
        <f>IF(SUM($O$10:AW10)&lt;$A$195,0,(AW13*$E$195)-SUM($N$195:AV195))</f>
        <v>0</v>
      </c>
      <c r="AX195" s="1057">
        <f>IF(SUM($O$10:AX10)&lt;$A$195,0,(AX13*$E$195)-SUM($N$195:AW195))</f>
        <v>0</v>
      </c>
      <c r="AY195" s="1057">
        <f>IF(SUM($O$10:AY10)&lt;$A$195,0,(AY13*$E$195)-SUM($N$195:AX195))</f>
        <v>0</v>
      </c>
      <c r="AZ195" s="1057">
        <f>IF(SUM($O$10:AZ10)&lt;$A$195,0,(AZ13*$E$195)-SUM($N$195:AY195))</f>
        <v>0</v>
      </c>
      <c r="BA195" s="1057">
        <f>IF(SUM($O$10:BA10)&lt;$A$195,0,(BA13*$E$195)-SUM($N$195:AZ195))</f>
        <v>0</v>
      </c>
      <c r="BB195" s="1057">
        <f>IF(SUM($O$10:BB10)&lt;$A$195,0,(BB13*$E$195)-SUM($N$195:BA195))</f>
        <v>0</v>
      </c>
      <c r="BC195" s="1057">
        <f>IF(SUM($O$10:BC10)&lt;$A$195,0,(BC13*$E$195)-SUM($N$195:BB195))</f>
        <v>0</v>
      </c>
      <c r="BD195" s="1057">
        <f>IF(SUM($O$10:BD10)&lt;$A$195,0,(BD13*$E$195)-SUM($N$195:BC195))</f>
        <v>0</v>
      </c>
      <c r="BE195" s="1057">
        <f>IF(SUM($O$10:BE10)&lt;$A$195,0,(BE13*$E$195)-SUM($N$195:BD195))</f>
        <v>0</v>
      </c>
      <c r="BF195" s="1057">
        <f>IF(SUM($O$10:BF10)&lt;$A$195,0,(BF13*$E$195)-SUM($N$195:BE195))</f>
        <v>0</v>
      </c>
      <c r="BG195" s="1057">
        <f>IF(SUM($O$10:BG10)&lt;$A$195,0,(BG13*$E$195)-SUM($N$195:BF195))</f>
        <v>0</v>
      </c>
      <c r="BH195" s="1057">
        <f>IF(SUM($O$10:BH10)&lt;$A$195,0,(BH13*$E$195)-SUM($N$195:BG195))</f>
        <v>0</v>
      </c>
      <c r="BI195" s="1057">
        <f>IF(SUM($O$10:BI10)&lt;$A$195,0,(BI13*$E$195)-SUM($N$195:BH195))</f>
        <v>0</v>
      </c>
      <c r="BJ195" s="1057">
        <f>IF(SUM($O$10:BJ10)&lt;$A$195,0,(BJ13*$E$195)-SUM($N$195:BI195))</f>
        <v>0</v>
      </c>
      <c r="BK195" s="1057">
        <f>IF(SUM($O$10:BK10)&lt;$A$195,0,(BK13*$E$195)-SUM($N$195:BJ195))</f>
        <v>0</v>
      </c>
      <c r="BL195" s="1057">
        <f>IF(SUM($O$10:BL10)&lt;$A$195,0,(BL13*$E$195)-SUM($N$195:BK195))</f>
        <v>0</v>
      </c>
      <c r="BM195" s="1057">
        <f>IF(SUM($O$10:BM10)&lt;$A$195,0,(BM13*$E$195)-SUM($N$195:BL195))</f>
        <v>0</v>
      </c>
      <c r="BN195" s="1057">
        <f>IF(SUM($O$10:BN10)&lt;$A$195,0,(BN13*$E$195)-SUM($N$195:BM195))</f>
        <v>0</v>
      </c>
      <c r="BO195" s="1057">
        <f>IF(SUM($O$10:BO10)&lt;$A$195,0,(BO13*$E$195)-SUM($N$195:BN195))</f>
        <v>0</v>
      </c>
      <c r="BP195" s="1057">
        <f>IF(SUM($O$10:BP10)&lt;$A$195,0,(BP13*$E$195)-SUM($N$195:BO195))</f>
        <v>0</v>
      </c>
      <c r="BQ195" s="1057">
        <f>IF(SUM($O$10:BQ10)&lt;$A$195,0,(BQ13*$E$195)-SUM($N$195:BP195))</f>
        <v>0</v>
      </c>
      <c r="BR195" s="1057">
        <f>IF(SUM($O$10:BR10)&lt;$A$195,0,(BR13*$E$195)-SUM($N$195:BQ195))</f>
        <v>0</v>
      </c>
      <c r="BS195" s="1057">
        <f>IF(SUM($O$10:BS10)&lt;$A$195,0,(BS13*$E$195)-SUM($N$195:BR195))</f>
        <v>0</v>
      </c>
      <c r="BT195" s="1057">
        <f>IF(SUM($O$10:BT10)&lt;$A$195,0,(BT13*$E$195)-SUM($N$195:BS195))</f>
        <v>0</v>
      </c>
      <c r="BU195" s="1057">
        <f>IF(SUM($O$10:BU10)&lt;$A$195,0,(BU13*$E$195)-SUM($N$195:BT195))</f>
        <v>0</v>
      </c>
      <c r="BV195" s="1057">
        <f>IF(SUM($O$10:BV10)&lt;$A$195,0,(BV13*$E$195)-SUM($N$195:BU195))</f>
        <v>0</v>
      </c>
      <c r="BW195" s="1057">
        <f>IF(SUM($O$10:BW10)&lt;$A$195,0,(BW13*$E$195)-SUM($N$195:BV195))</f>
        <v>0</v>
      </c>
      <c r="BX195" s="1057">
        <f>IF(SUM($O$10:BX10)&lt;$A$195,0,(BX13*$E$195)-SUM($N$195:BW195))</f>
        <v>0</v>
      </c>
      <c r="BY195" s="1067">
        <f t="shared" si="245"/>
        <v>1</v>
      </c>
      <c r="BZ195" s="1068">
        <f t="shared" si="249"/>
        <v>15266214.562500002</v>
      </c>
      <c r="CA195" s="1069" t="b">
        <f t="shared" si="250"/>
        <v>1</v>
      </c>
    </row>
    <row r="196" spans="1:80">
      <c r="A196" s="398">
        <v>3</v>
      </c>
      <c r="B196" s="1067">
        <v>2</v>
      </c>
      <c r="C196" s="1898"/>
      <c r="D196" s="1060">
        <f>IF(B196&lt;Equity!$D$27+1,Equity!$I$6/Equity!$D$27,0)</f>
        <v>9.9999999999999992E-2</v>
      </c>
      <c r="E196" s="1061">
        <f>(분양개요!$O$7)*D196</f>
        <v>15266214.562499998</v>
      </c>
      <c r="F196" s="1062" t="b">
        <f t="shared" si="246"/>
        <v>1</v>
      </c>
      <c r="G196" s="1056"/>
      <c r="H196" s="1057"/>
      <c r="I196" s="1057"/>
      <c r="J196" s="1057"/>
      <c r="K196" s="1057">
        <f>IF(SUM(K$10:$O10)&lt;$A$196,0,(K13*$E$196)-SUM(J$196:$N196))</f>
        <v>0</v>
      </c>
      <c r="L196" s="1057">
        <f>IF(SUM(L$10:$O10)&lt;$A$196,0,(L13*$E$196)-SUM(K$196:$N196))</f>
        <v>0</v>
      </c>
      <c r="M196" s="1057">
        <f>IF(SUM(M$10:$O10)&lt;$A$196,0,(M13*$E$196)-SUM(L$196:$N196))</f>
        <v>0</v>
      </c>
      <c r="N196" s="1057">
        <f>IF(SUM(N$10:$O10)&lt;$A$196,0,(N13*$E$196)-SUM(M$196:$N196))</f>
        <v>0</v>
      </c>
      <c r="O196" s="1057">
        <f>IF(SUM(O$10:$O10)&lt;$A$196,0,(O13*$E$196)-SUM(N$196:$N196))</f>
        <v>0</v>
      </c>
      <c r="P196" s="1057">
        <f>IF(SUM($O$10:P10)&lt;$A$196,0,(P13*$E$196)-SUM($N$196:O196))</f>
        <v>0</v>
      </c>
      <c r="Q196" s="1057">
        <f>IF(SUM($O$10:Q10)&lt;$A$196,0,(Q13*$E$196)-SUM($N$196:P196))</f>
        <v>0</v>
      </c>
      <c r="R196" s="1057">
        <f>IF(SUM($O$10:R10)&lt;$A$196,0,(R13*$E$196)-SUM($N$196:Q196))</f>
        <v>0</v>
      </c>
      <c r="S196" s="1057">
        <f>IF(SUM($O$10:S10)&lt;$A$196,0,(S13*$E$196)-SUM($N$196:R196))</f>
        <v>0</v>
      </c>
      <c r="T196" s="1057">
        <f>IF(SUM($O$10:T10)&lt;$A$196,0,(T13*$E$196)-SUM($N$196:S196))</f>
        <v>0</v>
      </c>
      <c r="U196" s="1057">
        <f>IF(SUM($O$10:U10)&lt;$A$196,0,(U13*$E$196)-SUM($N$196:T196))</f>
        <v>0</v>
      </c>
      <c r="V196" s="1057">
        <f>IF(SUM($O$10:V10)&lt;$A$196,0,(V13*$E$196)-SUM($N$196:U196))</f>
        <v>13434268.814999999</v>
      </c>
      <c r="W196" s="1057">
        <f>IF(SUM($O$10:W10)&lt;$A$196,0,(W13*$E$196)-SUM($N$196:V196))</f>
        <v>610648.58250000142</v>
      </c>
      <c r="X196" s="1057">
        <f>IF(SUM($O$10:X10)&lt;$A$196,0,(X13*$E$196)-SUM($N$196:W196))</f>
        <v>610648.58249999955</v>
      </c>
      <c r="Y196" s="1057">
        <f>IF(SUM($O$10:Y10)&lt;$A$196,0,(Y13*$E$196)-SUM($N$196:X196))</f>
        <v>610648.58250000142</v>
      </c>
      <c r="Z196" s="1057">
        <f>IF(SUM($O$10:Z10)&lt;$A$196,0,(Z13*$E$196)-SUM($N$196:Y196))</f>
        <v>0</v>
      </c>
      <c r="AA196" s="1057">
        <f>IF(SUM($O$10:AA10)&lt;$A$196,0,(AA13*$E$196)-SUM($N$196:Z196))</f>
        <v>0</v>
      </c>
      <c r="AB196" s="1057">
        <f>IF(SUM($O$10:AB10)&lt;$A$196,0,(AB13*$E$196)-SUM($N$196:AA196))</f>
        <v>0</v>
      </c>
      <c r="AC196" s="1057">
        <f>IF(SUM($O$10:AC10)&lt;$A$196,0,(AC13*$E$196)-SUM($N$196:AB196))</f>
        <v>0</v>
      </c>
      <c r="AD196" s="1057">
        <f>IF(SUM($O$10:AD10)&lt;$A$196,0,(AD13*$E$196)-SUM($N$196:AC196))</f>
        <v>0</v>
      </c>
      <c r="AE196" s="1057">
        <f>IF(SUM($O$10:AE10)&lt;$A$196,0,(AE13*$E$196)-SUM($N$196:AD196))</f>
        <v>0</v>
      </c>
      <c r="AF196" s="1057">
        <f>IF(SUM($O$10:AF10)&lt;$A$196,0,(AF13*$E$196)-SUM($N$196:AE196))</f>
        <v>0</v>
      </c>
      <c r="AG196" s="1057">
        <f>IF(SUM($O$10:AG10)&lt;$A$196,0,(AG13*$E$196)-SUM($N$196:AF196))</f>
        <v>0</v>
      </c>
      <c r="AH196" s="1057">
        <f>IF(SUM($O$10:AH10)&lt;$A$196,0,(AH13*$E$196)-SUM($N$196:AG196))</f>
        <v>0</v>
      </c>
      <c r="AI196" s="1057">
        <f>IF(SUM($O$10:AI10)&lt;$A$196,0,(AI13*$E$196)-SUM($N$196:AH196))</f>
        <v>0</v>
      </c>
      <c r="AJ196" s="1057">
        <f>IF(SUM($O$10:AJ10)&lt;$A$196,0,(AJ13*$E$196)-SUM($N$196:AI196))</f>
        <v>0</v>
      </c>
      <c r="AK196" s="1057">
        <f>IF(SUM($O$10:AK10)&lt;$A$196,0,(AK13*$E$196)-SUM($N$196:AJ196))</f>
        <v>0</v>
      </c>
      <c r="AL196" s="1057">
        <f>IF(SUM($O$10:AL10)&lt;$A$196,0,(AL13*$E$196)-SUM($N$196:AK196))</f>
        <v>0</v>
      </c>
      <c r="AM196" s="1057">
        <f>IF(SUM($O$10:AM10)&lt;$A$196,0,(AM13*$E$196)-SUM($N$196:AL196))</f>
        <v>0</v>
      </c>
      <c r="AN196" s="1057">
        <f>IF(SUM($O$10:AN10)&lt;$A$196,0,(AN13*$E$196)-SUM($N$196:AM196))</f>
        <v>0</v>
      </c>
      <c r="AO196" s="1057">
        <f>IF(SUM($O$10:AO10)&lt;$A$196,0,(AO13*$E$196)-SUM($N$196:AN196))</f>
        <v>0</v>
      </c>
      <c r="AP196" s="1057">
        <f>IF(SUM($O$10:AP10)&lt;$A$196,0,(AP13*$E$196)-SUM($N$196:AO196))</f>
        <v>0</v>
      </c>
      <c r="AQ196" s="1057">
        <f>IF(SUM($O$10:AQ10)&lt;$A$196,0,(AQ13*$E$196)-SUM($N$196:AP196))</f>
        <v>0</v>
      </c>
      <c r="AR196" s="1057">
        <f>IF(SUM($O$10:AR10)&lt;$A$196,0,(AR13*$E$196)-SUM($N$196:AQ196))</f>
        <v>0</v>
      </c>
      <c r="AS196" s="1057">
        <f>IF(SUM($O$10:AS10)&lt;$A$196,0,(AS13*$E$196)-SUM($N$196:AR196))</f>
        <v>0</v>
      </c>
      <c r="AT196" s="1057">
        <f>IF(SUM($O$10:AT10)&lt;$A$196,0,(AT13*$E$196)-SUM($N$196:AS196))</f>
        <v>0</v>
      </c>
      <c r="AU196" s="1057">
        <f>IF(SUM($O$10:AU10)&lt;$A$196,0,(AU13*$E$196)-SUM($N$196:AT196))</f>
        <v>0</v>
      </c>
      <c r="AV196" s="1057">
        <f>IF(SUM($O$10:AV10)&lt;$A$196,0,(AV13*$E$196)-SUM($N$196:AU196))</f>
        <v>0</v>
      </c>
      <c r="AW196" s="1057">
        <f>IF(SUM($O$10:AW10)&lt;$A$196,0,(AW13*$E$196)-SUM($N$196:AV196))</f>
        <v>0</v>
      </c>
      <c r="AX196" s="1057">
        <f>IF(SUM($O$10:AX10)&lt;$A$196,0,(AX13*$E$196)-SUM($N$196:AW196))</f>
        <v>0</v>
      </c>
      <c r="AY196" s="1057">
        <f>IF(SUM($O$10:AY10)&lt;$A$196,0,(AY13*$E$196)-SUM($N$196:AX196))</f>
        <v>0</v>
      </c>
      <c r="AZ196" s="1057">
        <f>IF(SUM($O$10:AZ10)&lt;$A$196,0,(AZ13*$E$196)-SUM($N$196:AY196))</f>
        <v>0</v>
      </c>
      <c r="BA196" s="1057">
        <f>IF(SUM($O$10:BA10)&lt;$A$196,0,(BA13*$E$196)-SUM($N$196:AZ196))</f>
        <v>0</v>
      </c>
      <c r="BB196" s="1057">
        <f>IF(SUM($O$10:BB10)&lt;$A$196,0,(BB13*$E$196)-SUM($N$196:BA196))</f>
        <v>0</v>
      </c>
      <c r="BC196" s="1057">
        <f>IF(SUM($O$10:BC10)&lt;$A$196,0,(BC13*$E$196)-SUM($N$196:BB196))</f>
        <v>0</v>
      </c>
      <c r="BD196" s="1057">
        <f>IF(SUM($O$10:BD10)&lt;$A$196,0,(BD13*$E$196)-SUM($N$196:BC196))</f>
        <v>0</v>
      </c>
      <c r="BE196" s="1057">
        <f>IF(SUM($O$10:BE10)&lt;$A$196,0,(BE13*$E$196)-SUM($N$196:BD196))</f>
        <v>0</v>
      </c>
      <c r="BF196" s="1057">
        <f>IF(SUM($O$10:BF10)&lt;$A$196,0,(BF13*$E$196)-SUM($N$196:BE196))</f>
        <v>0</v>
      </c>
      <c r="BG196" s="1057">
        <f>IF(SUM($O$10:BG10)&lt;$A$196,0,(BG13*$E$196)-SUM($N$196:BF196))</f>
        <v>0</v>
      </c>
      <c r="BH196" s="1057">
        <f>IF(SUM($O$10:BH10)&lt;$A$196,0,(BH13*$E$196)-SUM($N$196:BG196))</f>
        <v>0</v>
      </c>
      <c r="BI196" s="1057">
        <f>IF(SUM($O$10:BI10)&lt;$A$196,0,(BI13*$E$196)-SUM($N$196:BH196))</f>
        <v>0</v>
      </c>
      <c r="BJ196" s="1057">
        <f>IF(SUM($O$10:BJ10)&lt;$A$196,0,(BJ13*$E$196)-SUM($N$196:BI196))</f>
        <v>0</v>
      </c>
      <c r="BK196" s="1057">
        <f>IF(SUM($O$10:BK10)&lt;$A$196,0,(BK13*$E$196)-SUM($N$196:BJ196))</f>
        <v>0</v>
      </c>
      <c r="BL196" s="1057">
        <f>IF(SUM($O$10:BL10)&lt;$A$196,0,(BL13*$E$196)-SUM($N$196:BK196))</f>
        <v>0</v>
      </c>
      <c r="BM196" s="1057">
        <f>IF(SUM($O$10:BM10)&lt;$A$196,0,(BM13*$E$196)-SUM($N$196:BL196))</f>
        <v>0</v>
      </c>
      <c r="BN196" s="1057">
        <f>IF(SUM($O$10:BN10)&lt;$A$196,0,(BN13*$E$196)-SUM($N$196:BM196))</f>
        <v>0</v>
      </c>
      <c r="BO196" s="1057">
        <f>IF(SUM($O$10:BO10)&lt;$A$196,0,(BO13*$E$196)-SUM($N$196:BN196))</f>
        <v>0</v>
      </c>
      <c r="BP196" s="1057">
        <f>IF(SUM($O$10:BP10)&lt;$A$196,0,(BP13*$E$196)-SUM($N$196:BO196))</f>
        <v>0</v>
      </c>
      <c r="BQ196" s="1057">
        <f>IF(SUM($O$10:BQ10)&lt;$A$196,0,(BQ13*$E$196)-SUM($N$196:BP196))</f>
        <v>0</v>
      </c>
      <c r="BR196" s="1057">
        <f>IF(SUM($O$10:BR10)&lt;$A$196,0,(BR13*$E$196)-SUM($N$196:BQ196))</f>
        <v>0</v>
      </c>
      <c r="BS196" s="1057">
        <f>IF(SUM($O$10:BS10)&lt;$A$196,0,(BS13*$E$196)-SUM($N$196:BR196))</f>
        <v>0</v>
      </c>
      <c r="BT196" s="1057">
        <f>IF(SUM($O$10:BT10)&lt;$A$196,0,(BT13*$E$196)-SUM($N$196:BS196))</f>
        <v>0</v>
      </c>
      <c r="BU196" s="1057">
        <f>IF(SUM($O$10:BU10)&lt;$A$196,0,(BU13*$E$196)-SUM($N$196:BT196))</f>
        <v>0</v>
      </c>
      <c r="BV196" s="1057">
        <f>IF(SUM($O$10:BV10)&lt;$A$196,0,(BV13*$E$196)-SUM($N$196:BU196))</f>
        <v>0</v>
      </c>
      <c r="BW196" s="1057">
        <f>IF(SUM($O$10:BW10)&lt;$A$196,0,(BW13*$E$196)-SUM($N$196:BV196))</f>
        <v>0</v>
      </c>
      <c r="BX196" s="1057">
        <f>IF(SUM($O$10:BX10)&lt;$A$196,0,(BX13*$E$196)-SUM($N$196:BW196))</f>
        <v>0</v>
      </c>
      <c r="BY196" s="1067">
        <f t="shared" si="245"/>
        <v>2</v>
      </c>
      <c r="BZ196" s="1068">
        <f t="shared" si="249"/>
        <v>15266214.562500002</v>
      </c>
      <c r="CA196" s="1069" t="b">
        <f t="shared" si="250"/>
        <v>1</v>
      </c>
    </row>
    <row r="197" spans="1:80">
      <c r="A197" s="398">
        <v>6</v>
      </c>
      <c r="B197" s="1067">
        <v>3</v>
      </c>
      <c r="C197" s="1898"/>
      <c r="D197" s="1060">
        <f>IF(B197&lt;Equity!$D$27+1,Equity!$I$6/Equity!$D$27,0)</f>
        <v>9.9999999999999992E-2</v>
      </c>
      <c r="E197" s="1061">
        <f>(분양개요!$O$7)*D197</f>
        <v>15266214.562499998</v>
      </c>
      <c r="F197" s="1062" t="b">
        <f t="shared" si="246"/>
        <v>1</v>
      </c>
      <c r="G197" s="1056"/>
      <c r="H197" s="1057"/>
      <c r="I197" s="1057"/>
      <c r="J197" s="1057"/>
      <c r="K197" s="1057">
        <f>IF(SUM(K$10:$O10)&lt;$A$197,0,(K13*$E$197)-SUM(J$197:$N197))</f>
        <v>0</v>
      </c>
      <c r="L197" s="1057">
        <f>IF(SUM(L$10:$O10)&lt;$A$197,0,(L13*$E$197)-SUM(K$197:$N197))</f>
        <v>0</v>
      </c>
      <c r="M197" s="1057">
        <f>IF(SUM(M$10:$O10)&lt;$A$197,0,(M13*$E$197)-SUM(L$197:$N197))</f>
        <v>0</v>
      </c>
      <c r="N197" s="1057">
        <f>IF(SUM(N$10:$O10)&lt;$A$197,0,(N13*$E$197)-SUM(M$197:$N197))</f>
        <v>0</v>
      </c>
      <c r="O197" s="1057">
        <f>IF(SUM(O$10:$O10)&lt;$A$197,0,(O13*$E$197)-SUM(N$197:$N197))</f>
        <v>0</v>
      </c>
      <c r="P197" s="1057">
        <f>IF(SUM($O$10:P10)&lt;$A$197,0,(P13*$E$197)-SUM($N$197:O197))</f>
        <v>0</v>
      </c>
      <c r="Q197" s="1057">
        <f>IF(SUM($O$10:Q10)&lt;$A$197,0,(Q13*$E$197)-SUM($N$197:P197))</f>
        <v>0</v>
      </c>
      <c r="R197" s="1057">
        <f>IF(SUM($O$10:R10)&lt;$A$197,0,(R13*$E$197)-SUM($N$197:Q197))</f>
        <v>0</v>
      </c>
      <c r="S197" s="1057">
        <f>IF(SUM($O$10:S10)&lt;$A$197,0,(S13*$E$197)-SUM($N$197:R197))</f>
        <v>0</v>
      </c>
      <c r="T197" s="1057">
        <f>IF(SUM($O$10:T10)&lt;$A$197,0,(T13*$E$197)-SUM($N$197:S197))</f>
        <v>0</v>
      </c>
      <c r="U197" s="1057">
        <f>IF(SUM($O$10:U10)&lt;$A$197,0,(U13*$E$197)-SUM($N$197:T197))</f>
        <v>0</v>
      </c>
      <c r="V197" s="1057">
        <f>IF(SUM($O$10:V10)&lt;$A$197,0,(V13*$E$197)-SUM($N$197:U197))</f>
        <v>0</v>
      </c>
      <c r="W197" s="1057">
        <f>IF(SUM($O$10:W10)&lt;$A$197,0,(W13*$E$197)-SUM($N$197:V197))</f>
        <v>0</v>
      </c>
      <c r="X197" s="1057">
        <f>IF(SUM($O$10:X10)&lt;$A$197,0,(X13*$E$197)-SUM($N$197:W197))</f>
        <v>0</v>
      </c>
      <c r="Y197" s="1057">
        <f>IF(SUM($O$10:Y10)&lt;$A$197,0,(Y13*$E$197)-SUM($N$197:X197))</f>
        <v>0</v>
      </c>
      <c r="Z197" s="1057">
        <f>IF(SUM($O$10:Z10)&lt;$A$197,0,(Z13*$E$197)-SUM($N$197:Y197))</f>
        <v>15266214.562500002</v>
      </c>
      <c r="AA197" s="1057">
        <f>IF(SUM($O$10:AA10)&lt;$A$197,0,(AA13*$E$197)-SUM($N$197:Z197))</f>
        <v>0</v>
      </c>
      <c r="AB197" s="1057">
        <f>IF(SUM($O$10:AB10)&lt;$A$197,0,(AB13*$E$197)-SUM($N$197:AA197))</f>
        <v>0</v>
      </c>
      <c r="AC197" s="1057">
        <f>IF(SUM($O$10:AC10)&lt;$A$197,0,(AC13*$E$197)-SUM($N$197:AB197))</f>
        <v>0</v>
      </c>
      <c r="AD197" s="1057">
        <f>IF(SUM($O$10:AD10)&lt;$A$197,0,(AD13*$E$197)-SUM($N$197:AC197))</f>
        <v>0</v>
      </c>
      <c r="AE197" s="1057">
        <f>IF(SUM($O$10:AE10)&lt;$A$197,0,(AE13*$E$197)-SUM($N$197:AD197))</f>
        <v>0</v>
      </c>
      <c r="AF197" s="1057">
        <f>IF(SUM($O$10:AF10)&lt;$A$197,0,(AF13*$E$197)-SUM($N$197:AE197))</f>
        <v>0</v>
      </c>
      <c r="AG197" s="1057">
        <f>IF(SUM($O$10:AG10)&lt;$A$197,0,(AG13*$E$197)-SUM($N$197:AF197))</f>
        <v>0</v>
      </c>
      <c r="AH197" s="1057">
        <f>IF(SUM($O$10:AH10)&lt;$A$197,0,(AH13*$E$197)-SUM($N$197:AG197))</f>
        <v>0</v>
      </c>
      <c r="AI197" s="1057">
        <f>IF(SUM($O$10:AI10)&lt;$A$197,0,(AI13*$E$197)-SUM($N$197:AH197))</f>
        <v>0</v>
      </c>
      <c r="AJ197" s="1057">
        <f>IF(SUM($O$10:AJ10)&lt;$A$197,0,(AJ13*$E$197)-SUM($N$197:AI197))</f>
        <v>0</v>
      </c>
      <c r="AK197" s="1057">
        <f>IF(SUM($O$10:AK10)&lt;$A$197,0,(AK13*$E$197)-SUM($N$197:AJ197))</f>
        <v>0</v>
      </c>
      <c r="AL197" s="1057">
        <f>IF(SUM($O$10:AL10)&lt;$A$197,0,(AL13*$E$197)-SUM($N$197:AK197))</f>
        <v>0</v>
      </c>
      <c r="AM197" s="1057">
        <f>IF(SUM($O$10:AM10)&lt;$A$197,0,(AM13*$E$197)-SUM($N$197:AL197))</f>
        <v>0</v>
      </c>
      <c r="AN197" s="1057">
        <f>IF(SUM($O$10:AN10)&lt;$A$197,0,(AN13*$E$197)-SUM($N$197:AM197))</f>
        <v>0</v>
      </c>
      <c r="AO197" s="1057">
        <f>IF(SUM($O$10:AO10)&lt;$A$197,0,(AO13*$E$197)-SUM($N$197:AN197))</f>
        <v>0</v>
      </c>
      <c r="AP197" s="1057">
        <f>IF(SUM($O$10:AP10)&lt;$A$197,0,(AP13*$E$197)-SUM($N$197:AO197))</f>
        <v>0</v>
      </c>
      <c r="AQ197" s="1057">
        <f>IF(SUM($O$10:AQ10)&lt;$A$197,0,(AQ13*$E$197)-SUM($N$197:AP197))</f>
        <v>0</v>
      </c>
      <c r="AR197" s="1057">
        <f>IF(SUM($O$10:AR10)&lt;$A$197,0,(AR13*$E$197)-SUM($N$197:AQ197))</f>
        <v>0</v>
      </c>
      <c r="AS197" s="1057">
        <f>IF(SUM($O$10:AS10)&lt;$A$197,0,(AS13*$E$197)-SUM($N$197:AR197))</f>
        <v>0</v>
      </c>
      <c r="AT197" s="1057">
        <f>IF(SUM($O$10:AT10)&lt;$A$197,0,(AT13*$E$197)-SUM($N$197:AS197))</f>
        <v>0</v>
      </c>
      <c r="AU197" s="1057">
        <f>IF(SUM($O$10:AU10)&lt;$A$197,0,(AU13*$E$197)-SUM($N$197:AT197))</f>
        <v>0</v>
      </c>
      <c r="AV197" s="1057">
        <f>IF(SUM($O$10:AV10)&lt;$A$197,0,(AV13*$E$197)-SUM($N$197:AU197))</f>
        <v>0</v>
      </c>
      <c r="AW197" s="1057">
        <f>IF(SUM($O$10:AW10)&lt;$A$197,0,(AW13*$E$197)-SUM($N$197:AV197))</f>
        <v>0</v>
      </c>
      <c r="AX197" s="1057">
        <f>IF(SUM($O$10:AX10)&lt;$A$197,0,(AX13*$E$197)-SUM($N$197:AW197))</f>
        <v>0</v>
      </c>
      <c r="AY197" s="1057">
        <f>IF(SUM($O$10:AY10)&lt;$A$197,0,(AY13*$E$197)-SUM($N$197:AX197))</f>
        <v>0</v>
      </c>
      <c r="AZ197" s="1057">
        <f>IF(SUM($O$10:AZ10)&lt;$A$197,0,(AZ13*$E$197)-SUM($N$197:AY197))</f>
        <v>0</v>
      </c>
      <c r="BA197" s="1057">
        <f>IF(SUM($O$10:BA10)&lt;$A$197,0,(BA13*$E$197)-SUM($N$197:AZ197))</f>
        <v>0</v>
      </c>
      <c r="BB197" s="1057">
        <f>IF(SUM($O$10:BB10)&lt;$A$197,0,(BB13*$E$197)-SUM($N$197:BA197))</f>
        <v>0</v>
      </c>
      <c r="BC197" s="1057">
        <f>IF(SUM($O$10:BC10)&lt;$A$197,0,(BC13*$E$197)-SUM($N$197:BB197))</f>
        <v>0</v>
      </c>
      <c r="BD197" s="1057">
        <f>IF(SUM($O$10:BD10)&lt;$A$197,0,(BD13*$E$197)-SUM($N$197:BC197))</f>
        <v>0</v>
      </c>
      <c r="BE197" s="1057">
        <f>IF(SUM($O$10:BE10)&lt;$A$197,0,(BE13*$E$197)-SUM($N$197:BD197))</f>
        <v>0</v>
      </c>
      <c r="BF197" s="1057">
        <f>IF(SUM($O$10:BF10)&lt;$A$197,0,(BF13*$E$197)-SUM($N$197:BE197))</f>
        <v>0</v>
      </c>
      <c r="BG197" s="1057">
        <f>IF(SUM($O$10:BG10)&lt;$A$197,0,(BG13*$E$197)-SUM($N$197:BF197))</f>
        <v>0</v>
      </c>
      <c r="BH197" s="1057">
        <f>IF(SUM($O$10:BH10)&lt;$A$197,0,(BH13*$E$197)-SUM($N$197:BG197))</f>
        <v>0</v>
      </c>
      <c r="BI197" s="1057">
        <f>IF(SUM($O$10:BI10)&lt;$A$197,0,(BI13*$E$197)-SUM($N$197:BH197))</f>
        <v>0</v>
      </c>
      <c r="BJ197" s="1057">
        <f>IF(SUM($O$10:BJ10)&lt;$A$197,0,(BJ13*$E$197)-SUM($N$197:BI197))</f>
        <v>0</v>
      </c>
      <c r="BK197" s="1057">
        <f>IF(SUM($O$10:BK10)&lt;$A$197,0,(BK13*$E$197)-SUM($N$197:BJ197))</f>
        <v>0</v>
      </c>
      <c r="BL197" s="1057">
        <f>IF(SUM($O$10:BL10)&lt;$A$197,0,(BL13*$E$197)-SUM($N$197:BK197))</f>
        <v>0</v>
      </c>
      <c r="BM197" s="1057">
        <f>IF(SUM($O$10:BM10)&lt;$A$197,0,(BM13*$E$197)-SUM($N$197:BL197))</f>
        <v>0</v>
      </c>
      <c r="BN197" s="1057">
        <f>IF(SUM($O$10:BN10)&lt;$A$197,0,(BN13*$E$197)-SUM($N$197:BM197))</f>
        <v>0</v>
      </c>
      <c r="BO197" s="1057">
        <f>IF(SUM($O$10:BO10)&lt;$A$197,0,(BO13*$E$197)-SUM($N$197:BN197))</f>
        <v>0</v>
      </c>
      <c r="BP197" s="1057">
        <f>IF(SUM($O$10:BP10)&lt;$A$197,0,(BP13*$E$197)-SUM($N$197:BO197))</f>
        <v>0</v>
      </c>
      <c r="BQ197" s="1057">
        <f>IF(SUM($O$10:BQ10)&lt;$A$197,0,(BQ13*$E$197)-SUM($N$197:BP197))</f>
        <v>0</v>
      </c>
      <c r="BR197" s="1057">
        <f>IF(SUM($O$10:BR10)&lt;$A$197,0,(BR13*$E$197)-SUM($N$197:BQ197))</f>
        <v>0</v>
      </c>
      <c r="BS197" s="1057">
        <f>IF(SUM($O$10:BS10)&lt;$A$197,0,(BS13*$E$197)-SUM($N$197:BR197))</f>
        <v>0</v>
      </c>
      <c r="BT197" s="1057">
        <f>IF(SUM($O$10:BT10)&lt;$A$197,0,(BT13*$E$197)-SUM($N$197:BS197))</f>
        <v>0</v>
      </c>
      <c r="BU197" s="1057">
        <f>IF(SUM($O$10:BU10)&lt;$A$197,0,(BU13*$E$197)-SUM($N$197:BT197))</f>
        <v>0</v>
      </c>
      <c r="BV197" s="1057">
        <f>IF(SUM($O$10:BV10)&lt;$A$197,0,(BV13*$E$197)-SUM($N$197:BU197))</f>
        <v>0</v>
      </c>
      <c r="BW197" s="1057">
        <f>IF(SUM($O$10:BW10)&lt;$A$197,0,(BW13*$E$197)-SUM($N$197:BV197))</f>
        <v>0</v>
      </c>
      <c r="BX197" s="1057">
        <f>IF(SUM($O$10:BX10)&lt;$A$197,0,(BX13*$E$197)-SUM($N$197:BW197))</f>
        <v>0</v>
      </c>
      <c r="BY197" s="1067">
        <f t="shared" si="245"/>
        <v>3</v>
      </c>
      <c r="BZ197" s="1068">
        <f t="shared" si="249"/>
        <v>15266214.562500002</v>
      </c>
      <c r="CA197" s="1069" t="b">
        <f t="shared" si="250"/>
        <v>1</v>
      </c>
    </row>
    <row r="198" spans="1:80">
      <c r="A198" s="398">
        <v>10</v>
      </c>
      <c r="B198" s="1067">
        <v>4</v>
      </c>
      <c r="C198" s="1898"/>
      <c r="D198" s="1060">
        <f>IF(B198&lt;Equity!$D$27+1,Equity!$I$6/Equity!$D$27,0)</f>
        <v>9.9999999999999992E-2</v>
      </c>
      <c r="E198" s="1061">
        <f>(분양개요!$O$7)*D198</f>
        <v>15266214.562499998</v>
      </c>
      <c r="F198" s="1062" t="b">
        <f t="shared" si="246"/>
        <v>1</v>
      </c>
      <c r="G198" s="1056"/>
      <c r="H198" s="1057"/>
      <c r="I198" s="1057"/>
      <c r="J198" s="1057"/>
      <c r="K198" s="1057">
        <f>IF(SUM(K$10:$O10)&lt;$A$198,0,(K13*$E$198)-SUM(J$198:$N198))</f>
        <v>0</v>
      </c>
      <c r="L198" s="1057">
        <f>IF(SUM(L$10:$O10)&lt;$A$198,0,(L13*$E$198)-SUM(K$198:$N198))</f>
        <v>0</v>
      </c>
      <c r="M198" s="1057">
        <f>IF(SUM(M$10:$O10)&lt;$A$198,0,(M13*$E$198)-SUM(L$198:$N198))</f>
        <v>0</v>
      </c>
      <c r="N198" s="1057">
        <f>IF(SUM(N$10:$O10)&lt;$A$198,0,(N13*$E$198)-SUM(M$198:$N198))</f>
        <v>0</v>
      </c>
      <c r="O198" s="1057">
        <f>IF(SUM(O$10:$O10)&lt;$A$198,0,(O13*$E$198)-SUM(N$198:$N198))</f>
        <v>0</v>
      </c>
      <c r="P198" s="1057">
        <f>IF(SUM($O$10:P10)&lt;$A$198,0,(P13*$E$198)-SUM($N$198:O198))</f>
        <v>0</v>
      </c>
      <c r="Q198" s="1057">
        <f>IF(SUM($O$10:Q10)&lt;$A$198,0,(Q13*$E$198)-SUM($N$198:P198))</f>
        <v>0</v>
      </c>
      <c r="R198" s="1057">
        <f>IF(SUM($O$10:R10)&lt;$A$198,0,(R13*$E$198)-SUM($N$198:Q198))</f>
        <v>0</v>
      </c>
      <c r="S198" s="1057">
        <f>IF(SUM($O$10:S10)&lt;$A$198,0,(S13*$E$198)-SUM($N$198:R198))</f>
        <v>0</v>
      </c>
      <c r="T198" s="1057">
        <f>IF(SUM($O$10:T10)&lt;$A$198,0,(T13*$E$198)-SUM($N$198:S198))</f>
        <v>0</v>
      </c>
      <c r="U198" s="1057">
        <f>IF(SUM($O$10:U10)&lt;$A$198,0,(U13*$E$198)-SUM($N$198:T198))</f>
        <v>0</v>
      </c>
      <c r="V198" s="1057">
        <f>IF(SUM($O$10:V10)&lt;$A$198,0,(V13*$E$198)-SUM($N$198:U198))</f>
        <v>0</v>
      </c>
      <c r="W198" s="1057">
        <f>IF(SUM($O$10:W10)&lt;$A$198,0,(W13*$E$198)-SUM($N$198:V198))</f>
        <v>0</v>
      </c>
      <c r="X198" s="1057">
        <f>IF(SUM($O$10:X10)&lt;$A$198,0,(X13*$E$198)-SUM($N$198:W198))</f>
        <v>0</v>
      </c>
      <c r="Y198" s="1057">
        <f>IF(SUM($O$10:Y10)&lt;$A$198,0,(Y13*$E$198)-SUM($N$198:X198))</f>
        <v>0</v>
      </c>
      <c r="Z198" s="1057">
        <f>IF(SUM($O$10:Z10)&lt;$A$198,0,(Z13*$E$198)-SUM($N$198:Y198))</f>
        <v>0</v>
      </c>
      <c r="AA198" s="1057">
        <f>IF(SUM($O$10:AA10)&lt;$A$198,0,(AA13*$E$198)-SUM($N$198:Z198))</f>
        <v>0</v>
      </c>
      <c r="AB198" s="1057">
        <f>IF(SUM($O$10:AB10)&lt;$A$198,0,(AB13*$E$198)-SUM($N$198:AA198))</f>
        <v>0</v>
      </c>
      <c r="AC198" s="1057">
        <f>IF(SUM($O$10:AC10)&lt;$A$198,0,(AC13*$E$198)-SUM($N$198:AB198))</f>
        <v>0</v>
      </c>
      <c r="AD198" s="1057">
        <f>IF(SUM($O$10:AD10)&lt;$A$198,0,(AD13*$E$198)-SUM($N$198:AC198))</f>
        <v>15266214.562500002</v>
      </c>
      <c r="AE198" s="1057">
        <f>IF(SUM($O$10:AE10)&lt;$A$198,0,(AE13*$E$198)-SUM($N$198:AD198))</f>
        <v>0</v>
      </c>
      <c r="AF198" s="1057">
        <f>IF(SUM($O$10:AF10)&lt;$A$198,0,(AF13*$E$198)-SUM($N$198:AE198))</f>
        <v>0</v>
      </c>
      <c r="AG198" s="1057">
        <f>IF(SUM($O$10:AG10)&lt;$A$198,0,(AG13*$E$198)-SUM($N$198:AF198))</f>
        <v>0</v>
      </c>
      <c r="AH198" s="1057">
        <f>IF(SUM($O$10:AH10)&lt;$A$198,0,(AH13*$E$198)-SUM($N$198:AG198))</f>
        <v>0</v>
      </c>
      <c r="AI198" s="1057">
        <f>IF(SUM($O$10:AI10)&lt;$A$198,0,(AI13*$E$198)-SUM($N$198:AH198))</f>
        <v>0</v>
      </c>
      <c r="AJ198" s="1057">
        <f>IF(SUM($O$10:AJ10)&lt;$A$198,0,(AJ13*$E$198)-SUM($N$198:AI198))</f>
        <v>0</v>
      </c>
      <c r="AK198" s="1057">
        <f>IF(SUM($O$10:AK10)&lt;$A$198,0,(AK13*$E$198)-SUM($N$198:AJ198))</f>
        <v>0</v>
      </c>
      <c r="AL198" s="1057">
        <f>IF(SUM($O$10:AL10)&lt;$A$198,0,(AL13*$E$198)-SUM($N$198:AK198))</f>
        <v>0</v>
      </c>
      <c r="AM198" s="1057">
        <f>IF(SUM($O$10:AM10)&lt;$A$198,0,(AM13*$E$198)-SUM($N$198:AL198))</f>
        <v>0</v>
      </c>
      <c r="AN198" s="1057">
        <f>IF(SUM($O$10:AN10)&lt;$A$198,0,(AN13*$E$198)-SUM($N$198:AM198))</f>
        <v>0</v>
      </c>
      <c r="AO198" s="1057">
        <f>IF(SUM($O$10:AO10)&lt;$A$198,0,(AO13*$E$198)-SUM($N$198:AN198))</f>
        <v>0</v>
      </c>
      <c r="AP198" s="1057">
        <f>IF(SUM($O$10:AP10)&lt;$A$198,0,(AP13*$E$198)-SUM($N$198:AO198))</f>
        <v>0</v>
      </c>
      <c r="AQ198" s="1057">
        <f>IF(SUM($O$10:AQ10)&lt;$A$198,0,(AQ13*$E$198)-SUM($N$198:AP198))</f>
        <v>0</v>
      </c>
      <c r="AR198" s="1057">
        <f>IF(SUM($O$10:AR10)&lt;$A$198,0,(AR13*$E$198)-SUM($N$198:AQ198))</f>
        <v>0</v>
      </c>
      <c r="AS198" s="1057">
        <f>IF(SUM($O$10:AS10)&lt;$A$198,0,(AS13*$E$198)-SUM($N$198:AR198))</f>
        <v>0</v>
      </c>
      <c r="AT198" s="1057">
        <f>IF(SUM($O$10:AT10)&lt;$A$198,0,(AT13*$E$198)-SUM($N$198:AS198))</f>
        <v>0</v>
      </c>
      <c r="AU198" s="1057">
        <f>IF(SUM($O$10:AU10)&lt;$A$198,0,(AU13*$E$198)-SUM($N$198:AT198))</f>
        <v>0</v>
      </c>
      <c r="AV198" s="1057">
        <f>IF(SUM($O$10:AV10)&lt;$A$198,0,(AV13*$E$198)-SUM($N$198:AU198))</f>
        <v>0</v>
      </c>
      <c r="AW198" s="1057">
        <f>IF(SUM($O$10:AW10)&lt;$A$198,0,(AW13*$E$198)-SUM($N$198:AV198))</f>
        <v>0</v>
      </c>
      <c r="AX198" s="1057">
        <f>IF(SUM($O$10:AX10)&lt;$A$198,0,(AX13*$E$198)-SUM($N$198:AW198))</f>
        <v>0</v>
      </c>
      <c r="AY198" s="1057">
        <f>IF(SUM($O$10:AY10)&lt;$A$198,0,(AY13*$E$198)-SUM($N$198:AX198))</f>
        <v>0</v>
      </c>
      <c r="AZ198" s="1057">
        <f>IF(SUM($O$10:AZ10)&lt;$A$198,0,(AZ13*$E$198)-SUM($N$198:AY198))</f>
        <v>0</v>
      </c>
      <c r="BA198" s="1057">
        <f>IF(SUM($O$10:BA10)&lt;$A$198,0,(BA13*$E$198)-SUM($N$198:AZ198))</f>
        <v>0</v>
      </c>
      <c r="BB198" s="1057">
        <f>IF(SUM($O$10:BB10)&lt;$A$198,0,(BB13*$E$198)-SUM($N$198:BA198))</f>
        <v>0</v>
      </c>
      <c r="BC198" s="1057">
        <f>IF(SUM($O$10:BC10)&lt;$A$198,0,(BC13*$E$198)-SUM($N$198:BB198))</f>
        <v>0</v>
      </c>
      <c r="BD198" s="1057">
        <f>IF(SUM($O$10:BD10)&lt;$A$198,0,(BD13*$E$198)-SUM($N$198:BC198))</f>
        <v>0</v>
      </c>
      <c r="BE198" s="1057">
        <f>IF(SUM($O$10:BE10)&lt;$A$198,0,(BE13*$E$198)-SUM($N$198:BD198))</f>
        <v>0</v>
      </c>
      <c r="BF198" s="1057">
        <f>IF(SUM($O$10:BF10)&lt;$A$198,0,(BF13*$E$198)-SUM($N$198:BE198))</f>
        <v>0</v>
      </c>
      <c r="BG198" s="1057">
        <f>IF(SUM($O$10:BG10)&lt;$A$198,0,(BG13*$E$198)-SUM($N$198:BF198))</f>
        <v>0</v>
      </c>
      <c r="BH198" s="1057">
        <f>IF(SUM($O$10:BH10)&lt;$A$198,0,(BH13*$E$198)-SUM($N$198:BG198))</f>
        <v>0</v>
      </c>
      <c r="BI198" s="1057">
        <f>IF(SUM($O$10:BI10)&lt;$A$198,0,(BI13*$E$198)-SUM($N$198:BH198))</f>
        <v>0</v>
      </c>
      <c r="BJ198" s="1057">
        <f>IF(SUM($O$10:BJ10)&lt;$A$198,0,(BJ13*$E$198)-SUM($N$198:BI198))</f>
        <v>0</v>
      </c>
      <c r="BK198" s="1057">
        <f>IF(SUM($O$10:BK10)&lt;$A$198,0,(BK13*$E$198)-SUM($N$198:BJ198))</f>
        <v>0</v>
      </c>
      <c r="BL198" s="1057">
        <f>IF(SUM($O$10:BL10)&lt;$A$198,0,(BL13*$E$198)-SUM($N$198:BK198))</f>
        <v>0</v>
      </c>
      <c r="BM198" s="1057">
        <f>IF(SUM($O$10:BM10)&lt;$A$198,0,(BM13*$E$198)-SUM($N$198:BL198))</f>
        <v>0</v>
      </c>
      <c r="BN198" s="1057">
        <f>IF(SUM($O$10:BN10)&lt;$A$198,0,(BN13*$E$198)-SUM($N$198:BM198))</f>
        <v>0</v>
      </c>
      <c r="BO198" s="1057">
        <f>IF(SUM($O$10:BO10)&lt;$A$198,0,(BO13*$E$198)-SUM($N$198:BN198))</f>
        <v>0</v>
      </c>
      <c r="BP198" s="1057">
        <f>IF(SUM($O$10:BP10)&lt;$A$198,0,(BP13*$E$198)-SUM($N$198:BO198))</f>
        <v>0</v>
      </c>
      <c r="BQ198" s="1057">
        <f>IF(SUM($O$10:BQ10)&lt;$A$198,0,(BQ13*$E$198)-SUM($N$198:BP198))</f>
        <v>0</v>
      </c>
      <c r="BR198" s="1057">
        <f>IF(SUM($O$10:BR10)&lt;$A$198,0,(BR13*$E$198)-SUM($N$198:BQ198))</f>
        <v>0</v>
      </c>
      <c r="BS198" s="1057">
        <f>IF(SUM($O$10:BS10)&lt;$A$198,0,(BS13*$E$198)-SUM($N$198:BR198))</f>
        <v>0</v>
      </c>
      <c r="BT198" s="1057">
        <f>IF(SUM($O$10:BT10)&lt;$A$198,0,(BT13*$E$198)-SUM($N$198:BS198))</f>
        <v>0</v>
      </c>
      <c r="BU198" s="1057">
        <f>IF(SUM($O$10:BU10)&lt;$A$198,0,(BU13*$E$198)-SUM($N$198:BT198))</f>
        <v>0</v>
      </c>
      <c r="BV198" s="1057">
        <f>IF(SUM($O$10:BV10)&lt;$A$198,0,(BV13*$E$198)-SUM($N$198:BU198))</f>
        <v>0</v>
      </c>
      <c r="BW198" s="1057">
        <f>IF(SUM($O$10:BW10)&lt;$A$198,0,(BW13*$E$198)-SUM($N$198:BV198))</f>
        <v>0</v>
      </c>
      <c r="BX198" s="1057">
        <f>IF(SUM($O$10:BX10)&lt;$A$198,0,(BX13*$E$198)-SUM($N$198:BW198))</f>
        <v>0</v>
      </c>
      <c r="BY198" s="1067">
        <f t="shared" si="245"/>
        <v>4</v>
      </c>
      <c r="BZ198" s="1068">
        <f t="shared" si="249"/>
        <v>15266214.562500002</v>
      </c>
      <c r="CA198" s="1069" t="b">
        <f t="shared" si="250"/>
        <v>1</v>
      </c>
    </row>
    <row r="199" spans="1:80">
      <c r="A199" s="398">
        <v>15</v>
      </c>
      <c r="B199" s="1067">
        <v>5</v>
      </c>
      <c r="C199" s="1898"/>
      <c r="D199" s="1060">
        <f>IF(B199&lt;Equity!$D$27+1,Equity!$I$6/Equity!$D$27,0)</f>
        <v>9.9999999999999992E-2</v>
      </c>
      <c r="E199" s="1061">
        <f>(분양개요!$O$7)*D199</f>
        <v>15266214.562499998</v>
      </c>
      <c r="F199" s="1062" t="b">
        <f t="shared" si="246"/>
        <v>1</v>
      </c>
      <c r="G199" s="1056"/>
      <c r="H199" s="1057"/>
      <c r="I199" s="1057"/>
      <c r="J199" s="1057"/>
      <c r="K199" s="1057">
        <f>IF(SUM(K$10:$O10)&lt;$A$199,0,(K13*$E$199)-SUM(J$199:$N199))</f>
        <v>0</v>
      </c>
      <c r="L199" s="1057">
        <f>IF(SUM(L$10:$O10)&lt;$A$199,0,(L13*$E$199)-SUM(K$199:$N199))</f>
        <v>0</v>
      </c>
      <c r="M199" s="1057">
        <f>IF(SUM(M$10:$O10)&lt;$A$199,0,(M13*$E$199)-SUM(L$199:$N199))</f>
        <v>0</v>
      </c>
      <c r="N199" s="1057">
        <f>IF(SUM(N$10:$O10)&lt;$A$199,0,(N13*$E$199)-SUM(M$199:$N199))</f>
        <v>0</v>
      </c>
      <c r="O199" s="1057">
        <f>IF(SUM(O$10:$O10)&lt;$A$199,0,(O13*$E$199)-SUM(N$199:$N199))</f>
        <v>0</v>
      </c>
      <c r="P199" s="1057">
        <f>IF(SUM($O$10:P10)&lt;$A$199,0,(P13*$E$199)-SUM($N$199:O199))</f>
        <v>0</v>
      </c>
      <c r="Q199" s="1057">
        <f>IF(SUM($O$10:Q10)&lt;$A$199,0,(Q13*$E$199)-SUM($N$199:P199))</f>
        <v>0</v>
      </c>
      <c r="R199" s="1057">
        <f>IF(SUM($O$10:R10)&lt;$A$199,0,(R13*$E$199)-SUM($N$199:Q199))</f>
        <v>0</v>
      </c>
      <c r="S199" s="1057">
        <f>IF(SUM($O$10:S10)&lt;$A$199,0,(S13*$E$199)-SUM($N$199:R199))</f>
        <v>0</v>
      </c>
      <c r="T199" s="1057">
        <f>IF(SUM($O$10:T10)&lt;$A$199,0,(T13*$E$199)-SUM($N$199:S199))</f>
        <v>0</v>
      </c>
      <c r="U199" s="1057">
        <f>IF(SUM($O$10:U10)&lt;$A$199,0,(U13*$E$199)-SUM($N$199:T199))</f>
        <v>0</v>
      </c>
      <c r="V199" s="1057">
        <f>IF(SUM($O$10:V10)&lt;$A$199,0,(V13*$E$199)-SUM($N$199:U199))</f>
        <v>0</v>
      </c>
      <c r="W199" s="1057">
        <f>IF(SUM($O$10:W10)&lt;$A$199,0,(W13*$E$199)-SUM($N$199:V199))</f>
        <v>0</v>
      </c>
      <c r="X199" s="1057">
        <f>IF(SUM($O$10:X10)&lt;$A$199,0,(X13*$E$199)-SUM($N$199:W199))</f>
        <v>0</v>
      </c>
      <c r="Y199" s="1057">
        <f>IF(SUM($O$10:Y10)&lt;$A$199,0,(Y13*$E$199)-SUM($N$199:X199))</f>
        <v>0</v>
      </c>
      <c r="Z199" s="1057">
        <f>IF(SUM($O$10:Z10)&lt;$A$199,0,(Z13*$E$199)-SUM($N$199:Y199))</f>
        <v>0</v>
      </c>
      <c r="AA199" s="1057">
        <f>IF(SUM($O$10:AA10)&lt;$A$199,0,(AA13*$E$199)-SUM($N$199:Z199))</f>
        <v>0</v>
      </c>
      <c r="AB199" s="1057">
        <f>IF(SUM($O$10:AB10)&lt;$A$199,0,(AB13*$E$199)-SUM($N$199:AA199))</f>
        <v>0</v>
      </c>
      <c r="AC199" s="1057">
        <f>IF(SUM($O$10:AC10)&lt;$A$199,0,(AC13*$E$199)-SUM($N$199:AB199))</f>
        <v>0</v>
      </c>
      <c r="AD199" s="1057">
        <f>IF(SUM($O$10:AD10)&lt;$A$199,0,(AD13*$E$199)-SUM($N$199:AC199))</f>
        <v>0</v>
      </c>
      <c r="AE199" s="1057">
        <f>IF(SUM($O$10:AE10)&lt;$A$199,0,(AE13*$E$199)-SUM($N$199:AD199))</f>
        <v>0</v>
      </c>
      <c r="AF199" s="1057">
        <f>IF(SUM($O$10:AF10)&lt;$A$199,0,(AF13*$E$199)-SUM($N$199:AE199))</f>
        <v>0</v>
      </c>
      <c r="AG199" s="1057">
        <f>IF(SUM($O$10:AG10)&lt;$A$199,0,(AG13*$E$199)-SUM($N$199:AF199))</f>
        <v>0</v>
      </c>
      <c r="AH199" s="1057">
        <f>IF(SUM($O$10:AH10)&lt;$A$199,0,(AH13*$E$199)-SUM($N$199:AG199))</f>
        <v>15266214.562500002</v>
      </c>
      <c r="AI199" s="1057">
        <f>IF(SUM($O$10:AI10)&lt;$A$199,0,(AI13*$E$199)-SUM($N$199:AH199))</f>
        <v>0</v>
      </c>
      <c r="AJ199" s="1057">
        <f>IF(SUM($O$10:AJ10)&lt;$A$199,0,(AJ13*$E$199)-SUM($N$199:AI199))</f>
        <v>0</v>
      </c>
      <c r="AK199" s="1057">
        <f>IF(SUM($O$10:AK10)&lt;$A$199,0,(AK13*$E$199)-SUM($N$199:AJ199))</f>
        <v>0</v>
      </c>
      <c r="AL199" s="1057">
        <f>IF(SUM($O$10:AL10)&lt;$A$199,0,(AL13*$E$199)-SUM($N$199:AK199))</f>
        <v>0</v>
      </c>
      <c r="AM199" s="1057">
        <f>IF(SUM($O$10:AM10)&lt;$A$199,0,(AM13*$E$199)-SUM($N$199:AL199))</f>
        <v>0</v>
      </c>
      <c r="AN199" s="1057">
        <f>IF(SUM($O$10:AN10)&lt;$A$199,0,(AN13*$E$199)-SUM($N$199:AM199))</f>
        <v>0</v>
      </c>
      <c r="AO199" s="1057">
        <f>IF(SUM($O$10:AO10)&lt;$A$199,0,(AO13*$E$199)-SUM($N$199:AN199))</f>
        <v>0</v>
      </c>
      <c r="AP199" s="1057">
        <f>IF(SUM($O$10:AP10)&lt;$A$199,0,(AP13*$E$199)-SUM($N$199:AO199))</f>
        <v>0</v>
      </c>
      <c r="AQ199" s="1057">
        <f>IF(SUM($O$10:AQ10)&lt;$A$199,0,(AQ13*$E$199)-SUM($N$199:AP199))</f>
        <v>0</v>
      </c>
      <c r="AR199" s="1057">
        <f>IF(SUM($O$10:AR10)&lt;$A$199,0,(AR13*$E$199)-SUM($N$199:AQ199))</f>
        <v>0</v>
      </c>
      <c r="AS199" s="1057">
        <f>IF(SUM($O$10:AS10)&lt;$A$199,0,(AS13*$E$199)-SUM($N$199:AR199))</f>
        <v>0</v>
      </c>
      <c r="AT199" s="1057">
        <f>IF(SUM($O$10:AT10)&lt;$A$199,0,(AT13*$E$199)-SUM($N$199:AS199))</f>
        <v>0</v>
      </c>
      <c r="AU199" s="1057">
        <f>IF(SUM($O$10:AU10)&lt;$A$199,0,(AU13*$E$199)-SUM($N$199:AT199))</f>
        <v>0</v>
      </c>
      <c r="AV199" s="1057">
        <f>IF(SUM($O$10:AV10)&lt;$A$199,0,(AV13*$E$199)-SUM($N$199:AU199))</f>
        <v>0</v>
      </c>
      <c r="AW199" s="1057">
        <f>IF(SUM($O$10:AW10)&lt;$A$199,0,(AW13*$E$199)-SUM($N$199:AV199))</f>
        <v>0</v>
      </c>
      <c r="AX199" s="1057">
        <f>IF(SUM($O$10:AX10)&lt;$A$199,0,(AX13*$E$199)-SUM($N$199:AW199))</f>
        <v>0</v>
      </c>
      <c r="AY199" s="1057">
        <f>IF(SUM($O$10:AY10)&lt;$A$199,0,(AY13*$E$199)-SUM($N$199:AX199))</f>
        <v>0</v>
      </c>
      <c r="AZ199" s="1057">
        <f>IF(SUM($O$10:AZ10)&lt;$A$199,0,(AZ13*$E$199)-SUM($N$199:AY199))</f>
        <v>0</v>
      </c>
      <c r="BA199" s="1057">
        <f>IF(SUM($O$10:BA10)&lt;$A$199,0,(BA13*$E$199)-SUM($N$199:AZ199))</f>
        <v>0</v>
      </c>
      <c r="BB199" s="1057">
        <f>IF(SUM($O$10:BB10)&lt;$A$199,0,(BB13*$E$199)-SUM($N$199:BA199))</f>
        <v>0</v>
      </c>
      <c r="BC199" s="1057">
        <f>IF(SUM($O$10:BC10)&lt;$A$199,0,(BC13*$E$199)-SUM($N$199:BB199))</f>
        <v>0</v>
      </c>
      <c r="BD199" s="1057">
        <f>IF(SUM($O$10:BD10)&lt;$A$199,0,(BD13*$E$199)-SUM($N$199:BC199))</f>
        <v>0</v>
      </c>
      <c r="BE199" s="1057">
        <f>IF(SUM($O$10:BE10)&lt;$A$199,0,(BE13*$E$199)-SUM($N$199:BD199))</f>
        <v>0</v>
      </c>
      <c r="BF199" s="1057">
        <f>IF(SUM($O$10:BF10)&lt;$A$199,0,(BF13*$E$199)-SUM($N$199:BE199))</f>
        <v>0</v>
      </c>
      <c r="BG199" s="1057">
        <f>IF(SUM($O$10:BG10)&lt;$A$199,0,(BG13*$E$199)-SUM($N$199:BF199))</f>
        <v>0</v>
      </c>
      <c r="BH199" s="1057">
        <f>IF(SUM($O$10:BH10)&lt;$A$199,0,(BH13*$E$199)-SUM($N$199:BG199))</f>
        <v>0</v>
      </c>
      <c r="BI199" s="1057">
        <f>IF(SUM($O$10:BI10)&lt;$A$199,0,(BI13*$E$199)-SUM($N$199:BH199))</f>
        <v>0</v>
      </c>
      <c r="BJ199" s="1057">
        <f>IF(SUM($O$10:BJ10)&lt;$A$199,0,(BJ13*$E$199)-SUM($N$199:BI199))</f>
        <v>0</v>
      </c>
      <c r="BK199" s="1057">
        <f>IF(SUM($O$10:BK10)&lt;$A$199,0,(BK13*$E$199)-SUM($N$199:BJ199))</f>
        <v>0</v>
      </c>
      <c r="BL199" s="1057">
        <f>IF(SUM($O$10:BL10)&lt;$A$199,0,(BL13*$E$199)-SUM($N$199:BK199))</f>
        <v>0</v>
      </c>
      <c r="BM199" s="1057">
        <f>IF(SUM($O$10:BM10)&lt;$A$199,0,(BM13*$E$199)-SUM($N$199:BL199))</f>
        <v>0</v>
      </c>
      <c r="BN199" s="1057">
        <f>IF(SUM($O$10:BN10)&lt;$A$199,0,(BN13*$E$199)-SUM($N$199:BM199))</f>
        <v>0</v>
      </c>
      <c r="BO199" s="1057">
        <f>IF(SUM($O$10:BO10)&lt;$A$199,0,(BO13*$E$199)-SUM($N$199:BN199))</f>
        <v>0</v>
      </c>
      <c r="BP199" s="1057">
        <f>IF(SUM($O$10:BP10)&lt;$A$199,0,(BP13*$E$199)-SUM($N$199:BO199))</f>
        <v>0</v>
      </c>
      <c r="BQ199" s="1057">
        <f>IF(SUM($O$10:BQ10)&lt;$A$199,0,(BQ13*$E$199)-SUM($N$199:BP199))</f>
        <v>0</v>
      </c>
      <c r="BR199" s="1057">
        <f>IF(SUM($O$10:BR10)&lt;$A$199,0,(BR13*$E$199)-SUM($N$199:BQ199))</f>
        <v>0</v>
      </c>
      <c r="BS199" s="1057">
        <f>IF(SUM($O$10:BS10)&lt;$A$199,0,(BS13*$E$199)-SUM($N$199:BR199))</f>
        <v>0</v>
      </c>
      <c r="BT199" s="1057">
        <f>IF(SUM($O$10:BT10)&lt;$A$199,0,(BT13*$E$199)-SUM($N$199:BS199))</f>
        <v>0</v>
      </c>
      <c r="BU199" s="1057">
        <f>IF(SUM($O$10:BU10)&lt;$A$199,0,(BU13*$E$199)-SUM($N$199:BT199))</f>
        <v>0</v>
      </c>
      <c r="BV199" s="1057">
        <f>IF(SUM($O$10:BV10)&lt;$A$199,0,(BV13*$E$199)-SUM($N$199:BU199))</f>
        <v>0</v>
      </c>
      <c r="BW199" s="1057">
        <f>IF(SUM($O$10:BW10)&lt;$A$199,0,(BW13*$E$199)-SUM($N$199:BV199))</f>
        <v>0</v>
      </c>
      <c r="BX199" s="1057">
        <f>IF(SUM($O$10:BX10)&lt;$A$199,0,(BX13*$E$199)-SUM($N$199:BW199))</f>
        <v>0</v>
      </c>
      <c r="BY199" s="1067">
        <f t="shared" si="245"/>
        <v>5</v>
      </c>
      <c r="BZ199" s="1068">
        <f t="shared" si="249"/>
        <v>15266214.562500002</v>
      </c>
      <c r="CA199" s="1069" t="b">
        <f t="shared" si="250"/>
        <v>1</v>
      </c>
    </row>
    <row r="200" spans="1:80" ht="17.25" customHeight="1">
      <c r="A200" s="398">
        <v>21</v>
      </c>
      <c r="B200" s="1067">
        <v>6</v>
      </c>
      <c r="C200" s="1898"/>
      <c r="D200" s="1060">
        <f>IF(B200&lt;Equity!$D$27+1,Equity!$I$6/Equity!$D$27,0)</f>
        <v>9.9999999999999992E-2</v>
      </c>
      <c r="E200" s="1061">
        <f>(분양개요!$O$7)*D200</f>
        <v>15266214.562499998</v>
      </c>
      <c r="F200" s="1062" t="b">
        <f t="shared" si="246"/>
        <v>1</v>
      </c>
      <c r="G200" s="1056"/>
      <c r="H200" s="1057"/>
      <c r="I200" s="1057"/>
      <c r="J200" s="1057"/>
      <c r="K200" s="1057">
        <f>IF(SUM(K$10:$O10)&lt;$A$200,0,(K13*$E$200)-SUM(J$200:$N200))</f>
        <v>0</v>
      </c>
      <c r="L200" s="1057">
        <f>IF(SUM(L$10:$O10)&lt;$A$200,0,(L13*$E$200)-SUM(K$200:$N200))</f>
        <v>0</v>
      </c>
      <c r="M200" s="1057">
        <f>IF(SUM(M$10:$O10)&lt;$A$200,0,(M13*$E$200)-SUM(L$200:$N200))</f>
        <v>0</v>
      </c>
      <c r="N200" s="1057">
        <f>IF(SUM(N$10:$O10)&lt;$A$200,0,(N13*$E$200)-SUM(M$200:$N200))</f>
        <v>0</v>
      </c>
      <c r="O200" s="1057">
        <f>IF(SUM(O$10:$O10)&lt;$A$200,0,(O13*$E$200)-SUM(N$200:$N200))</f>
        <v>0</v>
      </c>
      <c r="P200" s="1057">
        <f>IF(SUM($O$10:P10)&lt;$A$200,0,(P13*$E$200)-SUM($N$200:O200))</f>
        <v>0</v>
      </c>
      <c r="Q200" s="1057">
        <f>IF(SUM($O$10:Q10)&lt;$A$200,0,(Q13*$E$200)-SUM($N$200:P200))</f>
        <v>0</v>
      </c>
      <c r="R200" s="1057">
        <f>IF(SUM($O$10:R10)&lt;$A$200,0,(R13*$E$200)-SUM($N$200:Q200))</f>
        <v>0</v>
      </c>
      <c r="S200" s="1057">
        <f>IF(SUM($O$10:S10)&lt;$A$200,0,(S13*$E$200)-SUM($N$200:R200))</f>
        <v>0</v>
      </c>
      <c r="T200" s="1057">
        <f>IF(SUM($O$10:T10)&lt;$A$200,0,(T13*$E$200)-SUM($N$200:S200))</f>
        <v>0</v>
      </c>
      <c r="U200" s="1057">
        <f>IF(SUM($O$10:U10)&lt;$A$200,0,(U13*$E$200)-SUM($N$200:T200))</f>
        <v>0</v>
      </c>
      <c r="V200" s="1057">
        <f>IF(SUM($O$10:V10)&lt;$A$200,0,(V13*$E$200)-SUM($N$200:U200))</f>
        <v>0</v>
      </c>
      <c r="W200" s="1057">
        <f>IF(SUM($O$10:W10)&lt;$A$200,0,(W13*$E$200)-SUM($N$200:V200))</f>
        <v>0</v>
      </c>
      <c r="X200" s="1057">
        <f>IF(SUM($O$10:X10)&lt;$A$200,0,(X13*$E$200)-SUM($N$200:W200))</f>
        <v>0</v>
      </c>
      <c r="Y200" s="1057">
        <f>IF(SUM($O$10:Y10)&lt;$A$200,0,(Y13*$E$200)-SUM($N$200:X200))</f>
        <v>0</v>
      </c>
      <c r="Z200" s="1057">
        <f>IF(SUM($O$10:Z10)&lt;$A$200,0,(Z13*$E$200)-SUM($N$200:Y200))</f>
        <v>0</v>
      </c>
      <c r="AA200" s="1057">
        <f>IF(SUM($O$10:AA10)&lt;$A$200,0,(AA13*$E$200)-SUM($N$200:Z200))</f>
        <v>0</v>
      </c>
      <c r="AB200" s="1057">
        <f>IF(SUM($O$10:AB10)&lt;$A$200,0,(AB13*$E$200)-SUM($N$200:AA200))</f>
        <v>0</v>
      </c>
      <c r="AC200" s="1057">
        <f>IF(SUM($O$10:AC10)&lt;$A$200,0,(AC13*$E$200)-SUM($N$200:AB200))</f>
        <v>0</v>
      </c>
      <c r="AD200" s="1057">
        <f>IF(SUM($O$10:AD10)&lt;$A$200,0,(AD13*$E$200)-SUM($N$200:AC200))</f>
        <v>0</v>
      </c>
      <c r="AE200" s="1057">
        <f>IF(SUM($O$10:AE10)&lt;$A$200,0,(AE13*$E$200)-SUM($N$200:AD200))</f>
        <v>0</v>
      </c>
      <c r="AF200" s="1057">
        <f>IF(SUM($O$10:AF10)&lt;$A$200,0,(AF13*$E$200)-SUM($N$200:AE200))</f>
        <v>0</v>
      </c>
      <c r="AG200" s="1057">
        <f>IF(SUM($O$10:AG10)&lt;$A$200,0,(AG13*$E$200)-SUM($N$200:AF200))</f>
        <v>0</v>
      </c>
      <c r="AH200" s="1057">
        <f>IF(SUM($O$10:AH10)&lt;$A$200,0,(AH13*$E$200)-SUM($N$200:AG200))</f>
        <v>0</v>
      </c>
      <c r="AI200" s="1057">
        <f>IF(SUM($O$10:AI10)&lt;$A$200,0,(AI13*$E$200)-SUM($N$200:AH200))</f>
        <v>0</v>
      </c>
      <c r="AJ200" s="1057">
        <f>IF(SUM($O$10:AJ10)&lt;$A$200,0,(AJ13*$E$200)-SUM($N$200:AI200))</f>
        <v>0</v>
      </c>
      <c r="AK200" s="1057">
        <f>IF(SUM($O$10:AK10)&lt;$A$200,0,(AK13*$E$200)-SUM($N$200:AJ200))</f>
        <v>0</v>
      </c>
      <c r="AL200" s="1057">
        <f>IF(SUM($O$10:AL10)&lt;$A$200,0,(AL13*$E$200)-SUM($N$200:AK200))</f>
        <v>15266214.562500002</v>
      </c>
      <c r="AM200" s="1057">
        <f>IF(SUM($O$10:AM10)&lt;$A$200,0,(AM13*$E$200)-SUM($N$200:AL200))</f>
        <v>0</v>
      </c>
      <c r="AN200" s="1057">
        <f>IF(SUM($O$10:AN10)&lt;$A$200,0,(AN13*$E$200)-SUM($N$200:AM200))</f>
        <v>0</v>
      </c>
      <c r="AO200" s="1057">
        <f>IF(SUM($O$10:AO10)&lt;$A$200,0,(AO13*$E$200)-SUM($N$200:AN200))</f>
        <v>0</v>
      </c>
      <c r="AP200" s="1057">
        <f>IF(SUM($O$10:AP10)&lt;$A$200,0,(AP13*$E$200)-SUM($N$200:AO200))</f>
        <v>0</v>
      </c>
      <c r="AQ200" s="1057">
        <f>IF(SUM($O$10:AQ10)&lt;$A$200,0,(AQ13*$E$200)-SUM($N$200:AP200))</f>
        <v>0</v>
      </c>
      <c r="AR200" s="1057">
        <f>IF(SUM($O$10:AR10)&lt;$A$200,0,(AR13*$E$200)-SUM($N$200:AQ200))</f>
        <v>0</v>
      </c>
      <c r="AS200" s="1057">
        <f>IF(SUM($O$10:AS10)&lt;$A$200,0,(AS13*$E$200)-SUM($N$200:AR200))</f>
        <v>0</v>
      </c>
      <c r="AT200" s="1057">
        <f>IF(SUM($O$10:AT10)&lt;$A$200,0,(AT13*$E$200)-SUM($N$200:AS200))</f>
        <v>0</v>
      </c>
      <c r="AU200" s="1057">
        <f>IF(SUM($O$10:AU10)&lt;$A$200,0,(AU13*$E$200)-SUM($N$200:AT200))</f>
        <v>0</v>
      </c>
      <c r="AV200" s="1057">
        <f>IF(SUM($O$10:AV10)&lt;$A$200,0,(AV13*$E$200)-SUM($N$200:AU200))</f>
        <v>0</v>
      </c>
      <c r="AW200" s="1057">
        <f>IF(SUM($O$10:AW10)&lt;$A$200,0,(AW13*$E$200)-SUM($N$200:AV200))</f>
        <v>0</v>
      </c>
      <c r="AX200" s="1057">
        <f>IF(SUM($O$10:AX10)&lt;$A$200,0,(AX13*$E$200)-SUM($N$200:AW200))</f>
        <v>0</v>
      </c>
      <c r="AY200" s="1057">
        <f>IF(SUM($O$10:AY10)&lt;$A$200,0,(AY13*$E$200)-SUM($N$200:AX200))</f>
        <v>0</v>
      </c>
      <c r="AZ200" s="1057">
        <f>IF(SUM($O$10:AZ10)&lt;$A$200,0,(AZ13*$E$200)-SUM($N$200:AY200))</f>
        <v>0</v>
      </c>
      <c r="BA200" s="1057">
        <f>IF(SUM($O$10:BA10)&lt;$A$200,0,(BA13*$E$200)-SUM($N$200:AZ200))</f>
        <v>0</v>
      </c>
      <c r="BB200" s="1057">
        <f>IF(SUM($O$10:BB10)&lt;$A$200,0,(BB13*$E$200)-SUM($N$200:BA200))</f>
        <v>0</v>
      </c>
      <c r="BC200" s="1057">
        <f>IF(SUM($O$10:BC10)&lt;$A$200,0,(BC13*$E$200)-SUM($N$200:BB200))</f>
        <v>0</v>
      </c>
      <c r="BD200" s="1057">
        <f>IF(SUM($O$10:BD10)&lt;$A$200,0,(BD13*$E$200)-SUM($N$200:BC200))</f>
        <v>0</v>
      </c>
      <c r="BE200" s="1057">
        <f>IF(SUM($O$10:BE10)&lt;$A$200,0,(BE13*$E$200)-SUM($N$200:BD200))</f>
        <v>0</v>
      </c>
      <c r="BF200" s="1057">
        <f>IF(SUM($O$10:BF10)&lt;$A$200,0,(BF13*$E$200)-SUM($N$200:BE200))</f>
        <v>0</v>
      </c>
      <c r="BG200" s="1057">
        <f>IF(SUM($O$10:BG10)&lt;$A$200,0,(BG13*$E$200)-SUM($N$200:BF200))</f>
        <v>0</v>
      </c>
      <c r="BH200" s="1057">
        <f>IF(SUM($O$10:BH10)&lt;$A$200,0,(BH13*$E$200)-SUM($N$200:BG200))</f>
        <v>0</v>
      </c>
      <c r="BI200" s="1057">
        <f>IF(SUM($O$10:BI10)&lt;$A$200,0,(BI13*$E$200)-SUM($N$200:BH200))</f>
        <v>0</v>
      </c>
      <c r="BJ200" s="1057">
        <f>IF(SUM($O$10:BJ10)&lt;$A$200,0,(BJ13*$E$200)-SUM($N$200:BI200))</f>
        <v>0</v>
      </c>
      <c r="BK200" s="1057">
        <f>IF(SUM($O$10:BK10)&lt;$A$200,0,(BK13*$E$200)-SUM($N$200:BJ200))</f>
        <v>0</v>
      </c>
      <c r="BL200" s="1057">
        <f>IF(SUM($O$10:BL10)&lt;$A$200,0,(BL13*$E$200)-SUM($N$200:BK200))</f>
        <v>0</v>
      </c>
      <c r="BM200" s="1057">
        <f>IF(SUM($O$10:BM10)&lt;$A$200,0,(BM13*$E$200)-SUM($N$200:BL200))</f>
        <v>0</v>
      </c>
      <c r="BN200" s="1057">
        <f>IF(SUM($O$10:BN10)&lt;$A$200,0,(BN13*$E$200)-SUM($N$200:BM200))</f>
        <v>0</v>
      </c>
      <c r="BO200" s="1057">
        <f>IF(SUM($O$10:BO10)&lt;$A$200,0,(BO13*$E$200)-SUM($N$200:BN200))</f>
        <v>0</v>
      </c>
      <c r="BP200" s="1057">
        <f>IF(SUM($O$10:BP10)&lt;$A$200,0,(BP13*$E$200)-SUM($N$200:BO200))</f>
        <v>0</v>
      </c>
      <c r="BQ200" s="1057">
        <f>IF(SUM($O$10:BQ10)&lt;$A$200,0,(BQ13*$E$200)-SUM($N$200:BP200))</f>
        <v>0</v>
      </c>
      <c r="BR200" s="1057">
        <f>IF(SUM($O$10:BR10)&lt;$A$200,0,(BR13*$E$200)-SUM($N$200:BQ200))</f>
        <v>0</v>
      </c>
      <c r="BS200" s="1057">
        <f>IF(SUM($O$10:BS10)&lt;$A$200,0,(BS13*$E$200)-SUM($N$200:BR200))</f>
        <v>0</v>
      </c>
      <c r="BT200" s="1057">
        <f>IF(SUM($O$10:BT10)&lt;$A$200,0,(BT13*$E$200)-SUM($N$200:BS200))</f>
        <v>0</v>
      </c>
      <c r="BU200" s="1057">
        <f>IF(SUM($O$10:BU10)&lt;$A$200,0,(BU13*$E$200)-SUM($N$200:BT200))</f>
        <v>0</v>
      </c>
      <c r="BV200" s="1057">
        <f>IF(SUM($O$10:BV10)&lt;$A$200,0,(BV13*$E$200)-SUM($N$200:BU200))</f>
        <v>0</v>
      </c>
      <c r="BW200" s="1057">
        <f>IF(SUM($O$10:BW10)&lt;$A$200,0,(BW13*$E$200)-SUM($N$200:BV200))</f>
        <v>0</v>
      </c>
      <c r="BX200" s="1057">
        <f>IF(SUM($O$10:BX10)&lt;$A$200,0,(BX13*$E$200)-SUM($N$200:BW200))</f>
        <v>0</v>
      </c>
      <c r="BY200" s="1067">
        <f t="shared" si="245"/>
        <v>6</v>
      </c>
      <c r="BZ200" s="1068">
        <f t="shared" si="249"/>
        <v>15266214.562500002</v>
      </c>
      <c r="CA200" s="1069" t="b">
        <f t="shared" si="250"/>
        <v>1</v>
      </c>
    </row>
    <row r="201" spans="1:80" s="1070" customFormat="1">
      <c r="B201" s="1071" t="s">
        <v>1035</v>
      </c>
      <c r="C201" s="1899"/>
      <c r="D201" s="1072">
        <f>Equity!J6</f>
        <v>0.30000000000000004</v>
      </c>
      <c r="E201" s="1061">
        <f>(분양개요!$O$7)*D201</f>
        <v>45798643.687500007</v>
      </c>
      <c r="F201" s="1062" t="b">
        <f t="shared" si="246"/>
        <v>1</v>
      </c>
      <c r="G201" s="1073"/>
      <c r="H201" s="1063"/>
      <c r="I201" s="1063"/>
      <c r="J201" s="1063"/>
      <c r="K201" s="1063">
        <f t="shared" ref="K201:AP201" si="251">IF(K7&gt;공사기간,$E$201*K193,0)</f>
        <v>0</v>
      </c>
      <c r="L201" s="1063">
        <f t="shared" si="251"/>
        <v>0</v>
      </c>
      <c r="M201" s="1063">
        <f t="shared" si="251"/>
        <v>0</v>
      </c>
      <c r="N201" s="1063">
        <f t="shared" si="251"/>
        <v>0</v>
      </c>
      <c r="O201" s="1063">
        <f t="shared" si="251"/>
        <v>0</v>
      </c>
      <c r="P201" s="1063">
        <f t="shared" si="251"/>
        <v>0</v>
      </c>
      <c r="Q201" s="1063">
        <f t="shared" si="251"/>
        <v>0</v>
      </c>
      <c r="R201" s="1063">
        <f t="shared" si="251"/>
        <v>0</v>
      </c>
      <c r="S201" s="1063">
        <f t="shared" si="251"/>
        <v>0</v>
      </c>
      <c r="T201" s="1063">
        <f t="shared" si="251"/>
        <v>0</v>
      </c>
      <c r="U201" s="1063">
        <f t="shared" si="251"/>
        <v>0</v>
      </c>
      <c r="V201" s="1063">
        <f t="shared" si="251"/>
        <v>0</v>
      </c>
      <c r="W201" s="1063">
        <f t="shared" si="251"/>
        <v>0</v>
      </c>
      <c r="X201" s="1063">
        <f t="shared" si="251"/>
        <v>0</v>
      </c>
      <c r="Y201" s="1063">
        <f t="shared" si="251"/>
        <v>0</v>
      </c>
      <c r="Z201" s="1063">
        <f t="shared" si="251"/>
        <v>0</v>
      </c>
      <c r="AA201" s="1063">
        <f t="shared" si="251"/>
        <v>0</v>
      </c>
      <c r="AB201" s="1063">
        <f t="shared" si="251"/>
        <v>0</v>
      </c>
      <c r="AC201" s="1063">
        <f t="shared" si="251"/>
        <v>0</v>
      </c>
      <c r="AD201" s="1063">
        <f t="shared" si="251"/>
        <v>0</v>
      </c>
      <c r="AE201" s="1063">
        <f t="shared" si="251"/>
        <v>0</v>
      </c>
      <c r="AF201" s="1063">
        <f t="shared" si="251"/>
        <v>0</v>
      </c>
      <c r="AG201" s="1063">
        <f t="shared" si="251"/>
        <v>0</v>
      </c>
      <c r="AH201" s="1063">
        <f t="shared" si="251"/>
        <v>0</v>
      </c>
      <c r="AI201" s="1063">
        <f t="shared" si="251"/>
        <v>0</v>
      </c>
      <c r="AJ201" s="1063">
        <f t="shared" si="251"/>
        <v>0</v>
      </c>
      <c r="AK201" s="1063">
        <f t="shared" si="251"/>
        <v>0</v>
      </c>
      <c r="AL201" s="1063">
        <f t="shared" si="251"/>
        <v>0</v>
      </c>
      <c r="AM201" s="1063">
        <f t="shared" si="251"/>
        <v>0</v>
      </c>
      <c r="AN201" s="1063">
        <f t="shared" si="251"/>
        <v>0</v>
      </c>
      <c r="AO201" s="1063">
        <f t="shared" si="251"/>
        <v>0</v>
      </c>
      <c r="AP201" s="1063">
        <f t="shared" si="251"/>
        <v>0</v>
      </c>
      <c r="AQ201" s="1063">
        <f t="shared" ref="AQ201:BX201" si="252">IF(AQ7&gt;공사기간,$E$201*AQ193,0)</f>
        <v>0</v>
      </c>
      <c r="AR201" s="1063">
        <f t="shared" si="252"/>
        <v>0</v>
      </c>
      <c r="AS201" s="1063">
        <f t="shared" si="252"/>
        <v>0</v>
      </c>
      <c r="AT201" s="1063">
        <f t="shared" si="252"/>
        <v>0</v>
      </c>
      <c r="AU201" s="1063">
        <f t="shared" si="252"/>
        <v>0</v>
      </c>
      <c r="AV201" s="1063">
        <f t="shared" si="252"/>
        <v>0</v>
      </c>
      <c r="AW201" s="1063">
        <f t="shared" si="252"/>
        <v>0</v>
      </c>
      <c r="AX201" s="1063">
        <f t="shared" si="252"/>
        <v>0</v>
      </c>
      <c r="AY201" s="1063">
        <f t="shared" si="252"/>
        <v>0</v>
      </c>
      <c r="AZ201" s="1063">
        <f t="shared" si="252"/>
        <v>0</v>
      </c>
      <c r="BA201" s="1063">
        <f t="shared" si="252"/>
        <v>0</v>
      </c>
      <c r="BB201" s="1063">
        <f t="shared" si="252"/>
        <v>0</v>
      </c>
      <c r="BC201" s="1063">
        <f t="shared" si="252"/>
        <v>0</v>
      </c>
      <c r="BD201" s="1063">
        <f t="shared" si="252"/>
        <v>0</v>
      </c>
      <c r="BE201" s="1063">
        <f t="shared" si="252"/>
        <v>0</v>
      </c>
      <c r="BF201" s="1063">
        <f t="shared" si="252"/>
        <v>0</v>
      </c>
      <c r="BG201" s="1063">
        <f t="shared" si="252"/>
        <v>0</v>
      </c>
      <c r="BH201" s="1063">
        <f t="shared" si="252"/>
        <v>0</v>
      </c>
      <c r="BI201" s="1063">
        <f t="shared" si="252"/>
        <v>0</v>
      </c>
      <c r="BJ201" s="1063">
        <f t="shared" si="252"/>
        <v>0</v>
      </c>
      <c r="BK201" s="1063">
        <f t="shared" si="252"/>
        <v>0</v>
      </c>
      <c r="BL201" s="1063">
        <f t="shared" si="252"/>
        <v>0</v>
      </c>
      <c r="BM201" s="1063">
        <f t="shared" si="252"/>
        <v>0</v>
      </c>
      <c r="BN201" s="1063">
        <f t="shared" si="252"/>
        <v>0</v>
      </c>
      <c r="BO201" s="1063">
        <f t="shared" si="252"/>
        <v>0</v>
      </c>
      <c r="BP201" s="1063">
        <f t="shared" si="252"/>
        <v>0</v>
      </c>
      <c r="BQ201" s="1063">
        <f t="shared" si="252"/>
        <v>0</v>
      </c>
      <c r="BR201" s="1063">
        <f t="shared" si="252"/>
        <v>0</v>
      </c>
      <c r="BS201" s="1063">
        <f t="shared" si="252"/>
        <v>0</v>
      </c>
      <c r="BT201" s="1063">
        <f t="shared" si="252"/>
        <v>0</v>
      </c>
      <c r="BU201" s="1063">
        <f t="shared" si="252"/>
        <v>0</v>
      </c>
      <c r="BV201" s="1063">
        <f t="shared" si="252"/>
        <v>4579864.3687500013</v>
      </c>
      <c r="BW201" s="1063">
        <f t="shared" si="252"/>
        <v>9159728.7375000026</v>
      </c>
      <c r="BX201" s="1063">
        <f t="shared" si="252"/>
        <v>32059050.581250004</v>
      </c>
      <c r="BY201" s="1074" t="str">
        <f t="shared" si="245"/>
        <v>잔금</v>
      </c>
      <c r="BZ201" s="1068">
        <f t="shared" si="249"/>
        <v>45798643.687500007</v>
      </c>
      <c r="CA201" s="1075" t="b">
        <f t="shared" si="250"/>
        <v>1</v>
      </c>
    </row>
    <row r="202" spans="1:80" s="1070" customFormat="1">
      <c r="B202" s="1076" t="s">
        <v>1036</v>
      </c>
      <c r="C202" s="1900"/>
      <c r="D202" s="1072">
        <f>SUM(D194:D201)</f>
        <v>1</v>
      </c>
      <c r="E202" s="1077">
        <f>SUM(E194:E201)</f>
        <v>152662145.625</v>
      </c>
      <c r="F202" s="1062" t="b">
        <f t="shared" si="246"/>
        <v>1</v>
      </c>
      <c r="G202" s="1073">
        <f>SUM(G194:G201)</f>
        <v>0</v>
      </c>
      <c r="H202" s="1073">
        <f t="shared" ref="H202:BV202" si="253">SUM(H194:H201)</f>
        <v>0</v>
      </c>
      <c r="I202" s="1073">
        <f t="shared" si="253"/>
        <v>0</v>
      </c>
      <c r="J202" s="1073">
        <f t="shared" si="253"/>
        <v>0</v>
      </c>
      <c r="K202" s="1073">
        <f t="shared" si="253"/>
        <v>0</v>
      </c>
      <c r="L202" s="1073">
        <f t="shared" si="253"/>
        <v>0</v>
      </c>
      <c r="M202" s="1073">
        <f t="shared" si="253"/>
        <v>0</v>
      </c>
      <c r="N202" s="1073">
        <f t="shared" si="253"/>
        <v>3053242.9125000001</v>
      </c>
      <c r="O202" s="1073">
        <f t="shared" si="253"/>
        <v>2289932.1843749997</v>
      </c>
      <c r="P202" s="1073">
        <f t="shared" si="253"/>
        <v>1831945.7474999998</v>
      </c>
      <c r="Q202" s="1073">
        <f t="shared" si="253"/>
        <v>1526621.45625</v>
      </c>
      <c r="R202" s="1073">
        <f t="shared" si="253"/>
        <v>11144336.630624998</v>
      </c>
      <c r="S202" s="1073">
        <f t="shared" si="253"/>
        <v>2137270.0387500003</v>
      </c>
      <c r="T202" s="1073">
        <f t="shared" si="253"/>
        <v>1831945.747500001</v>
      </c>
      <c r="U202" s="1073">
        <f t="shared" si="253"/>
        <v>1526621.4562500003</v>
      </c>
      <c r="V202" s="1073">
        <f t="shared" si="253"/>
        <v>14960890.27125</v>
      </c>
      <c r="W202" s="1073">
        <f t="shared" si="253"/>
        <v>1831945.7475000028</v>
      </c>
      <c r="X202" s="1073">
        <f t="shared" si="253"/>
        <v>1831945.7474999991</v>
      </c>
      <c r="Y202" s="1073">
        <f t="shared" si="253"/>
        <v>1831945.7475000028</v>
      </c>
      <c r="Z202" s="1073">
        <f t="shared" si="253"/>
        <v>15266214.562500002</v>
      </c>
      <c r="AA202" s="1073">
        <f t="shared" si="253"/>
        <v>0</v>
      </c>
      <c r="AB202" s="1073">
        <f t="shared" si="253"/>
        <v>0</v>
      </c>
      <c r="AC202" s="1073">
        <f t="shared" si="253"/>
        <v>0</v>
      </c>
      <c r="AD202" s="1073">
        <f t="shared" si="253"/>
        <v>15266214.562500002</v>
      </c>
      <c r="AE202" s="1073">
        <f t="shared" si="253"/>
        <v>0</v>
      </c>
      <c r="AF202" s="1073">
        <f t="shared" si="253"/>
        <v>0</v>
      </c>
      <c r="AG202" s="1073">
        <f t="shared" si="253"/>
        <v>0</v>
      </c>
      <c r="AH202" s="1073">
        <f t="shared" si="253"/>
        <v>15266214.562500002</v>
      </c>
      <c r="AI202" s="1073">
        <f t="shared" si="253"/>
        <v>0</v>
      </c>
      <c r="AJ202" s="1073">
        <f t="shared" si="253"/>
        <v>0</v>
      </c>
      <c r="AK202" s="1073">
        <f t="shared" si="253"/>
        <v>0</v>
      </c>
      <c r="AL202" s="1073">
        <f t="shared" si="253"/>
        <v>15266214.562500002</v>
      </c>
      <c r="AM202" s="1073">
        <f t="shared" si="253"/>
        <v>0</v>
      </c>
      <c r="AN202" s="1073">
        <f t="shared" si="253"/>
        <v>0</v>
      </c>
      <c r="AO202" s="1073">
        <f t="shared" si="253"/>
        <v>0</v>
      </c>
      <c r="AP202" s="1073">
        <f t="shared" si="253"/>
        <v>0</v>
      </c>
      <c r="AQ202" s="1073">
        <f t="shared" si="253"/>
        <v>0</v>
      </c>
      <c r="AR202" s="1073">
        <f t="shared" si="253"/>
        <v>0</v>
      </c>
      <c r="AS202" s="1073">
        <f t="shared" si="253"/>
        <v>0</v>
      </c>
      <c r="AT202" s="1073">
        <f t="shared" si="253"/>
        <v>0</v>
      </c>
      <c r="AU202" s="1073">
        <f t="shared" si="253"/>
        <v>0</v>
      </c>
      <c r="AV202" s="1073">
        <f t="shared" si="253"/>
        <v>0</v>
      </c>
      <c r="AW202" s="1073">
        <f t="shared" si="253"/>
        <v>0</v>
      </c>
      <c r="AX202" s="1073">
        <f t="shared" si="253"/>
        <v>0</v>
      </c>
      <c r="AY202" s="1073">
        <f t="shared" si="253"/>
        <v>0</v>
      </c>
      <c r="AZ202" s="1073">
        <f t="shared" si="253"/>
        <v>0</v>
      </c>
      <c r="BA202" s="1073">
        <f t="shared" si="253"/>
        <v>0</v>
      </c>
      <c r="BB202" s="1073">
        <f t="shared" si="253"/>
        <v>0</v>
      </c>
      <c r="BC202" s="1073">
        <f t="shared" si="253"/>
        <v>0</v>
      </c>
      <c r="BD202" s="1073">
        <f t="shared" si="253"/>
        <v>0</v>
      </c>
      <c r="BE202" s="1073">
        <f>SUM(BE194:BE201)</f>
        <v>0</v>
      </c>
      <c r="BF202" s="1073">
        <f t="shared" ref="BF202:BU202" si="254">SUM(BF194:BF201)</f>
        <v>0</v>
      </c>
      <c r="BG202" s="1073">
        <f t="shared" si="254"/>
        <v>0</v>
      </c>
      <c r="BH202" s="1073">
        <f t="shared" si="254"/>
        <v>0</v>
      </c>
      <c r="BI202" s="1073">
        <f t="shared" si="254"/>
        <v>0</v>
      </c>
      <c r="BJ202" s="1073">
        <f t="shared" si="254"/>
        <v>0</v>
      </c>
      <c r="BK202" s="1073">
        <f t="shared" si="254"/>
        <v>0</v>
      </c>
      <c r="BL202" s="1073">
        <f t="shared" si="254"/>
        <v>0</v>
      </c>
      <c r="BM202" s="1073">
        <f t="shared" si="254"/>
        <v>0</v>
      </c>
      <c r="BN202" s="1073">
        <f t="shared" si="254"/>
        <v>0</v>
      </c>
      <c r="BO202" s="1073">
        <f t="shared" si="254"/>
        <v>0</v>
      </c>
      <c r="BP202" s="1073">
        <f t="shared" si="254"/>
        <v>0</v>
      </c>
      <c r="BQ202" s="1073">
        <f t="shared" si="254"/>
        <v>0</v>
      </c>
      <c r="BR202" s="1073">
        <f t="shared" si="254"/>
        <v>0</v>
      </c>
      <c r="BS202" s="1073">
        <f t="shared" si="254"/>
        <v>0</v>
      </c>
      <c r="BT202" s="1073">
        <f t="shared" si="254"/>
        <v>0</v>
      </c>
      <c r="BU202" s="1073">
        <f t="shared" si="254"/>
        <v>0</v>
      </c>
      <c r="BV202" s="1078">
        <f t="shared" si="253"/>
        <v>4579864.3687500013</v>
      </c>
      <c r="BW202" s="1078">
        <f t="shared" ref="BW202:BX202" si="255">SUM(BW194:BW201)</f>
        <v>9159728.7375000026</v>
      </c>
      <c r="BX202" s="1078">
        <f t="shared" si="255"/>
        <v>32059050.581250004</v>
      </c>
      <c r="BY202" s="1079" t="str">
        <f t="shared" si="245"/>
        <v>합계</v>
      </c>
      <c r="BZ202" s="1080">
        <f t="shared" si="249"/>
        <v>152662145.62500003</v>
      </c>
      <c r="CA202" s="1081" t="b">
        <f t="shared" si="250"/>
        <v>1</v>
      </c>
    </row>
    <row r="203" spans="1:80" s="1082" customFormat="1">
      <c r="B203" s="2362" t="str">
        <f>Equity!G7</f>
        <v>오피스텔</v>
      </c>
      <c r="C203" s="2363"/>
      <c r="D203" s="2363"/>
      <c r="E203" s="2363"/>
      <c r="F203" s="1062"/>
      <c r="G203" s="1056"/>
      <c r="H203" s="1057"/>
      <c r="I203" s="1057"/>
      <c r="J203" s="1057"/>
      <c r="K203" s="1057"/>
      <c r="L203" s="1057"/>
      <c r="M203" s="1057"/>
      <c r="N203" s="1057"/>
      <c r="O203" s="1057"/>
      <c r="P203" s="1057"/>
      <c r="Q203" s="1057"/>
      <c r="R203" s="1057"/>
      <c r="S203" s="1057"/>
      <c r="T203" s="1057"/>
      <c r="U203" s="1057"/>
      <c r="V203" s="1057"/>
      <c r="W203" s="1057"/>
      <c r="X203" s="1057"/>
      <c r="Y203" s="1057"/>
      <c r="Z203" s="1057"/>
      <c r="AA203" s="1057"/>
      <c r="AB203" s="1057"/>
      <c r="AC203" s="1057"/>
      <c r="AD203" s="1057"/>
      <c r="AE203" s="1057"/>
      <c r="AF203" s="1057"/>
      <c r="AG203" s="1057"/>
      <c r="AH203" s="1057"/>
      <c r="AI203" s="1057"/>
      <c r="AJ203" s="1057"/>
      <c r="AK203" s="1057"/>
      <c r="AL203" s="1057"/>
      <c r="AM203" s="1057"/>
      <c r="AN203" s="1057"/>
      <c r="AO203" s="1057"/>
      <c r="AP203" s="1057"/>
      <c r="AQ203" s="1057"/>
      <c r="AR203" s="1057"/>
      <c r="AS203" s="1057"/>
      <c r="AT203" s="1057"/>
      <c r="AU203" s="1057"/>
      <c r="AV203" s="1057"/>
      <c r="AW203" s="1057"/>
      <c r="AX203" s="1057"/>
      <c r="AY203" s="1057"/>
      <c r="AZ203" s="1057"/>
      <c r="BA203" s="1057"/>
      <c r="BB203" s="1057"/>
      <c r="BC203" s="1057"/>
      <c r="BD203" s="1057"/>
      <c r="BE203" s="1057"/>
      <c r="BF203" s="1057"/>
      <c r="BG203" s="1057"/>
      <c r="BH203" s="1057"/>
      <c r="BI203" s="1057"/>
      <c r="BJ203" s="1057"/>
      <c r="BK203" s="1057"/>
      <c r="BL203" s="1057"/>
      <c r="BM203" s="1057"/>
      <c r="BN203" s="1057"/>
      <c r="BO203" s="1057"/>
      <c r="BP203" s="1057"/>
      <c r="BQ203" s="1057"/>
      <c r="BR203" s="1057"/>
      <c r="BS203" s="1057"/>
      <c r="BT203" s="1057"/>
      <c r="BU203" s="1057"/>
      <c r="BV203" s="1911">
        <f>비용집행계획!BQ11</f>
        <v>0.1</v>
      </c>
      <c r="BW203" s="1911">
        <f>비용집행계획!BR11</f>
        <v>0.2</v>
      </c>
      <c r="BX203" s="1911">
        <f>비용집행계획!BS11</f>
        <v>0.7</v>
      </c>
      <c r="BY203" s="2368" t="str">
        <f t="shared" si="245"/>
        <v>오피스텔</v>
      </c>
      <c r="BZ203" s="2369"/>
      <c r="CA203" s="1083"/>
      <c r="CB203" s="1084"/>
    </row>
    <row r="204" spans="1:80" s="1082" customFormat="1">
      <c r="B204" s="1085" t="s">
        <v>120</v>
      </c>
      <c r="C204" s="1901"/>
      <c r="D204" s="1060">
        <f>Equity!H7</f>
        <v>0.1</v>
      </c>
      <c r="E204" s="1061">
        <f>분양개요!$O$8*D204</f>
        <v>0</v>
      </c>
      <c r="F204" s="1062" t="b">
        <f t="shared" ref="F204:F212" si="256">CA204</f>
        <v>1</v>
      </c>
      <c r="G204" s="1056"/>
      <c r="H204" s="1057"/>
      <c r="I204" s="1057"/>
      <c r="J204" s="1057"/>
      <c r="K204" s="1058">
        <f t="shared" ref="K204:AP204" si="257">$E$204*K15</f>
        <v>0</v>
      </c>
      <c r="L204" s="1058">
        <f t="shared" si="257"/>
        <v>0</v>
      </c>
      <c r="M204" s="1058">
        <f t="shared" si="257"/>
        <v>0</v>
      </c>
      <c r="N204" s="1058">
        <f t="shared" si="257"/>
        <v>0</v>
      </c>
      <c r="O204" s="1058">
        <f t="shared" si="257"/>
        <v>0</v>
      </c>
      <c r="P204" s="1058">
        <f t="shared" si="257"/>
        <v>0</v>
      </c>
      <c r="Q204" s="1058">
        <f t="shared" si="257"/>
        <v>0</v>
      </c>
      <c r="R204" s="1058">
        <f t="shared" si="257"/>
        <v>0</v>
      </c>
      <c r="S204" s="1058">
        <f t="shared" si="257"/>
        <v>0</v>
      </c>
      <c r="T204" s="1058">
        <f t="shared" si="257"/>
        <v>0</v>
      </c>
      <c r="U204" s="1058">
        <f t="shared" si="257"/>
        <v>0</v>
      </c>
      <c r="V204" s="1058">
        <f t="shared" si="257"/>
        <v>0</v>
      </c>
      <c r="W204" s="1058">
        <f t="shared" si="257"/>
        <v>0</v>
      </c>
      <c r="X204" s="1058">
        <f t="shared" si="257"/>
        <v>0</v>
      </c>
      <c r="Y204" s="1058">
        <f t="shared" si="257"/>
        <v>0</v>
      </c>
      <c r="Z204" s="1058">
        <f t="shared" si="257"/>
        <v>0</v>
      </c>
      <c r="AA204" s="1058">
        <f t="shared" si="257"/>
        <v>0</v>
      </c>
      <c r="AB204" s="1058">
        <f t="shared" si="257"/>
        <v>0</v>
      </c>
      <c r="AC204" s="1058">
        <f t="shared" si="257"/>
        <v>0</v>
      </c>
      <c r="AD204" s="1058">
        <f t="shared" si="257"/>
        <v>0</v>
      </c>
      <c r="AE204" s="1058">
        <f t="shared" si="257"/>
        <v>0</v>
      </c>
      <c r="AF204" s="1058">
        <f t="shared" si="257"/>
        <v>0</v>
      </c>
      <c r="AG204" s="1058">
        <f t="shared" si="257"/>
        <v>0</v>
      </c>
      <c r="AH204" s="1058">
        <f t="shared" si="257"/>
        <v>0</v>
      </c>
      <c r="AI204" s="1058">
        <f t="shared" si="257"/>
        <v>0</v>
      </c>
      <c r="AJ204" s="1058">
        <f t="shared" si="257"/>
        <v>0</v>
      </c>
      <c r="AK204" s="1058">
        <f t="shared" si="257"/>
        <v>0</v>
      </c>
      <c r="AL204" s="1058">
        <f t="shared" si="257"/>
        <v>0</v>
      </c>
      <c r="AM204" s="1058">
        <f t="shared" si="257"/>
        <v>0</v>
      </c>
      <c r="AN204" s="1058">
        <f t="shared" si="257"/>
        <v>0</v>
      </c>
      <c r="AO204" s="1058">
        <f t="shared" si="257"/>
        <v>0</v>
      </c>
      <c r="AP204" s="1058">
        <f t="shared" si="257"/>
        <v>0</v>
      </c>
      <c r="AQ204" s="1058">
        <f t="shared" ref="AQ204:BX204" si="258">$E$204*AQ15</f>
        <v>0</v>
      </c>
      <c r="AR204" s="1058">
        <f t="shared" si="258"/>
        <v>0</v>
      </c>
      <c r="AS204" s="1058">
        <f t="shared" si="258"/>
        <v>0</v>
      </c>
      <c r="AT204" s="1058">
        <f t="shared" si="258"/>
        <v>0</v>
      </c>
      <c r="AU204" s="1058">
        <f t="shared" si="258"/>
        <v>0</v>
      </c>
      <c r="AV204" s="1058">
        <f t="shared" si="258"/>
        <v>0</v>
      </c>
      <c r="AW204" s="1058">
        <f t="shared" si="258"/>
        <v>0</v>
      </c>
      <c r="AX204" s="1058">
        <f t="shared" si="258"/>
        <v>0</v>
      </c>
      <c r="AY204" s="1058">
        <f t="shared" si="258"/>
        <v>0</v>
      </c>
      <c r="AZ204" s="1058">
        <f t="shared" si="258"/>
        <v>0</v>
      </c>
      <c r="BA204" s="1058">
        <f t="shared" si="258"/>
        <v>0</v>
      </c>
      <c r="BB204" s="1058">
        <f t="shared" si="258"/>
        <v>0</v>
      </c>
      <c r="BC204" s="1058">
        <f t="shared" si="258"/>
        <v>0</v>
      </c>
      <c r="BD204" s="1058">
        <f t="shared" si="258"/>
        <v>0</v>
      </c>
      <c r="BE204" s="1058">
        <f t="shared" si="258"/>
        <v>0</v>
      </c>
      <c r="BF204" s="1058">
        <f t="shared" si="258"/>
        <v>0</v>
      </c>
      <c r="BG204" s="1058">
        <f t="shared" si="258"/>
        <v>0</v>
      </c>
      <c r="BH204" s="1058">
        <f t="shared" si="258"/>
        <v>0</v>
      </c>
      <c r="BI204" s="1058">
        <f t="shared" si="258"/>
        <v>0</v>
      </c>
      <c r="BJ204" s="1058">
        <f t="shared" si="258"/>
        <v>0</v>
      </c>
      <c r="BK204" s="1058">
        <f t="shared" si="258"/>
        <v>0</v>
      </c>
      <c r="BL204" s="1058">
        <f t="shared" si="258"/>
        <v>0</v>
      </c>
      <c r="BM204" s="1058">
        <f t="shared" si="258"/>
        <v>0</v>
      </c>
      <c r="BN204" s="1058">
        <f t="shared" si="258"/>
        <v>0</v>
      </c>
      <c r="BO204" s="1058">
        <f t="shared" si="258"/>
        <v>0</v>
      </c>
      <c r="BP204" s="1058">
        <f t="shared" si="258"/>
        <v>0</v>
      </c>
      <c r="BQ204" s="1058">
        <f t="shared" si="258"/>
        <v>0</v>
      </c>
      <c r="BR204" s="1058">
        <f t="shared" si="258"/>
        <v>0</v>
      </c>
      <c r="BS204" s="1058">
        <f t="shared" si="258"/>
        <v>0</v>
      </c>
      <c r="BT204" s="1058">
        <f t="shared" si="258"/>
        <v>0</v>
      </c>
      <c r="BU204" s="1058">
        <f t="shared" si="258"/>
        <v>0</v>
      </c>
      <c r="BV204" s="1058">
        <f t="shared" si="258"/>
        <v>0</v>
      </c>
      <c r="BW204" s="1058">
        <f t="shared" si="258"/>
        <v>0</v>
      </c>
      <c r="BX204" s="1058">
        <f t="shared" si="258"/>
        <v>0</v>
      </c>
      <c r="BY204" s="1064" t="str">
        <f t="shared" si="245"/>
        <v>계약금</v>
      </c>
      <c r="BZ204" s="1065">
        <f t="shared" ref="BZ204:BZ212" si="259">SUM(G204:BX204)</f>
        <v>0</v>
      </c>
      <c r="CA204" s="1066" t="b">
        <f t="shared" ref="CA204:CA212" si="260">ROUND(BZ204,0)=ROUND(E204,0)</f>
        <v>1</v>
      </c>
      <c r="CB204" s="1084"/>
    </row>
    <row r="205" spans="1:80" s="1082" customFormat="1">
      <c r="A205">
        <v>1</v>
      </c>
      <c r="B205" s="1067">
        <v>1</v>
      </c>
      <c r="C205" s="1898"/>
      <c r="D205" s="1060">
        <f>IF(B205&lt;Equity!$D$28+1,Equity!$I$7/Equity!$D$28,0)</f>
        <v>9.9999999999999992E-2</v>
      </c>
      <c r="E205" s="1061">
        <f>분양개요!$O$8*D205</f>
        <v>0</v>
      </c>
      <c r="F205" s="1062" t="b">
        <f t="shared" si="256"/>
        <v>1</v>
      </c>
      <c r="G205" s="1056"/>
      <c r="H205" s="1057"/>
      <c r="I205" s="1057"/>
      <c r="J205" s="1057"/>
      <c r="K205" s="1057">
        <f>IF(SUM(K$14:$O14)&lt;1,0,(K16*$E$205)-SUM(J$205:$N205))</f>
        <v>0</v>
      </c>
      <c r="L205" s="1057">
        <f>IF(SUM(L$14:$O14)&lt;1,0,(L16*$E$205)-SUM(K$205:$N205))</f>
        <v>0</v>
      </c>
      <c r="M205" s="1057">
        <f>IF(SUM(M$14:$O14)&lt;1,0,(M16*$E$205)-SUM(L$205:$N205))</f>
        <v>0</v>
      </c>
      <c r="N205" s="1057">
        <f>IF(SUM(N$14:$O14)&lt;1,0,(N16*$E$205)-SUM(M$205:$N205))</f>
        <v>0</v>
      </c>
      <c r="O205" s="1057">
        <f>IF(SUM($O$14:O14)&lt;1,0,(O16*$E$205)-SUM($N$205:N205))</f>
        <v>0</v>
      </c>
      <c r="P205" s="1057">
        <f>IF(SUM($O$14:P14)&lt;1,0,(P16*$E$205)-SUM($N$205:O205))</f>
        <v>0</v>
      </c>
      <c r="Q205" s="1057">
        <f>IF(SUM($O$14:Q14)&lt;1,0,(Q16*$E$205)-SUM($N$205:P205))</f>
        <v>0</v>
      </c>
      <c r="R205" s="1057">
        <f>IF(SUM($O$14:R14)&lt;1,0,(R16*$E$205)-SUM($N$205:Q205))</f>
        <v>0</v>
      </c>
      <c r="S205" s="1057">
        <f>IF(SUM($O$14:S14)&lt;1,0,(S16*$E$205)-SUM($N$205:R205))</f>
        <v>0</v>
      </c>
      <c r="T205" s="1057">
        <f>IF(SUM($O$14:T14)&lt;1,0,(T16*$E$205)-SUM($N$205:S205))</f>
        <v>0</v>
      </c>
      <c r="U205" s="1057">
        <f>IF(SUM($O$14:U14)&lt;1,0,(U16*$E$205)-SUM($N$205:T205))</f>
        <v>0</v>
      </c>
      <c r="V205" s="1057">
        <f>IF(SUM($O$14:V14)&lt;1,0,(V16*$E$205)-SUM($N$205:U205))</f>
        <v>0</v>
      </c>
      <c r="W205" s="1057">
        <f>IF(SUM($O$14:W14)&lt;1,0,(W16*$E$205)-SUM($N$205:V205))</f>
        <v>0</v>
      </c>
      <c r="X205" s="1057">
        <f>IF(SUM($O$14:X14)&lt;1,0,(X16*$E$205)-SUM($N$205:W205))</f>
        <v>0</v>
      </c>
      <c r="Y205" s="1057">
        <f>IF(SUM($O$14:Y14)&lt;1,0,(Y16*$E$205)-SUM($N$205:X205))</f>
        <v>0</v>
      </c>
      <c r="Z205" s="1057">
        <f>IF(SUM($O$14:Z14)&lt;1,0,(Z16*$E$205)-SUM($N$205:Y205))</f>
        <v>0</v>
      </c>
      <c r="AA205" s="1057">
        <f>IF(SUM($O$14:AA14)&lt;1,0,(AA16*$E$205)-SUM($N$205:Z205))</f>
        <v>0</v>
      </c>
      <c r="AB205" s="1057">
        <f>IF(SUM($O$14:AB14)&lt;1,0,(AB16*$E$205)-SUM($N$205:AA205))</f>
        <v>0</v>
      </c>
      <c r="AC205" s="1057">
        <f>IF(SUM($O$14:AC14)&lt;1,0,(AC16*$E$205)-SUM($N$205:AB205))</f>
        <v>0</v>
      </c>
      <c r="AD205" s="1057">
        <f>IF(SUM($O$14:AD14)&lt;1,0,(AD16*$E$205)-SUM($N$205:AC205))</f>
        <v>0</v>
      </c>
      <c r="AE205" s="1057">
        <f>IF(SUM($O$14:AE14)&lt;1,0,(AE16*$E$205)-SUM($N$205:AD205))</f>
        <v>0</v>
      </c>
      <c r="AF205" s="1057">
        <f>IF(SUM($O$14:AF14)&lt;1,0,(AF16*$E$205)-SUM($N$205:AE205))</f>
        <v>0</v>
      </c>
      <c r="AG205" s="1057">
        <f>IF(SUM($O$14:AG14)&lt;1,0,(AG16*$E$205)-SUM($N$205:AF205))</f>
        <v>0</v>
      </c>
      <c r="AH205" s="1057">
        <f>IF(SUM($O$14:AH14)&lt;1,0,(AH16*$E$205)-SUM($N$205:AG205))</f>
        <v>0</v>
      </c>
      <c r="AI205" s="1057">
        <f>IF(SUM($O$14:AI14)&lt;1,0,(AI16*$E$205)-SUM($N$205:AH205))</f>
        <v>0</v>
      </c>
      <c r="AJ205" s="1057">
        <f>IF(SUM($O$14:AJ14)&lt;1,0,(AJ16*$E$205)-SUM($N$205:AI205))</f>
        <v>0</v>
      </c>
      <c r="AK205" s="1057">
        <f>IF(SUM($O$14:AK14)&lt;1,0,(AK16*$E$205)-SUM($N$205:AJ205))</f>
        <v>0</v>
      </c>
      <c r="AL205" s="1057">
        <f>IF(SUM($O$14:AL14)&lt;1,0,(AL16*$E$205)-SUM($N$205:AK205))</f>
        <v>0</v>
      </c>
      <c r="AM205" s="1057">
        <f>IF(SUM($O$14:AM14)&lt;1,0,(AM16*$E$205)-SUM($N$205:AL205))</f>
        <v>0</v>
      </c>
      <c r="AN205" s="1057">
        <f>IF(SUM($O$14:AN14)&lt;1,0,(AN16*$E$205)-SUM($N$205:AM205))</f>
        <v>0</v>
      </c>
      <c r="AO205" s="1057">
        <f>IF(SUM($O$14:AO14)&lt;1,0,(AO16*$E$205)-SUM($N$205:AN205))</f>
        <v>0</v>
      </c>
      <c r="AP205" s="1057">
        <f>IF(SUM($O$14:AP14)&lt;1,0,(AP16*$E$205)-SUM($N$205:AO205))</f>
        <v>0</v>
      </c>
      <c r="AQ205" s="1057">
        <f>IF(SUM($O$14:AQ14)&lt;1,0,(AQ16*$E$205)-SUM($N$205:AP205))</f>
        <v>0</v>
      </c>
      <c r="AR205" s="1057">
        <f>IF(SUM($O$14:AR14)&lt;1,0,(AR16*$E$205)-SUM($N$205:AQ205))</f>
        <v>0</v>
      </c>
      <c r="AS205" s="1057">
        <f>IF(SUM($O$14:AS14)&lt;1,0,(AS16*$E$205)-SUM($N$205:AR205))</f>
        <v>0</v>
      </c>
      <c r="AT205" s="1057">
        <f>IF(SUM($O$14:AT14)&lt;1,0,(AT16*$E$205)-SUM($N$205:AS205))</f>
        <v>0</v>
      </c>
      <c r="AU205" s="1057">
        <f>IF(SUM($O$14:AU14)&lt;1,0,(AU16*$E$205)-SUM($N$205:AT205))</f>
        <v>0</v>
      </c>
      <c r="AV205" s="1057">
        <f>IF(SUM($O$14:AV14)&lt;1,0,(AV16*$E$205)-SUM($N$205:AU205))</f>
        <v>0</v>
      </c>
      <c r="AW205" s="1057">
        <f>IF(SUM($O$14:AW14)&lt;1,0,(AW16*$E$205)-SUM($N$205:AV205))</f>
        <v>0</v>
      </c>
      <c r="AX205" s="1057">
        <f>IF(SUM($O$14:AX14)&lt;1,0,(AX16*$E$205)-SUM($N$205:AW205))</f>
        <v>0</v>
      </c>
      <c r="AY205" s="1057">
        <f>IF(SUM($O$14:AY14)&lt;1,0,(AY16*$E$205)-SUM($N$205:AX205))</f>
        <v>0</v>
      </c>
      <c r="AZ205" s="1057">
        <f>IF(SUM($O$14:AZ14)&lt;1,0,(AZ16*$E$205)-SUM($N$205:AY205))</f>
        <v>0</v>
      </c>
      <c r="BA205" s="1057">
        <f>IF(SUM($O$14:BA14)&lt;1,0,(BA16*$E$205)-SUM($N$205:AZ205))</f>
        <v>0</v>
      </c>
      <c r="BB205" s="1057">
        <f>IF(SUM($O$14:BB14)&lt;1,0,(BB16*$E$205)-SUM($N$205:BA205))</f>
        <v>0</v>
      </c>
      <c r="BC205" s="1057">
        <f>IF(SUM($O$14:BC14)&lt;1,0,(BC16*$E$205)-SUM($N$205:BB205))</f>
        <v>0</v>
      </c>
      <c r="BD205" s="1057">
        <f>IF(SUM($O$14:BD14)&lt;1,0,(BD16*$E$205)-SUM($N$205:BC205))</f>
        <v>0</v>
      </c>
      <c r="BE205" s="1057">
        <f>IF(SUM($O$14:BE14)&lt;1,0,(BE16*$E$205)-SUM($N$205:BD205))</f>
        <v>0</v>
      </c>
      <c r="BF205" s="1057">
        <f>IF(SUM($O$14:BF14)&lt;1,0,(BF16*$E$205)-SUM($N$205:BE205))</f>
        <v>0</v>
      </c>
      <c r="BG205" s="1057">
        <f>IF(SUM($O$14:BG14)&lt;1,0,(BG16*$E$205)-SUM($N$205:BF205))</f>
        <v>0</v>
      </c>
      <c r="BH205" s="1057">
        <f>IF(SUM($O$14:BH14)&lt;1,0,(BH16*$E$205)-SUM($N$205:BG205))</f>
        <v>0</v>
      </c>
      <c r="BI205" s="1057">
        <f>IF(SUM($O$14:BI14)&lt;1,0,(BI16*$E$205)-SUM($N$205:BH205))</f>
        <v>0</v>
      </c>
      <c r="BJ205" s="1057">
        <f>IF(SUM($O$14:BJ14)&lt;1,0,(BJ16*$E$205)-SUM($N$205:BI205))</f>
        <v>0</v>
      </c>
      <c r="BK205" s="1057">
        <f>IF(SUM($O$14:BK14)&lt;1,0,(BK16*$E$205)-SUM($N$205:BJ205))</f>
        <v>0</v>
      </c>
      <c r="BL205" s="1057">
        <f>IF(SUM($O$14:BL14)&lt;1,0,(BL16*$E$205)-SUM($N$205:BK205))</f>
        <v>0</v>
      </c>
      <c r="BM205" s="1057">
        <f>IF(SUM($O$14:BM14)&lt;1,0,(BM16*$E$205)-SUM($N$205:BL205))</f>
        <v>0</v>
      </c>
      <c r="BN205" s="1057">
        <f>IF(SUM($O$14:BN14)&lt;1,0,(BN16*$E$205)-SUM($N$205:BM205))</f>
        <v>0</v>
      </c>
      <c r="BO205" s="1057">
        <f>IF(SUM($O$14:BO14)&lt;1,0,(BO16*$E$205)-SUM($N$205:BN205))</f>
        <v>0</v>
      </c>
      <c r="BP205" s="1057">
        <f>IF(SUM($O$14:BP14)&lt;1,0,(BP16*$E$205)-SUM($N$205:BO205))</f>
        <v>0</v>
      </c>
      <c r="BQ205" s="1057">
        <f>IF(SUM($O$14:BQ14)&lt;1,0,(BQ16*$E$205)-SUM($N$205:BP205))</f>
        <v>0</v>
      </c>
      <c r="BR205" s="1057">
        <f>IF(SUM($O$14:BR14)&lt;1,0,(BR16*$E$205)-SUM($N$205:BQ205))</f>
        <v>0</v>
      </c>
      <c r="BS205" s="1057">
        <f>IF(SUM($O$14:BS14)&lt;1,0,(BS16*$E$205)-SUM($N$205:BR205))</f>
        <v>0</v>
      </c>
      <c r="BT205" s="1057">
        <f>IF(SUM($O$14:BT14)&lt;1,0,(BT16*$E$205)-SUM($N$205:BS205))</f>
        <v>0</v>
      </c>
      <c r="BU205" s="1057">
        <f>IF(SUM($O$14:BU14)&lt;1,0,(BU16*$E$205)-SUM($N$205:BT205))</f>
        <v>0</v>
      </c>
      <c r="BV205" s="1057">
        <f>IF(SUM($O$14:BV14)&lt;1,0,(BV16*$E$205)-SUM($N$205:BU205))</f>
        <v>0</v>
      </c>
      <c r="BW205" s="1057">
        <f>IF(SUM($O$14:BW14)&lt;1,0,(BW16*$E$205)-SUM($N$205:BV205))</f>
        <v>0</v>
      </c>
      <c r="BX205" s="1057">
        <f>IF(SUM($O$14:BX14)&lt;1,0,(BX16*$E$205)-SUM($N$205:BW205))</f>
        <v>0</v>
      </c>
      <c r="BY205" s="1067">
        <f t="shared" si="245"/>
        <v>1</v>
      </c>
      <c r="BZ205" s="1068">
        <f t="shared" si="259"/>
        <v>0</v>
      </c>
      <c r="CA205" s="1069" t="b">
        <f t="shared" si="260"/>
        <v>1</v>
      </c>
      <c r="CB205" s="1084"/>
    </row>
    <row r="206" spans="1:80" s="1082" customFormat="1">
      <c r="A206" s="398">
        <v>3</v>
      </c>
      <c r="B206" s="1067">
        <v>2</v>
      </c>
      <c r="C206" s="1898"/>
      <c r="D206" s="1060">
        <f>IF(B206&lt;Equity!$D$28+1,Equity!$I$7/Equity!$D$28,0)</f>
        <v>9.9999999999999992E-2</v>
      </c>
      <c r="E206" s="1061">
        <f>분양개요!$O$8*D206</f>
        <v>0</v>
      </c>
      <c r="F206" s="1062" t="b">
        <f t="shared" si="256"/>
        <v>1</v>
      </c>
      <c r="G206" s="1056"/>
      <c r="H206" s="1057"/>
      <c r="I206" s="1057"/>
      <c r="J206" s="1057"/>
      <c r="K206" s="1057">
        <f>IF(SUM(K$14:$O14)&lt;$A$206,0,(K16*$E$206)-SUM(J$206:$N206))</f>
        <v>0</v>
      </c>
      <c r="L206" s="1057">
        <f>IF(SUM(L$14:$O14)&lt;$A$206,0,(L16*$E$206)-SUM(K$206:$N206))</f>
        <v>0</v>
      </c>
      <c r="M206" s="1057">
        <f>IF(SUM(M$14:$O14)&lt;$A$206,0,(M16*$E$206)-SUM(L$206:$N206))</f>
        <v>0</v>
      </c>
      <c r="N206" s="1057">
        <f>IF(SUM(N$14:$O14)&lt;$A$206,0,(N16*$E$206)-SUM(M$206:$N206))</f>
        <v>0</v>
      </c>
      <c r="O206" s="1057">
        <f>IF(SUM($O$14:O14)&lt;$A$206,0,(O16*$E$206)-SUM($N$206:N206))</f>
        <v>0</v>
      </c>
      <c r="P206" s="1057">
        <f>IF(SUM($O$14:P14)&lt;$A$206,0,(P16*$E$206)-SUM($N$206:O206))</f>
        <v>0</v>
      </c>
      <c r="Q206" s="1057">
        <f>IF(SUM($O$14:Q14)&lt;$A$206,0,(Q16*$E$206)-SUM($N$206:P206))</f>
        <v>0</v>
      </c>
      <c r="R206" s="1057">
        <f>IF(SUM($O$14:R14)&lt;$A$206,0,(R16*$E$206)-SUM($N$206:Q206))</f>
        <v>0</v>
      </c>
      <c r="S206" s="1057">
        <f>IF(SUM($O$14:S14)&lt;$A$206,0,(S16*$E$206)-SUM($N$206:R206))</f>
        <v>0</v>
      </c>
      <c r="T206" s="1057">
        <f>IF(SUM($O$14:T14)&lt;$A$206,0,(T16*$E$206)-SUM($N$206:S206))</f>
        <v>0</v>
      </c>
      <c r="U206" s="1057">
        <f>IF(SUM($O$14:U14)&lt;$A$206,0,(U16*$E$206)-SUM($N$206:T206))</f>
        <v>0</v>
      </c>
      <c r="V206" s="1057">
        <f>IF(SUM($O$14:V14)&lt;$A$206,0,(V16*$E$206)-SUM($N$206:U206))</f>
        <v>0</v>
      </c>
      <c r="W206" s="1057">
        <f>IF(SUM($O$14:W14)&lt;$A$206,0,(W16*$E$206)-SUM($N$206:V206))</f>
        <v>0</v>
      </c>
      <c r="X206" s="1057">
        <f>IF(SUM($O$14:X14)&lt;$A$206,0,(X16*$E$206)-SUM($N$206:W206))</f>
        <v>0</v>
      </c>
      <c r="Y206" s="1057">
        <f>IF(SUM($O$14:Y14)&lt;$A$206,0,(Y16*$E$206)-SUM($N$206:X206))</f>
        <v>0</v>
      </c>
      <c r="Z206" s="1057">
        <f>IF(SUM($O$14:Z14)&lt;$A$206,0,(Z16*$E$206)-SUM($N$206:Y206))</f>
        <v>0</v>
      </c>
      <c r="AA206" s="1057">
        <f>IF(SUM($O$14:AA14)&lt;$A$206,0,(AA16*$E$206)-SUM($N$206:Z206))</f>
        <v>0</v>
      </c>
      <c r="AB206" s="1057">
        <f>IF(SUM($O$14:AB14)&lt;$A$206,0,(AB16*$E$206)-SUM($N$206:AA206))</f>
        <v>0</v>
      </c>
      <c r="AC206" s="1057">
        <f>IF(SUM($O$14:AC14)&lt;$A$206,0,(AC16*$E$206)-SUM($N$206:AB206))</f>
        <v>0</v>
      </c>
      <c r="AD206" s="1057">
        <f>IF(SUM($O$14:AD14)&lt;$A$206,0,(AD16*$E$206)-SUM($N$206:AC206))</f>
        <v>0</v>
      </c>
      <c r="AE206" s="1057">
        <f>IF(SUM($O$14:AE14)&lt;$A$206,0,(AE16*$E$206)-SUM($N$206:AD206))</f>
        <v>0</v>
      </c>
      <c r="AF206" s="1057">
        <f>IF(SUM($O$14:AF14)&lt;$A$206,0,(AF16*$E$206)-SUM($N$206:AE206))</f>
        <v>0</v>
      </c>
      <c r="AG206" s="1057">
        <f>IF(SUM($O$14:AG14)&lt;$A$206,0,(AG16*$E$206)-SUM($N$206:AF206))</f>
        <v>0</v>
      </c>
      <c r="AH206" s="1057">
        <f>IF(SUM($O$14:AH14)&lt;$A$206,0,(AH16*$E$206)-SUM($N$206:AG206))</f>
        <v>0</v>
      </c>
      <c r="AI206" s="1057">
        <f>IF(SUM($O$14:AI14)&lt;$A$206,0,(AI16*$E$206)-SUM($N$206:AH206))</f>
        <v>0</v>
      </c>
      <c r="AJ206" s="1057">
        <f>IF(SUM($O$14:AJ14)&lt;$A$206,0,(AJ16*$E$206)-SUM($N$206:AI206))</f>
        <v>0</v>
      </c>
      <c r="AK206" s="1057">
        <f>IF(SUM($O$14:AK14)&lt;$A$206,0,(AK16*$E$206)-SUM($N$206:AJ206))</f>
        <v>0</v>
      </c>
      <c r="AL206" s="1057">
        <f>IF(SUM($O$14:AL14)&lt;$A$206,0,(AL16*$E$206)-SUM($N$206:AK206))</f>
        <v>0</v>
      </c>
      <c r="AM206" s="1057">
        <f>IF(SUM($O$14:AM14)&lt;$A$206,0,(AM16*$E$206)-SUM($N$206:AL206))</f>
        <v>0</v>
      </c>
      <c r="AN206" s="1057">
        <f>IF(SUM($O$14:AN14)&lt;$A$206,0,(AN16*$E$206)-SUM($N$206:AM206))</f>
        <v>0</v>
      </c>
      <c r="AO206" s="1057">
        <f>IF(SUM($O$14:AO14)&lt;$A$206,0,(AO16*$E$206)-SUM($N$206:AN206))</f>
        <v>0</v>
      </c>
      <c r="AP206" s="1057">
        <f>IF(SUM($O$14:AP14)&lt;$A$206,0,(AP16*$E$206)-SUM($N$206:AO206))</f>
        <v>0</v>
      </c>
      <c r="AQ206" s="1057">
        <f>IF(SUM($O$14:AQ14)&lt;$A$206,0,(AQ16*$E$206)-SUM($N$206:AP206))</f>
        <v>0</v>
      </c>
      <c r="AR206" s="1057">
        <f>IF(SUM($O$14:AR14)&lt;$A$206,0,(AR16*$E$206)-SUM($N$206:AQ206))</f>
        <v>0</v>
      </c>
      <c r="AS206" s="1057">
        <f>IF(SUM($O$14:AS14)&lt;$A$206,0,(AS16*$E$206)-SUM($N$206:AR206))</f>
        <v>0</v>
      </c>
      <c r="AT206" s="1057">
        <f>IF(SUM($O$14:AT14)&lt;$A$206,0,(AT16*$E$206)-SUM($N$206:AS206))</f>
        <v>0</v>
      </c>
      <c r="AU206" s="1057">
        <f>IF(SUM($O$14:AU14)&lt;$A$206,0,(AU16*$E$206)-SUM($N$206:AT206))</f>
        <v>0</v>
      </c>
      <c r="AV206" s="1057">
        <f>IF(SUM($O$14:AV14)&lt;$A$206,0,(AV16*$E$206)-SUM($N$206:AU206))</f>
        <v>0</v>
      </c>
      <c r="AW206" s="1057">
        <f>IF(SUM($O$14:AW14)&lt;$A$206,0,(AW16*$E$206)-SUM($N$206:AV206))</f>
        <v>0</v>
      </c>
      <c r="AX206" s="1057">
        <f>IF(SUM($O$14:AX14)&lt;$A$206,0,(AX16*$E$206)-SUM($N$206:AW206))</f>
        <v>0</v>
      </c>
      <c r="AY206" s="1057">
        <f>IF(SUM($O$14:AY14)&lt;$A$206,0,(AY16*$E$206)-SUM($N$206:AX206))</f>
        <v>0</v>
      </c>
      <c r="AZ206" s="1057">
        <f>IF(SUM($O$14:AZ14)&lt;$A$206,0,(AZ16*$E$206)-SUM($N$206:AY206))</f>
        <v>0</v>
      </c>
      <c r="BA206" s="1057">
        <f>IF(SUM($O$14:BA14)&lt;$A$206,0,(BA16*$E$206)-SUM($N$206:AZ206))</f>
        <v>0</v>
      </c>
      <c r="BB206" s="1057">
        <f>IF(SUM($O$14:BB14)&lt;$A$206,0,(BB16*$E$206)-SUM($N$206:BA206))</f>
        <v>0</v>
      </c>
      <c r="BC206" s="1057">
        <f>IF(SUM($O$14:BC14)&lt;$A$206,0,(BC16*$E$206)-SUM($N$206:BB206))</f>
        <v>0</v>
      </c>
      <c r="BD206" s="1057">
        <f>IF(SUM($O$14:BD14)&lt;$A$206,0,(BD16*$E$206)-SUM($N$206:BC206))</f>
        <v>0</v>
      </c>
      <c r="BE206" s="1057">
        <f>IF(SUM($O$14:BE14)&lt;$A$206,0,(BE16*$E$206)-SUM($N$206:BD206))</f>
        <v>0</v>
      </c>
      <c r="BF206" s="1057">
        <f>IF(SUM($O$14:BF14)&lt;$A$206,0,(BF16*$E$206)-SUM($N$206:BE206))</f>
        <v>0</v>
      </c>
      <c r="BG206" s="1057">
        <f>IF(SUM($O$14:BG14)&lt;$A$206,0,(BG16*$E$206)-SUM($N$206:BF206))</f>
        <v>0</v>
      </c>
      <c r="BH206" s="1057">
        <f>IF(SUM($O$14:BH14)&lt;$A$206,0,(BH16*$E$206)-SUM($N$206:BG206))</f>
        <v>0</v>
      </c>
      <c r="BI206" s="1057">
        <f>IF(SUM($O$14:BI14)&lt;$A$206,0,(BI16*$E$206)-SUM($N$206:BH206))</f>
        <v>0</v>
      </c>
      <c r="BJ206" s="1057">
        <f>IF(SUM($O$14:BJ14)&lt;$A$206,0,(BJ16*$E$206)-SUM($N$206:BI206))</f>
        <v>0</v>
      </c>
      <c r="BK206" s="1057">
        <f>IF(SUM($O$14:BK14)&lt;$A$206,0,(BK16*$E$206)-SUM($N$206:BJ206))</f>
        <v>0</v>
      </c>
      <c r="BL206" s="1057">
        <f>IF(SUM($O$14:BL14)&lt;$A$206,0,(BL16*$E$206)-SUM($N$206:BK206))</f>
        <v>0</v>
      </c>
      <c r="BM206" s="1057">
        <f>IF(SUM($O$14:BM14)&lt;$A$206,0,(BM16*$E$206)-SUM($N$206:BL206))</f>
        <v>0</v>
      </c>
      <c r="BN206" s="1057">
        <f>IF(SUM($O$14:BN14)&lt;$A$206,0,(BN16*$E$206)-SUM($N$206:BM206))</f>
        <v>0</v>
      </c>
      <c r="BO206" s="1057">
        <f>IF(SUM($O$14:BO14)&lt;$A$206,0,(BO16*$E$206)-SUM($N$206:BN206))</f>
        <v>0</v>
      </c>
      <c r="BP206" s="1057">
        <f>IF(SUM($O$14:BP14)&lt;$A$206,0,(BP16*$E$206)-SUM($N$206:BO206))</f>
        <v>0</v>
      </c>
      <c r="BQ206" s="1057">
        <f>IF(SUM($O$14:BQ14)&lt;$A$206,0,(BQ16*$E$206)-SUM($N$206:BP206))</f>
        <v>0</v>
      </c>
      <c r="BR206" s="1057">
        <f>IF(SUM($O$14:BR14)&lt;$A$206,0,(BR16*$E$206)-SUM($N$206:BQ206))</f>
        <v>0</v>
      </c>
      <c r="BS206" s="1057">
        <f>IF(SUM($O$14:BS14)&lt;$A$206,0,(BS16*$E$206)-SUM($N$206:BR206))</f>
        <v>0</v>
      </c>
      <c r="BT206" s="1057">
        <f>IF(SUM($O$14:BT14)&lt;$A$206,0,(BT16*$E$206)-SUM($N$206:BS206))</f>
        <v>0</v>
      </c>
      <c r="BU206" s="1057">
        <f>IF(SUM($O$14:BU14)&lt;$A$206,0,(BU16*$E$206)-SUM($N$206:BT206))</f>
        <v>0</v>
      </c>
      <c r="BV206" s="1057">
        <f>IF(SUM($O$14:BV14)&lt;$A$206,0,(BV16*$E$206)-SUM($N$206:BU206))</f>
        <v>0</v>
      </c>
      <c r="BW206" s="1057">
        <f>IF(SUM($O$14:BW14)&lt;$A$206,0,(BW16*$E$206)-SUM($N$206:BV206))</f>
        <v>0</v>
      </c>
      <c r="BX206" s="1057">
        <f>IF(SUM($O$14:BX14)&lt;$A$206,0,(BX16*$E$206)-SUM($N$206:BW206))</f>
        <v>0</v>
      </c>
      <c r="BY206" s="1067">
        <f t="shared" si="245"/>
        <v>2</v>
      </c>
      <c r="BZ206" s="1068">
        <f t="shared" si="259"/>
        <v>0</v>
      </c>
      <c r="CA206" s="1069" t="b">
        <f t="shared" si="260"/>
        <v>1</v>
      </c>
      <c r="CB206" s="1084"/>
    </row>
    <row r="207" spans="1:80" s="1082" customFormat="1">
      <c r="A207" s="398">
        <v>6</v>
      </c>
      <c r="B207" s="1067">
        <v>3</v>
      </c>
      <c r="C207" s="1898"/>
      <c r="D207" s="1060">
        <f>IF(B207&lt;Equity!$D$28+1,Equity!$I$7/Equity!$D$28,0)</f>
        <v>9.9999999999999992E-2</v>
      </c>
      <c r="E207" s="1061">
        <f>분양개요!$O$8*D207</f>
        <v>0</v>
      </c>
      <c r="F207" s="1062" t="b">
        <f t="shared" si="256"/>
        <v>1</v>
      </c>
      <c r="G207" s="1056"/>
      <c r="H207" s="1057"/>
      <c r="I207" s="1057"/>
      <c r="J207" s="1057"/>
      <c r="K207" s="1057">
        <f>IF(SUM(K$14:$O14)&lt;$A$207,0,(K16*$E$207)-SUM(J$207:$N207))</f>
        <v>0</v>
      </c>
      <c r="L207" s="1057">
        <f>IF(SUM(L$14:$O14)&lt;$A$207,0,(L16*$E$207)-SUM(K$207:$N207))</f>
        <v>0</v>
      </c>
      <c r="M207" s="1057">
        <f>IF(SUM(M$14:$O14)&lt;$A$207,0,(M16*$E$207)-SUM(L$207:$N207))</f>
        <v>0</v>
      </c>
      <c r="N207" s="1057">
        <f>IF(SUM(N$14:$O14)&lt;$A$207,0,(N16*$E$207)-SUM(M$207:$N207))</f>
        <v>0</v>
      </c>
      <c r="O207" s="1057">
        <f>IF(SUM($O$14:O14)&lt;$A$207,0,(O16*$E$207)-SUM($N$207:N207))</f>
        <v>0</v>
      </c>
      <c r="P207" s="1057">
        <f>IF(SUM($O$14:P14)&lt;$A$207,0,(P16*$E$207)-SUM($N$207:O207))</f>
        <v>0</v>
      </c>
      <c r="Q207" s="1057">
        <f>IF(SUM($O$14:Q14)&lt;$A$207,0,(Q16*$E$207)-SUM($N$207:P207))</f>
        <v>0</v>
      </c>
      <c r="R207" s="1057">
        <f>IF(SUM($O$14:R14)&lt;$A$207,0,(R16*$E$207)-SUM($N$207:Q207))</f>
        <v>0</v>
      </c>
      <c r="S207" s="1057">
        <f>IF(SUM($O$14:S14)&lt;$A$207,0,(S16*$E$207)-SUM($N$207:R207))</f>
        <v>0</v>
      </c>
      <c r="T207" s="1057">
        <f>IF(SUM($O$14:T14)&lt;$A$207,0,(T16*$E$207)-SUM($N$207:S207))</f>
        <v>0</v>
      </c>
      <c r="U207" s="1057">
        <f>IF(SUM($O$14:U14)&lt;$A$207,0,(U16*$E$207)-SUM($N$207:T207))</f>
        <v>0</v>
      </c>
      <c r="V207" s="1057">
        <f>IF(SUM($O$14:V14)&lt;$A$207,0,(V16*$E$207)-SUM($N$207:U207))</f>
        <v>0</v>
      </c>
      <c r="W207" s="1057">
        <f>IF(SUM($O$14:W14)&lt;$A$207,0,(W16*$E$207)-SUM($N$207:V207))</f>
        <v>0</v>
      </c>
      <c r="X207" s="1057">
        <f>IF(SUM($O$14:X14)&lt;$A$207,0,(X16*$E$207)-SUM($N$207:W207))</f>
        <v>0</v>
      </c>
      <c r="Y207" s="1057">
        <f>IF(SUM($O$14:Y14)&lt;$A$207,0,(Y16*$E$207)-SUM($N$207:X207))</f>
        <v>0</v>
      </c>
      <c r="Z207" s="1057">
        <f>IF(SUM($O$14:Z14)&lt;$A$207,0,(Z16*$E$207)-SUM($N$207:Y207))</f>
        <v>0</v>
      </c>
      <c r="AA207" s="1057">
        <f>IF(SUM($O$14:AA14)&lt;$A$207,0,(AA16*$E$207)-SUM($N$207:Z207))</f>
        <v>0</v>
      </c>
      <c r="AB207" s="1057">
        <f>IF(SUM($O$14:AB14)&lt;$A$207,0,(AB16*$E$207)-SUM($N$207:AA207))</f>
        <v>0</v>
      </c>
      <c r="AC207" s="1057">
        <f>IF(SUM($O$14:AC14)&lt;$A$207,0,(AC16*$E$207)-SUM($N$207:AB207))</f>
        <v>0</v>
      </c>
      <c r="AD207" s="1057">
        <f>IF(SUM($O$14:AD14)&lt;$A$207,0,(AD16*$E$207)-SUM($N$207:AC207))</f>
        <v>0</v>
      </c>
      <c r="AE207" s="1057">
        <f>IF(SUM($O$14:AE14)&lt;$A$207,0,(AE16*$E$207)-SUM($N$207:AD207))</f>
        <v>0</v>
      </c>
      <c r="AF207" s="1057">
        <f>IF(SUM($O$14:AF14)&lt;$A$207,0,(AF16*$E$207)-SUM($N$207:AE207))</f>
        <v>0</v>
      </c>
      <c r="AG207" s="1057">
        <f>IF(SUM($O$14:AG14)&lt;$A$207,0,(AG16*$E$207)-SUM($N$207:AF207))</f>
        <v>0</v>
      </c>
      <c r="AH207" s="1057">
        <f>IF(SUM($O$14:AH14)&lt;$A$207,0,(AH16*$E$207)-SUM($N$207:AG207))</f>
        <v>0</v>
      </c>
      <c r="AI207" s="1057">
        <f>IF(SUM($O$14:AI14)&lt;$A$207,0,(AI16*$E$207)-SUM($N$207:AH207))</f>
        <v>0</v>
      </c>
      <c r="AJ207" s="1057">
        <f>IF(SUM($O$14:AJ14)&lt;$A$207,0,(AJ16*$E$207)-SUM($N$207:AI207))</f>
        <v>0</v>
      </c>
      <c r="AK207" s="1057">
        <f>IF(SUM($O$14:AK14)&lt;$A$207,0,(AK16*$E$207)-SUM($N$207:AJ207))</f>
        <v>0</v>
      </c>
      <c r="AL207" s="1057">
        <f>IF(SUM($O$14:AL14)&lt;$A$207,0,(AL16*$E$207)-SUM($N$207:AK207))</f>
        <v>0</v>
      </c>
      <c r="AM207" s="1057">
        <f>IF(SUM($O$14:AM14)&lt;$A$207,0,(AM16*$E$207)-SUM($N$207:AL207))</f>
        <v>0</v>
      </c>
      <c r="AN207" s="1057">
        <f>IF(SUM($O$14:AN14)&lt;$A$207,0,(AN16*$E$207)-SUM($N$207:AM207))</f>
        <v>0</v>
      </c>
      <c r="AO207" s="1057">
        <f>IF(SUM($O$14:AO14)&lt;$A$207,0,(AO16*$E$207)-SUM($N$207:AN207))</f>
        <v>0</v>
      </c>
      <c r="AP207" s="1057">
        <f>IF(SUM($O$14:AP14)&lt;$A$207,0,(AP16*$E$207)-SUM($N$207:AO207))</f>
        <v>0</v>
      </c>
      <c r="AQ207" s="1057">
        <f>IF(SUM($O$14:AQ14)&lt;$A$207,0,(AQ16*$E$207)-SUM($N$207:AP207))</f>
        <v>0</v>
      </c>
      <c r="AR207" s="1057">
        <f>IF(SUM($O$14:AR14)&lt;$A$207,0,(AR16*$E$207)-SUM($N$207:AQ207))</f>
        <v>0</v>
      </c>
      <c r="AS207" s="1057">
        <f>IF(SUM($O$14:AS14)&lt;$A$207,0,(AS16*$E$207)-SUM($N$207:AR207))</f>
        <v>0</v>
      </c>
      <c r="AT207" s="1057">
        <f>IF(SUM($O$14:AT14)&lt;$A$207,0,(AT16*$E$207)-SUM($N$207:AS207))</f>
        <v>0</v>
      </c>
      <c r="AU207" s="1057">
        <f>IF(SUM($O$14:AU14)&lt;$A$207,0,(AU16*$E$207)-SUM($N$207:AT207))</f>
        <v>0</v>
      </c>
      <c r="AV207" s="1057">
        <f>IF(SUM($O$14:AV14)&lt;$A$207,0,(AV16*$E$207)-SUM($N$207:AU207))</f>
        <v>0</v>
      </c>
      <c r="AW207" s="1057">
        <f>IF(SUM($O$14:AW14)&lt;$A$207,0,(AW16*$E$207)-SUM($N$207:AV207))</f>
        <v>0</v>
      </c>
      <c r="AX207" s="1057">
        <f>IF(SUM($O$14:AX14)&lt;$A$207,0,(AX16*$E$207)-SUM($N$207:AW207))</f>
        <v>0</v>
      </c>
      <c r="AY207" s="1057">
        <f>IF(SUM($O$14:AY14)&lt;$A$207,0,(AY16*$E$207)-SUM($N$207:AX207))</f>
        <v>0</v>
      </c>
      <c r="AZ207" s="1057">
        <f>IF(SUM($O$14:AZ14)&lt;$A$207,0,(AZ16*$E$207)-SUM($N$207:AY207))</f>
        <v>0</v>
      </c>
      <c r="BA207" s="1057">
        <f>IF(SUM($O$14:BA14)&lt;$A$207,0,(BA16*$E$207)-SUM($N$207:AZ207))</f>
        <v>0</v>
      </c>
      <c r="BB207" s="1057">
        <f>IF(SUM($O$14:BB14)&lt;$A$207,0,(BB16*$E$207)-SUM($N$207:BA207))</f>
        <v>0</v>
      </c>
      <c r="BC207" s="1057">
        <f>IF(SUM($O$14:BC14)&lt;$A$207,0,(BC16*$E$207)-SUM($N$207:BB207))</f>
        <v>0</v>
      </c>
      <c r="BD207" s="1057">
        <f>IF(SUM($O$14:BD14)&lt;$A$207,0,(BD16*$E$207)-SUM($N$207:BC207))</f>
        <v>0</v>
      </c>
      <c r="BE207" s="1057">
        <f>IF(SUM($O$14:BE14)&lt;$A$207,0,(BE16*$E$207)-SUM($N$207:BD207))</f>
        <v>0</v>
      </c>
      <c r="BF207" s="1057">
        <f>IF(SUM($O$14:BF14)&lt;$A$207,0,(BF16*$E$207)-SUM($N$207:BE207))</f>
        <v>0</v>
      </c>
      <c r="BG207" s="1057">
        <f>IF(SUM($O$14:BG14)&lt;$A$207,0,(BG16*$E$207)-SUM($N$207:BF207))</f>
        <v>0</v>
      </c>
      <c r="BH207" s="1057">
        <f>IF(SUM($O$14:BH14)&lt;$A$207,0,(BH16*$E$207)-SUM($N$207:BG207))</f>
        <v>0</v>
      </c>
      <c r="BI207" s="1057">
        <f>IF(SUM($O$14:BI14)&lt;$A$207,0,(BI16*$E$207)-SUM($N$207:BH207))</f>
        <v>0</v>
      </c>
      <c r="BJ207" s="1057">
        <f>IF(SUM($O$14:BJ14)&lt;$A$207,0,(BJ16*$E$207)-SUM($N$207:BI207))</f>
        <v>0</v>
      </c>
      <c r="BK207" s="1057">
        <f>IF(SUM($O$14:BK14)&lt;$A$207,0,(BK16*$E$207)-SUM($N$207:BJ207))</f>
        <v>0</v>
      </c>
      <c r="BL207" s="1057">
        <f>IF(SUM($O$14:BL14)&lt;$A$207,0,(BL16*$E$207)-SUM($N$207:BK207))</f>
        <v>0</v>
      </c>
      <c r="BM207" s="1057">
        <f>IF(SUM($O$14:BM14)&lt;$A$207,0,(BM16*$E$207)-SUM($N$207:BL207))</f>
        <v>0</v>
      </c>
      <c r="BN207" s="1057">
        <f>IF(SUM($O$14:BN14)&lt;$A$207,0,(BN16*$E$207)-SUM($N$207:BM207))</f>
        <v>0</v>
      </c>
      <c r="BO207" s="1057">
        <f>IF(SUM($O$14:BO14)&lt;$A$207,0,(BO16*$E$207)-SUM($N$207:BN207))</f>
        <v>0</v>
      </c>
      <c r="BP207" s="1057">
        <f>IF(SUM($O$14:BP14)&lt;$A$207,0,(BP16*$E$207)-SUM($N$207:BO207))</f>
        <v>0</v>
      </c>
      <c r="BQ207" s="1057">
        <f>IF(SUM($O$14:BQ14)&lt;$A$207,0,(BQ16*$E$207)-SUM($N$207:BP207))</f>
        <v>0</v>
      </c>
      <c r="BR207" s="1057">
        <f>IF(SUM($O$14:BR14)&lt;$A$207,0,(BR16*$E$207)-SUM($N$207:BQ207))</f>
        <v>0</v>
      </c>
      <c r="BS207" s="1057">
        <f>IF(SUM($O$14:BS14)&lt;$A$207,0,(BS16*$E$207)-SUM($N$207:BR207))</f>
        <v>0</v>
      </c>
      <c r="BT207" s="1057">
        <f>IF(SUM($O$14:BT14)&lt;$A$207,0,(BT16*$E$207)-SUM($N$207:BS207))</f>
        <v>0</v>
      </c>
      <c r="BU207" s="1057">
        <f>IF(SUM($O$14:BU14)&lt;$A$207,0,(BU16*$E$207)-SUM($N$207:BT207))</f>
        <v>0</v>
      </c>
      <c r="BV207" s="1057">
        <f>IF(SUM($O$14:BV14)&lt;$A$207,0,(BV16*$E$207)-SUM($N$207:BU207))</f>
        <v>0</v>
      </c>
      <c r="BW207" s="1057">
        <f>IF(SUM($O$14:BW14)&lt;$A$207,0,(BW16*$E$207)-SUM($N$207:BV207))</f>
        <v>0</v>
      </c>
      <c r="BX207" s="1057">
        <f>IF(SUM($O$14:BX14)&lt;$A$207,0,(BX16*$E$207)-SUM($N$207:BW207))</f>
        <v>0</v>
      </c>
      <c r="BY207" s="1067">
        <f t="shared" si="245"/>
        <v>3</v>
      </c>
      <c r="BZ207" s="1068">
        <f t="shared" si="259"/>
        <v>0</v>
      </c>
      <c r="CA207" s="1069" t="b">
        <f t="shared" si="260"/>
        <v>1</v>
      </c>
      <c r="CB207" s="1084"/>
    </row>
    <row r="208" spans="1:80" s="1082" customFormat="1">
      <c r="A208" s="398">
        <v>10</v>
      </c>
      <c r="B208" s="1067">
        <v>4</v>
      </c>
      <c r="C208" s="1898"/>
      <c r="D208" s="1060">
        <f>IF(B208&lt;Equity!$D$28+1,Equity!$I$7/Equity!$D$28,0)</f>
        <v>9.9999999999999992E-2</v>
      </c>
      <c r="E208" s="1061">
        <f>분양개요!$O$8*D208</f>
        <v>0</v>
      </c>
      <c r="F208" s="1062" t="b">
        <f t="shared" si="256"/>
        <v>1</v>
      </c>
      <c r="G208" s="1056"/>
      <c r="H208" s="1057"/>
      <c r="I208" s="1057"/>
      <c r="J208" s="1057"/>
      <c r="K208" s="1057">
        <f>IF(SUM(K$14:$O14)&lt;$A$208,0,(K16*$E$208)-SUM(J$208:$N208))</f>
        <v>0</v>
      </c>
      <c r="L208" s="1057">
        <f>IF(SUM(L$14:$O14)&lt;$A$208,0,(L16*$E$208)-SUM(K$208:$N208))</f>
        <v>0</v>
      </c>
      <c r="M208" s="1057">
        <f>IF(SUM(M$14:$O14)&lt;$A$208,0,(M16*$E$208)-SUM(L$208:$N208))</f>
        <v>0</v>
      </c>
      <c r="N208" s="1057">
        <f>IF(SUM(N$14:$O14)&lt;$A$208,0,(N16*$E$208)-SUM(M$208:$N208))</f>
        <v>0</v>
      </c>
      <c r="O208" s="1057">
        <f>IF(SUM($O$14:O14)&lt;$A$208,0,(O16*$E$208)-SUM($N$208:N208))</f>
        <v>0</v>
      </c>
      <c r="P208" s="1057">
        <f>IF(SUM($O$14:P14)&lt;$A$208,0,(P16*$E$208)-SUM($N$208:O208))</f>
        <v>0</v>
      </c>
      <c r="Q208" s="1057">
        <f>IF(SUM($O$14:Q14)&lt;$A$208,0,(Q16*$E$208)-SUM($N$208:P208))</f>
        <v>0</v>
      </c>
      <c r="R208" s="1057">
        <f>IF(SUM($O$14:R14)&lt;$A$208,0,(R16*$E$208)-SUM($N$208:Q208))</f>
        <v>0</v>
      </c>
      <c r="S208" s="1057">
        <f>IF(SUM($O$14:S14)&lt;$A$208,0,(S16*$E$208)-SUM($N$208:R208))</f>
        <v>0</v>
      </c>
      <c r="T208" s="1057">
        <f>IF(SUM($O$14:T14)&lt;$A$208,0,(T16*$E$208)-SUM($N$208:S208))</f>
        <v>0</v>
      </c>
      <c r="U208" s="1057">
        <f>IF(SUM($O$14:U14)&lt;$A$208,0,(U16*$E$208)-SUM($N$208:T208))</f>
        <v>0</v>
      </c>
      <c r="V208" s="1057">
        <f>IF(SUM($O$14:V14)&lt;$A$208,0,(V16*$E$208)-SUM($N$208:U208))</f>
        <v>0</v>
      </c>
      <c r="W208" s="1057">
        <f>IF(SUM($O$14:W14)&lt;$A$208,0,(W16*$E$208)-SUM($N$208:V208))</f>
        <v>0</v>
      </c>
      <c r="X208" s="1057">
        <f>IF(SUM($O$14:X14)&lt;$A$208,0,(X16*$E$208)-SUM($N$208:W208))</f>
        <v>0</v>
      </c>
      <c r="Y208" s="1057">
        <f>IF(SUM($O$14:Y14)&lt;$A$208,0,(Y16*$E$208)-SUM($N$208:X208))</f>
        <v>0</v>
      </c>
      <c r="Z208" s="1057">
        <f>IF(SUM($O$14:Z14)&lt;$A$208,0,(Z16*$E$208)-SUM($N$208:Y208))</f>
        <v>0</v>
      </c>
      <c r="AA208" s="1057">
        <f>IF(SUM($O$14:AA14)&lt;$A$208,0,(AA16*$E$208)-SUM($N$208:Z208))</f>
        <v>0</v>
      </c>
      <c r="AB208" s="1057">
        <f>IF(SUM($O$14:AB14)&lt;$A$208,0,(AB16*$E$208)-SUM($N$208:AA208))</f>
        <v>0</v>
      </c>
      <c r="AC208" s="1057">
        <f>IF(SUM($O$14:AC14)&lt;$A$208,0,(AC16*$E$208)-SUM($N$208:AB208))</f>
        <v>0</v>
      </c>
      <c r="AD208" s="1057">
        <f>IF(SUM($O$14:AD14)&lt;$A$208,0,(AD16*$E$208)-SUM($N$208:AC208))</f>
        <v>0</v>
      </c>
      <c r="AE208" s="1057">
        <f>IF(SUM($O$14:AE14)&lt;$A$208,0,(AE16*$E$208)-SUM($N$208:AD208))</f>
        <v>0</v>
      </c>
      <c r="AF208" s="1057">
        <f>IF(SUM($O$14:AF14)&lt;$A$208,0,(AF16*$E$208)-SUM($N$208:AE208))</f>
        <v>0</v>
      </c>
      <c r="AG208" s="1057">
        <f>IF(SUM($O$14:AG14)&lt;$A$208,0,(AG16*$E$208)-SUM($N$208:AF208))</f>
        <v>0</v>
      </c>
      <c r="AH208" s="1057">
        <f>IF(SUM($O$14:AH14)&lt;$A$208,0,(AH16*$E$208)-SUM($N$208:AG208))</f>
        <v>0</v>
      </c>
      <c r="AI208" s="1057">
        <f>IF(SUM($O$14:AI14)&lt;$A$208,0,(AI16*$E$208)-SUM($N$208:AH208))</f>
        <v>0</v>
      </c>
      <c r="AJ208" s="1057">
        <f>IF(SUM($O$14:AJ14)&lt;$A$208,0,(AJ16*$E$208)-SUM($N$208:AI208))</f>
        <v>0</v>
      </c>
      <c r="AK208" s="1057">
        <f>IF(SUM($O$14:AK14)&lt;$A$208,0,(AK16*$E$208)-SUM($N$208:AJ208))</f>
        <v>0</v>
      </c>
      <c r="AL208" s="1057">
        <f>IF(SUM($O$14:AL14)&lt;$A$208,0,(AL16*$E$208)-SUM($N$208:AK208))</f>
        <v>0</v>
      </c>
      <c r="AM208" s="1057">
        <f>IF(SUM($O$14:AM14)&lt;$A$208,0,(AM16*$E$208)-SUM($N$208:AL208))</f>
        <v>0</v>
      </c>
      <c r="AN208" s="1057">
        <f>IF(SUM($O$14:AN14)&lt;$A$208,0,(AN16*$E$208)-SUM($N$208:AM208))</f>
        <v>0</v>
      </c>
      <c r="AO208" s="1057">
        <f>IF(SUM($O$14:AO14)&lt;$A$208,0,(AO16*$E$208)-SUM($N$208:AN208))</f>
        <v>0</v>
      </c>
      <c r="AP208" s="1057">
        <f>IF(SUM($O$14:AP14)&lt;$A$208,0,(AP16*$E$208)-SUM($N$208:AO208))</f>
        <v>0</v>
      </c>
      <c r="AQ208" s="1057">
        <f>IF(SUM($O$14:AQ14)&lt;$A$208,0,(AQ16*$E$208)-SUM($N$208:AP208))</f>
        <v>0</v>
      </c>
      <c r="AR208" s="1057">
        <f>IF(SUM($O$14:AR14)&lt;$A$208,0,(AR16*$E$208)-SUM($N$208:AQ208))</f>
        <v>0</v>
      </c>
      <c r="AS208" s="1057">
        <f>IF(SUM($O$14:AS14)&lt;$A$208,0,(AS16*$E$208)-SUM($N$208:AR208))</f>
        <v>0</v>
      </c>
      <c r="AT208" s="1057">
        <f>IF(SUM($O$14:AT14)&lt;$A$208,0,(AT16*$E$208)-SUM($N$208:AS208))</f>
        <v>0</v>
      </c>
      <c r="AU208" s="1057">
        <f>IF(SUM($O$14:AU14)&lt;$A$208,0,(AU16*$E$208)-SUM($N$208:AT208))</f>
        <v>0</v>
      </c>
      <c r="AV208" s="1057">
        <f>IF(SUM($O$14:AV14)&lt;$A$208,0,(AV16*$E$208)-SUM($N$208:AU208))</f>
        <v>0</v>
      </c>
      <c r="AW208" s="1057">
        <f>IF(SUM($O$14:AW14)&lt;$A$208,0,(AW16*$E$208)-SUM($N$208:AV208))</f>
        <v>0</v>
      </c>
      <c r="AX208" s="1057">
        <f>IF(SUM($O$14:AX14)&lt;$A$208,0,(AX16*$E$208)-SUM($N$208:AW208))</f>
        <v>0</v>
      </c>
      <c r="AY208" s="1057">
        <f>IF(SUM($O$14:AY14)&lt;$A$208,0,(AY16*$E$208)-SUM($N$208:AX208))</f>
        <v>0</v>
      </c>
      <c r="AZ208" s="1057">
        <f>IF(SUM($O$14:AZ14)&lt;$A$208,0,(AZ16*$E$208)-SUM($N$208:AY208))</f>
        <v>0</v>
      </c>
      <c r="BA208" s="1057">
        <f>IF(SUM($O$14:BA14)&lt;$A$208,0,(BA16*$E$208)-SUM($N$208:AZ208))</f>
        <v>0</v>
      </c>
      <c r="BB208" s="1057">
        <f>IF(SUM($O$14:BB14)&lt;$A$208,0,(BB16*$E$208)-SUM($N$208:BA208))</f>
        <v>0</v>
      </c>
      <c r="BC208" s="1057">
        <f>IF(SUM($O$14:BC14)&lt;$A$208,0,(BC16*$E$208)-SUM($N$208:BB208))</f>
        <v>0</v>
      </c>
      <c r="BD208" s="1057">
        <f>IF(SUM($O$14:BD14)&lt;$A$208,0,(BD16*$E$208)-SUM($N$208:BC208))</f>
        <v>0</v>
      </c>
      <c r="BE208" s="1057">
        <f>IF(SUM($O$14:BE14)&lt;$A$208,0,(BE16*$E$208)-SUM($N$208:BD208))</f>
        <v>0</v>
      </c>
      <c r="BF208" s="1057">
        <f>IF(SUM($O$14:BF14)&lt;$A$208,0,(BF16*$E$208)-SUM($N$208:BE208))</f>
        <v>0</v>
      </c>
      <c r="BG208" s="1057">
        <f>IF(SUM($O$14:BG14)&lt;$A$208,0,(BG16*$E$208)-SUM($N$208:BF208))</f>
        <v>0</v>
      </c>
      <c r="BH208" s="1057">
        <f>IF(SUM($O$14:BH14)&lt;$A$208,0,(BH16*$E$208)-SUM($N$208:BG208))</f>
        <v>0</v>
      </c>
      <c r="BI208" s="1057">
        <f>IF(SUM($O$14:BI14)&lt;$A$208,0,(BI16*$E$208)-SUM($N$208:BH208))</f>
        <v>0</v>
      </c>
      <c r="BJ208" s="1057">
        <f>IF(SUM($O$14:BJ14)&lt;$A$208,0,(BJ16*$E$208)-SUM($N$208:BI208))</f>
        <v>0</v>
      </c>
      <c r="BK208" s="1057">
        <f>IF(SUM($O$14:BK14)&lt;$A$208,0,(BK16*$E$208)-SUM($N$208:BJ208))</f>
        <v>0</v>
      </c>
      <c r="BL208" s="1057">
        <f>IF(SUM($O$14:BL14)&lt;$A$208,0,(BL16*$E$208)-SUM($N$208:BK208))</f>
        <v>0</v>
      </c>
      <c r="BM208" s="1057">
        <f>IF(SUM($O$14:BM14)&lt;$A$208,0,(BM16*$E$208)-SUM($N$208:BL208))</f>
        <v>0</v>
      </c>
      <c r="BN208" s="1057">
        <f>IF(SUM($O$14:BN14)&lt;$A$208,0,(BN16*$E$208)-SUM($N$208:BM208))</f>
        <v>0</v>
      </c>
      <c r="BO208" s="1057">
        <f>IF(SUM($O$14:BO14)&lt;$A$208,0,(BO16*$E$208)-SUM($N$208:BN208))</f>
        <v>0</v>
      </c>
      <c r="BP208" s="1057">
        <f>IF(SUM($O$14:BP14)&lt;$A$208,0,(BP16*$E$208)-SUM($N$208:BO208))</f>
        <v>0</v>
      </c>
      <c r="BQ208" s="1057">
        <f>IF(SUM($O$14:BQ14)&lt;$A$208,0,(BQ16*$E$208)-SUM($N$208:BP208))</f>
        <v>0</v>
      </c>
      <c r="BR208" s="1057">
        <f>IF(SUM($O$14:BR14)&lt;$A$208,0,(BR16*$E$208)-SUM($N$208:BQ208))</f>
        <v>0</v>
      </c>
      <c r="BS208" s="1057">
        <f>IF(SUM($O$14:BS14)&lt;$A$208,0,(BS16*$E$208)-SUM($N$208:BR208))</f>
        <v>0</v>
      </c>
      <c r="BT208" s="1057">
        <f>IF(SUM($O$14:BT14)&lt;$A$208,0,(BT16*$E$208)-SUM($N$208:BS208))</f>
        <v>0</v>
      </c>
      <c r="BU208" s="1057">
        <f>IF(SUM($O$14:BU14)&lt;$A$208,0,(BU16*$E$208)-SUM($N$208:BT208))</f>
        <v>0</v>
      </c>
      <c r="BV208" s="1057">
        <f>IF(SUM($O$14:BV14)&lt;$A$208,0,(BV16*$E$208)-SUM($N$208:BU208))</f>
        <v>0</v>
      </c>
      <c r="BW208" s="1057">
        <f>IF(SUM($O$14:BW14)&lt;$A$208,0,(BW16*$E$208)-SUM($N$208:BV208))</f>
        <v>0</v>
      </c>
      <c r="BX208" s="1057">
        <f>IF(SUM($O$14:BX14)&lt;$A$208,0,(BX16*$E$208)-SUM($N$208:BW208))</f>
        <v>0</v>
      </c>
      <c r="BY208" s="1067">
        <f t="shared" si="245"/>
        <v>4</v>
      </c>
      <c r="BZ208" s="1068">
        <f t="shared" si="259"/>
        <v>0</v>
      </c>
      <c r="CA208" s="1069" t="b">
        <f t="shared" si="260"/>
        <v>1</v>
      </c>
      <c r="CB208" s="1084"/>
    </row>
    <row r="209" spans="1:83" s="1082" customFormat="1">
      <c r="A209" s="398">
        <v>15</v>
      </c>
      <c r="B209" s="1067">
        <v>5</v>
      </c>
      <c r="C209" s="1898"/>
      <c r="D209" s="1060">
        <f>IF(B209&lt;Equity!$D$28+1,Equity!$I$7/Equity!$D$28,0)</f>
        <v>9.9999999999999992E-2</v>
      </c>
      <c r="E209" s="1061">
        <f>분양개요!$O$8*D209</f>
        <v>0</v>
      </c>
      <c r="F209" s="1062" t="b">
        <f t="shared" si="256"/>
        <v>1</v>
      </c>
      <c r="G209" s="1056"/>
      <c r="H209" s="1057"/>
      <c r="I209" s="1057"/>
      <c r="J209" s="1057"/>
      <c r="K209" s="1057">
        <f>IF(SUM(K$14:$O14)&lt;$A$209,0,(K16*$E$209)-SUM(J$209:$N209))</f>
        <v>0</v>
      </c>
      <c r="L209" s="1057">
        <f>IF(SUM(L$14:$O14)&lt;$A$209,0,(L16*$E$209)-SUM(K$209:$N209))</f>
        <v>0</v>
      </c>
      <c r="M209" s="1057">
        <f>IF(SUM(M$14:$O14)&lt;$A$209,0,(M16*$E$209)-SUM(L$209:$N209))</f>
        <v>0</v>
      </c>
      <c r="N209" s="1057">
        <f>IF(SUM(N$14:$O14)&lt;$A$209,0,(N16*$E$209)-SUM(M$209:$N209))</f>
        <v>0</v>
      </c>
      <c r="O209" s="1057">
        <f>IF(SUM($O$14:O14)&lt;$A$209,0,(O16*$E$209)-SUM($N$209:N209))</f>
        <v>0</v>
      </c>
      <c r="P209" s="1057">
        <f>IF(SUM($O$14:P14)&lt;$A$209,0,(P16*$E$209)-SUM($N$209:O209))</f>
        <v>0</v>
      </c>
      <c r="Q209" s="1057">
        <f>IF(SUM($O$14:Q14)&lt;$A$209,0,(Q16*$E$209)-SUM($N$209:P209))</f>
        <v>0</v>
      </c>
      <c r="R209" s="1057">
        <f>IF(SUM($O$14:R14)&lt;$A$209,0,(R16*$E$209)-SUM($N$209:Q209))</f>
        <v>0</v>
      </c>
      <c r="S209" s="1057">
        <f>IF(SUM($O$14:S14)&lt;$A$209,0,(S16*$E$209)-SUM($N$209:R209))</f>
        <v>0</v>
      </c>
      <c r="T209" s="1057">
        <f>IF(SUM($O$14:T14)&lt;$A$209,0,(T16*$E$209)-SUM($N$209:S209))</f>
        <v>0</v>
      </c>
      <c r="U209" s="1057">
        <f>IF(SUM($O$14:U14)&lt;$A$209,0,(U16*$E$209)-SUM($N$209:T209))</f>
        <v>0</v>
      </c>
      <c r="V209" s="1057">
        <f>IF(SUM($O$14:V14)&lt;$A$209,0,(V16*$E$209)-SUM($N$209:U209))</f>
        <v>0</v>
      </c>
      <c r="W209" s="1057">
        <f>IF(SUM($O$14:W14)&lt;$A$209,0,(W16*$E$209)-SUM($N$209:V209))</f>
        <v>0</v>
      </c>
      <c r="X209" s="1057">
        <f>IF(SUM($O$14:X14)&lt;$A$209,0,(X16*$E$209)-SUM($N$209:W209))</f>
        <v>0</v>
      </c>
      <c r="Y209" s="1057">
        <f>IF(SUM($O$14:Y14)&lt;$A$209,0,(Y16*$E$209)-SUM($N$209:X209))</f>
        <v>0</v>
      </c>
      <c r="Z209" s="1057">
        <f>IF(SUM($O$14:Z14)&lt;$A$209,0,(Z16*$E$209)-SUM($N$209:Y209))</f>
        <v>0</v>
      </c>
      <c r="AA209" s="1057">
        <f>IF(SUM($O$14:AA14)&lt;$A$209,0,(AA16*$E$209)-SUM($N$209:Z209))</f>
        <v>0</v>
      </c>
      <c r="AB209" s="1057">
        <f>IF(SUM($O$14:AB14)&lt;$A$209,0,(AB16*$E$209)-SUM($N$209:AA209))</f>
        <v>0</v>
      </c>
      <c r="AC209" s="1057">
        <f>IF(SUM($O$14:AC14)&lt;$A$209,0,(AC16*$E$209)-SUM($N$209:AB209))</f>
        <v>0</v>
      </c>
      <c r="AD209" s="1057">
        <f>IF(SUM($O$14:AD14)&lt;$A$209,0,(AD16*$E$209)-SUM($N$209:AC209))</f>
        <v>0</v>
      </c>
      <c r="AE209" s="1057">
        <f>IF(SUM($O$14:AE14)&lt;$A$209,0,(AE16*$E$209)-SUM($N$209:AD209))</f>
        <v>0</v>
      </c>
      <c r="AF209" s="1057">
        <f>IF(SUM($O$14:AF14)&lt;$A$209,0,(AF16*$E$209)-SUM($N$209:AE209))</f>
        <v>0</v>
      </c>
      <c r="AG209" s="1057">
        <f>IF(SUM($O$14:AG14)&lt;$A$209,0,(AG16*$E$209)-SUM($N$209:AF209))</f>
        <v>0</v>
      </c>
      <c r="AH209" s="1057">
        <f>IF(SUM($O$14:AH14)&lt;$A$209,0,(AH16*$E$209)-SUM($N$209:AG209))</f>
        <v>0</v>
      </c>
      <c r="AI209" s="1057">
        <f>IF(SUM($O$14:AI14)&lt;$A$209,0,(AI16*$E$209)-SUM($N$209:AH209))</f>
        <v>0</v>
      </c>
      <c r="AJ209" s="1057">
        <f>IF(SUM($O$14:AJ14)&lt;$A$209,0,(AJ16*$E$209)-SUM($N$209:AI209))</f>
        <v>0</v>
      </c>
      <c r="AK209" s="1057">
        <f>IF(SUM($O$14:AK14)&lt;$A$209,0,(AK16*$E$209)-SUM($N$209:AJ209))</f>
        <v>0</v>
      </c>
      <c r="AL209" s="1057">
        <f>IF(SUM($O$14:AL14)&lt;$A$209,0,(AL16*$E$209)-SUM($N$209:AK209))</f>
        <v>0</v>
      </c>
      <c r="AM209" s="1057">
        <f>IF(SUM($O$14:AM14)&lt;$A$209,0,(AM16*$E$209)-SUM($N$209:AL209))</f>
        <v>0</v>
      </c>
      <c r="AN209" s="1057">
        <f>IF(SUM($O$14:AN14)&lt;$A$209,0,(AN16*$E$209)-SUM($N$209:AM209))</f>
        <v>0</v>
      </c>
      <c r="AO209" s="1057">
        <f>IF(SUM($O$14:AO14)&lt;$A$209,0,(AO16*$E$209)-SUM($N$209:AN209))</f>
        <v>0</v>
      </c>
      <c r="AP209" s="1057">
        <f>IF(SUM($O$14:AP14)&lt;$A$209,0,(AP16*$E$209)-SUM($N$209:AO209))</f>
        <v>0</v>
      </c>
      <c r="AQ209" s="1057">
        <f>IF(SUM($O$14:AQ14)&lt;$A$209,0,(AQ16*$E$209)-SUM($N$209:AP209))</f>
        <v>0</v>
      </c>
      <c r="AR209" s="1057">
        <f>IF(SUM($O$14:AR14)&lt;$A$209,0,(AR16*$E$209)-SUM($N$209:AQ209))</f>
        <v>0</v>
      </c>
      <c r="AS209" s="1057">
        <f>IF(SUM($O$14:AS14)&lt;$A$209,0,(AS16*$E$209)-SUM($N$209:AR209))</f>
        <v>0</v>
      </c>
      <c r="AT209" s="1057">
        <f>IF(SUM($O$14:AT14)&lt;$A$209,0,(AT16*$E$209)-SUM($N$209:AS209))</f>
        <v>0</v>
      </c>
      <c r="AU209" s="1057">
        <f>IF(SUM($O$14:AU14)&lt;$A$209,0,(AU16*$E$209)-SUM($N$209:AT209))</f>
        <v>0</v>
      </c>
      <c r="AV209" s="1057">
        <f>IF(SUM($O$14:AV14)&lt;$A$209,0,(AV16*$E$209)-SUM($N$209:AU209))</f>
        <v>0</v>
      </c>
      <c r="AW209" s="1057">
        <f>IF(SUM($O$14:AW14)&lt;$A$209,0,(AW16*$E$209)-SUM($N$209:AV209))</f>
        <v>0</v>
      </c>
      <c r="AX209" s="1057">
        <f>IF(SUM($O$14:AX14)&lt;$A$209,0,(AX16*$E$209)-SUM($N$209:AW209))</f>
        <v>0</v>
      </c>
      <c r="AY209" s="1057">
        <f>IF(SUM($O$14:AY14)&lt;$A$209,0,(AY16*$E$209)-SUM($N$209:AX209))</f>
        <v>0</v>
      </c>
      <c r="AZ209" s="1057">
        <f>IF(SUM($O$14:AZ14)&lt;$A$209,0,(AZ16*$E$209)-SUM($N$209:AY209))</f>
        <v>0</v>
      </c>
      <c r="BA209" s="1057">
        <f>IF(SUM($O$14:BA14)&lt;$A$209,0,(BA16*$E$209)-SUM($N$209:AZ209))</f>
        <v>0</v>
      </c>
      <c r="BB209" s="1057">
        <f>IF(SUM($O$14:BB14)&lt;$A$209,0,(BB16*$E$209)-SUM($N$209:BA209))</f>
        <v>0</v>
      </c>
      <c r="BC209" s="1057">
        <f>IF(SUM($O$14:BC14)&lt;$A$209,0,(BC16*$E$209)-SUM($N$209:BB209))</f>
        <v>0</v>
      </c>
      <c r="BD209" s="1057">
        <f>IF(SUM($O$14:BD14)&lt;$A$209,0,(BD16*$E$209)-SUM($N$209:BC209))</f>
        <v>0</v>
      </c>
      <c r="BE209" s="1057">
        <f>IF(SUM($O$14:BE14)&lt;$A$209,0,(BE16*$E$209)-SUM($N$209:BD209))</f>
        <v>0</v>
      </c>
      <c r="BF209" s="1057">
        <f>IF(SUM($O$14:BF14)&lt;$A$209,0,(BF16*$E$209)-SUM($N$209:BE209))</f>
        <v>0</v>
      </c>
      <c r="BG209" s="1057">
        <f>IF(SUM($O$14:BG14)&lt;$A$209,0,(BG16*$E$209)-SUM($N$209:BF209))</f>
        <v>0</v>
      </c>
      <c r="BH209" s="1057">
        <f>IF(SUM($O$14:BH14)&lt;$A$209,0,(BH16*$E$209)-SUM($N$209:BG209))</f>
        <v>0</v>
      </c>
      <c r="BI209" s="1057">
        <f>IF(SUM($O$14:BI14)&lt;$A$209,0,(BI16*$E$209)-SUM($N$209:BH209))</f>
        <v>0</v>
      </c>
      <c r="BJ209" s="1057">
        <f>IF(SUM($O$14:BJ14)&lt;$A$209,0,(BJ16*$E$209)-SUM($N$209:BI209))</f>
        <v>0</v>
      </c>
      <c r="BK209" s="1057">
        <f>IF(SUM($O$14:BK14)&lt;$A$209,0,(BK16*$E$209)-SUM($N$209:BJ209))</f>
        <v>0</v>
      </c>
      <c r="BL209" s="1057">
        <f>IF(SUM($O$14:BL14)&lt;$A$209,0,(BL16*$E$209)-SUM($N$209:BK209))</f>
        <v>0</v>
      </c>
      <c r="BM209" s="1057">
        <f>IF(SUM($O$14:BM14)&lt;$A$209,0,(BM16*$E$209)-SUM($N$209:BL209))</f>
        <v>0</v>
      </c>
      <c r="BN209" s="1057">
        <f>IF(SUM($O$14:BN14)&lt;$A$209,0,(BN16*$E$209)-SUM($N$209:BM209))</f>
        <v>0</v>
      </c>
      <c r="BO209" s="1057">
        <f>IF(SUM($O$14:BO14)&lt;$A$209,0,(BO16*$E$209)-SUM($N$209:BN209))</f>
        <v>0</v>
      </c>
      <c r="BP209" s="1057">
        <f>IF(SUM($O$14:BP14)&lt;$A$209,0,(BP16*$E$209)-SUM($N$209:BO209))</f>
        <v>0</v>
      </c>
      <c r="BQ209" s="1057">
        <f>IF(SUM($O$14:BQ14)&lt;$A$209,0,(BQ16*$E$209)-SUM($N$209:BP209))</f>
        <v>0</v>
      </c>
      <c r="BR209" s="1057">
        <f>IF(SUM($O$14:BR14)&lt;$A$209,0,(BR16*$E$209)-SUM($N$209:BQ209))</f>
        <v>0</v>
      </c>
      <c r="BS209" s="1057">
        <f>IF(SUM($O$14:BS14)&lt;$A$209,0,(BS16*$E$209)-SUM($N$209:BR209))</f>
        <v>0</v>
      </c>
      <c r="BT209" s="1057">
        <f>IF(SUM($O$14:BT14)&lt;$A$209,0,(BT16*$E$209)-SUM($N$209:BS209))</f>
        <v>0</v>
      </c>
      <c r="BU209" s="1057">
        <f>IF(SUM($O$14:BU14)&lt;$A$209,0,(BU16*$E$209)-SUM($N$209:BT209))</f>
        <v>0</v>
      </c>
      <c r="BV209" s="1057">
        <f>IF(SUM($O$14:BV14)&lt;$A$209,0,(BV16*$E$209)-SUM($N$209:BU209))</f>
        <v>0</v>
      </c>
      <c r="BW209" s="1057">
        <f>IF(SUM($O$14:BW14)&lt;$A$209,0,(BW16*$E$209)-SUM($N$209:BV209))</f>
        <v>0</v>
      </c>
      <c r="BX209" s="1057">
        <f>IF(SUM($O$14:BX14)&lt;$A$209,0,(BX16*$E$209)-SUM($N$209:BW209))</f>
        <v>0</v>
      </c>
      <c r="BY209" s="1067">
        <f t="shared" si="245"/>
        <v>5</v>
      </c>
      <c r="BZ209" s="1068">
        <f t="shared" si="259"/>
        <v>0</v>
      </c>
      <c r="CA209" s="1069" t="b">
        <f t="shared" si="260"/>
        <v>1</v>
      </c>
      <c r="CB209" s="1084"/>
    </row>
    <row r="210" spans="1:83" s="1082" customFormat="1">
      <c r="A210" s="398">
        <v>21</v>
      </c>
      <c r="B210" s="1067">
        <v>6</v>
      </c>
      <c r="C210" s="1898"/>
      <c r="D210" s="1060">
        <f>IF(B210&lt;Equity!$D$28+1,Equity!$I$7/Equity!$D$28,0)</f>
        <v>9.9999999999999992E-2</v>
      </c>
      <c r="E210" s="1061">
        <f>분양개요!$O$8*D210</f>
        <v>0</v>
      </c>
      <c r="F210" s="1062" t="b">
        <f t="shared" si="256"/>
        <v>1</v>
      </c>
      <c r="G210" s="1056"/>
      <c r="H210" s="1057"/>
      <c r="I210" s="1057"/>
      <c r="J210" s="1057"/>
      <c r="K210" s="1057">
        <f>IF(SUM(K$14:$O14)&lt;$A$210,0,(K16*$E$210)-SUM(J$210:$N210))</f>
        <v>0</v>
      </c>
      <c r="L210" s="1057">
        <f>IF(SUM(L$14:$O14)&lt;$A$210,0,(L16*$E$210)-SUM(K$210:$N210))</f>
        <v>0</v>
      </c>
      <c r="M210" s="1057">
        <f>IF(SUM(M$14:$O14)&lt;$A$210,0,(M16*$E$210)-SUM(L$210:$N210))</f>
        <v>0</v>
      </c>
      <c r="N210" s="1057">
        <f>IF(SUM(N$14:$O14)&lt;$A$210,0,(N16*$E$210)-SUM(M$210:$N210))</f>
        <v>0</v>
      </c>
      <c r="O210" s="1057">
        <f>IF(SUM($O$14:O14)&lt;$A$210,0,(O16*$E$210)-SUM($N$210:N210))</f>
        <v>0</v>
      </c>
      <c r="P210" s="1057">
        <f>IF(SUM($O$14:P14)&lt;$A$210,0,(P16*$E$210)-SUM($N$210:O210))</f>
        <v>0</v>
      </c>
      <c r="Q210" s="1057">
        <f>IF(SUM($O$14:Q14)&lt;$A$210,0,(Q16*$E$210)-SUM($N$210:P210))</f>
        <v>0</v>
      </c>
      <c r="R210" s="1057">
        <f>IF(SUM($O$14:R14)&lt;$A$210,0,(R16*$E$210)-SUM($N$210:Q210))</f>
        <v>0</v>
      </c>
      <c r="S210" s="1057">
        <f>IF(SUM($O$14:S14)&lt;$A$210,0,(S16*$E$210)-SUM($N$210:R210))</f>
        <v>0</v>
      </c>
      <c r="T210" s="1057">
        <f>IF(SUM($O$14:T14)&lt;$A$210,0,(T16*$E$210)-SUM($N$210:S210))</f>
        <v>0</v>
      </c>
      <c r="U210" s="1057">
        <f>IF(SUM($O$14:U14)&lt;$A$210,0,(U16*$E$210)-SUM($N$210:T210))</f>
        <v>0</v>
      </c>
      <c r="V210" s="1057">
        <f>IF(SUM($O$14:V14)&lt;$A$210,0,(V16*$E$210)-SUM($N$210:U210))</f>
        <v>0</v>
      </c>
      <c r="W210" s="1057">
        <f>IF(SUM($O$14:W14)&lt;$A$210,0,(W16*$E$210)-SUM($N$210:V210))</f>
        <v>0</v>
      </c>
      <c r="X210" s="1057">
        <f>IF(SUM($O$14:X14)&lt;$A$210,0,(X16*$E$210)-SUM($N$210:W210))</f>
        <v>0</v>
      </c>
      <c r="Y210" s="1057">
        <f>IF(SUM($O$14:Y14)&lt;$A$210,0,(Y16*$E$210)-SUM($N$210:X210))</f>
        <v>0</v>
      </c>
      <c r="Z210" s="1057">
        <f>IF(SUM($O$14:Z14)&lt;$A$210,0,(Z16*$E$210)-SUM($N$210:Y210))</f>
        <v>0</v>
      </c>
      <c r="AA210" s="1057">
        <f>IF(SUM($O$14:AA14)&lt;$A$210,0,(AA16*$E$210)-SUM($N$210:Z210))</f>
        <v>0</v>
      </c>
      <c r="AB210" s="1057">
        <f>IF(SUM($O$14:AB14)&lt;$A$210,0,(AB16*$E$210)-SUM($N$210:AA210))</f>
        <v>0</v>
      </c>
      <c r="AC210" s="1057">
        <f>IF(SUM($O$14:AC14)&lt;$A$210,0,(AC16*$E$210)-SUM($N$210:AB210))</f>
        <v>0</v>
      </c>
      <c r="AD210" s="1057">
        <f>IF(SUM($O$14:AD14)&lt;$A$210,0,(AD16*$E$210)-SUM($N$210:AC210))</f>
        <v>0</v>
      </c>
      <c r="AE210" s="1057">
        <f>IF(SUM($O$14:AE14)&lt;$A$210,0,(AE16*$E$210)-SUM($N$210:AD210))</f>
        <v>0</v>
      </c>
      <c r="AF210" s="1057">
        <f>IF(SUM($O$14:AF14)&lt;$A$210,0,(AF16*$E$210)-SUM($N$210:AE210))</f>
        <v>0</v>
      </c>
      <c r="AG210" s="1057">
        <f>IF(SUM($O$14:AG14)&lt;$A$210,0,(AG16*$E$210)-SUM($N$210:AF210))</f>
        <v>0</v>
      </c>
      <c r="AH210" s="1057">
        <f>IF(SUM($O$14:AH14)&lt;$A$210,0,(AH16*$E$210)-SUM($N$210:AG210))</f>
        <v>0</v>
      </c>
      <c r="AI210" s="1057">
        <f>IF(SUM($O$14:AI14)&lt;$A$210,0,(AI16*$E$210)-SUM($N$210:AH210))</f>
        <v>0</v>
      </c>
      <c r="AJ210" s="1057">
        <f>IF(SUM($O$14:AJ14)&lt;$A$210,0,(AJ16*$E$210)-SUM($N$210:AI210))</f>
        <v>0</v>
      </c>
      <c r="AK210" s="1057">
        <f>IF(SUM($O$14:AK14)&lt;$A$210,0,(AK16*$E$210)-SUM($N$210:AJ210))</f>
        <v>0</v>
      </c>
      <c r="AL210" s="1057">
        <f>IF(SUM($O$14:AL14)&lt;$A$210,0,(AL16*$E$210)-SUM($N$210:AK210))</f>
        <v>0</v>
      </c>
      <c r="AM210" s="1057">
        <f>IF(SUM($O$14:AM14)&lt;$A$210,0,(AM16*$E$210)-SUM($N$210:AL210))</f>
        <v>0</v>
      </c>
      <c r="AN210" s="1057">
        <f>IF(SUM($O$14:AN14)&lt;$A$210,0,(AN16*$E$210)-SUM($N$210:AM210))</f>
        <v>0</v>
      </c>
      <c r="AO210" s="1057">
        <f>IF(SUM($O$14:AO14)&lt;$A$210,0,(AO16*$E$210)-SUM($N$210:AN210))</f>
        <v>0</v>
      </c>
      <c r="AP210" s="1057">
        <f>IF(SUM($O$14:AP14)&lt;$A$210,0,(AP16*$E$210)-SUM($N$210:AO210))</f>
        <v>0</v>
      </c>
      <c r="AQ210" s="1057">
        <f>IF(SUM($O$14:AQ14)&lt;$A$210,0,(AQ16*$E$210)-SUM($N$210:AP210))</f>
        <v>0</v>
      </c>
      <c r="AR210" s="1057">
        <f>IF(SUM($O$14:AR14)&lt;$A$210,0,(AR16*$E$210)-SUM($N$210:AQ210))</f>
        <v>0</v>
      </c>
      <c r="AS210" s="1057">
        <f>IF(SUM($O$14:AS14)&lt;$A$210,0,(AS16*$E$210)-SUM($N$210:AR210))</f>
        <v>0</v>
      </c>
      <c r="AT210" s="1057">
        <f>IF(SUM($O$14:AT14)&lt;$A$210,0,(AT16*$E$210)-SUM($N$210:AS210))</f>
        <v>0</v>
      </c>
      <c r="AU210" s="1057">
        <f>IF(SUM($O$14:AU14)&lt;$A$210,0,(AU16*$E$210)-SUM($N$210:AT210))</f>
        <v>0</v>
      </c>
      <c r="AV210" s="1057">
        <f>IF(SUM($O$14:AV14)&lt;$A$210,0,(AV16*$E$210)-SUM($N$210:AU210))</f>
        <v>0</v>
      </c>
      <c r="AW210" s="1057">
        <f>IF(SUM($O$14:AW14)&lt;$A$210,0,(AW16*$E$210)-SUM($N$210:AV210))</f>
        <v>0</v>
      </c>
      <c r="AX210" s="1057">
        <f>IF(SUM($O$14:AX14)&lt;$A$210,0,(AX16*$E$210)-SUM($N$210:AW210))</f>
        <v>0</v>
      </c>
      <c r="AY210" s="1057">
        <f>IF(SUM($O$14:AY14)&lt;$A$210,0,(AY16*$E$210)-SUM($N$210:AX210))</f>
        <v>0</v>
      </c>
      <c r="AZ210" s="1057">
        <f>IF(SUM($O$14:AZ14)&lt;$A$210,0,(AZ16*$E$210)-SUM($N$210:AY210))</f>
        <v>0</v>
      </c>
      <c r="BA210" s="1057">
        <f>IF(SUM($O$14:BA14)&lt;$A$210,0,(BA16*$E$210)-SUM($N$210:AZ210))</f>
        <v>0</v>
      </c>
      <c r="BB210" s="1057">
        <f>IF(SUM($O$14:BB14)&lt;$A$210,0,(BB16*$E$210)-SUM($N$210:BA210))</f>
        <v>0</v>
      </c>
      <c r="BC210" s="1057">
        <f>IF(SUM($O$14:BC14)&lt;$A$210,0,(BC16*$E$210)-SUM($N$210:BB210))</f>
        <v>0</v>
      </c>
      <c r="BD210" s="1057">
        <f>IF(SUM($O$14:BD14)&lt;$A$210,0,(BD16*$E$210)-SUM($N$210:BC210))</f>
        <v>0</v>
      </c>
      <c r="BE210" s="1057">
        <f>IF(SUM($O$14:BE14)&lt;$A$210,0,(BE16*$E$210)-SUM($N$210:BD210))</f>
        <v>0</v>
      </c>
      <c r="BF210" s="1057">
        <f>IF(SUM($O$14:BF14)&lt;$A$210,0,(BF16*$E$210)-SUM($N$210:BE210))</f>
        <v>0</v>
      </c>
      <c r="BG210" s="1057">
        <f>IF(SUM($O$14:BG14)&lt;$A$210,0,(BG16*$E$210)-SUM($N$210:BF210))</f>
        <v>0</v>
      </c>
      <c r="BH210" s="1057">
        <f>IF(SUM($O$14:BH14)&lt;$A$210,0,(BH16*$E$210)-SUM($N$210:BG210))</f>
        <v>0</v>
      </c>
      <c r="BI210" s="1057">
        <f>IF(SUM($O$14:BI14)&lt;$A$210,0,(BI16*$E$210)-SUM($N$210:BH210))</f>
        <v>0</v>
      </c>
      <c r="BJ210" s="1057">
        <f>IF(SUM($O$14:BJ14)&lt;$A$210,0,(BJ16*$E$210)-SUM($N$210:BI210))</f>
        <v>0</v>
      </c>
      <c r="BK210" s="1057">
        <f>IF(SUM($O$14:BK14)&lt;$A$210,0,(BK16*$E$210)-SUM($N$210:BJ210))</f>
        <v>0</v>
      </c>
      <c r="BL210" s="1057">
        <f>IF(SUM($O$14:BL14)&lt;$A$210,0,(BL16*$E$210)-SUM($N$210:BK210))</f>
        <v>0</v>
      </c>
      <c r="BM210" s="1057">
        <f>IF(SUM($O$14:BM14)&lt;$A$210,0,(BM16*$E$210)-SUM($N$210:BL210))</f>
        <v>0</v>
      </c>
      <c r="BN210" s="1057">
        <f>IF(SUM($O$14:BN14)&lt;$A$210,0,(BN16*$E$210)-SUM($N$210:BM210))</f>
        <v>0</v>
      </c>
      <c r="BO210" s="1057">
        <f>IF(SUM($O$14:BO14)&lt;$A$210,0,(BO16*$E$210)-SUM($N$210:BN210))</f>
        <v>0</v>
      </c>
      <c r="BP210" s="1057">
        <f>IF(SUM($O$14:BP14)&lt;$A$210,0,(BP16*$E$210)-SUM($N$210:BO210))</f>
        <v>0</v>
      </c>
      <c r="BQ210" s="1057">
        <f>IF(SUM($O$14:BQ14)&lt;$A$210,0,(BQ16*$E$210)-SUM($N$210:BP210))</f>
        <v>0</v>
      </c>
      <c r="BR210" s="1057">
        <f>IF(SUM($O$14:BR14)&lt;$A$210,0,(BR16*$E$210)-SUM($N$210:BQ210))</f>
        <v>0</v>
      </c>
      <c r="BS210" s="1057">
        <f>IF(SUM($O$14:BS14)&lt;$A$210,0,(BS16*$E$210)-SUM($N$210:BR210))</f>
        <v>0</v>
      </c>
      <c r="BT210" s="1057">
        <f>IF(SUM($O$14:BT14)&lt;$A$210,0,(BT16*$E$210)-SUM($N$210:BS210))</f>
        <v>0</v>
      </c>
      <c r="BU210" s="1057">
        <f>IF(SUM($O$14:BU14)&lt;$A$210,0,(BU16*$E$210)-SUM($N$210:BT210))</f>
        <v>0</v>
      </c>
      <c r="BV210" s="1057">
        <f>IF(SUM($O$14:BV14)&lt;$A$210,0,(BV16*$E$210)-SUM($N$210:BU210))</f>
        <v>0</v>
      </c>
      <c r="BW210" s="1057">
        <f>IF(SUM($O$14:BW14)&lt;$A$210,0,(BW16*$E$210)-SUM($N$210:BV210))</f>
        <v>0</v>
      </c>
      <c r="BX210" s="1057">
        <f>IF(SUM($O$14:BX14)&lt;$A$210,0,(BX16*$E$210)-SUM($N$210:BW210))</f>
        <v>0</v>
      </c>
      <c r="BY210" s="1067">
        <f t="shared" si="245"/>
        <v>6</v>
      </c>
      <c r="BZ210" s="1068">
        <f t="shared" si="259"/>
        <v>0</v>
      </c>
      <c r="CA210" s="1069" t="b">
        <f t="shared" si="260"/>
        <v>1</v>
      </c>
      <c r="CB210" s="1084"/>
    </row>
    <row r="211" spans="1:83" s="1082" customFormat="1">
      <c r="B211" s="1086" t="s">
        <v>1035</v>
      </c>
      <c r="C211" s="1902"/>
      <c r="D211" s="1060">
        <f>Equity!J7</f>
        <v>0.30000000000000004</v>
      </c>
      <c r="E211" s="1061">
        <f>분양개요!$O$8*D211</f>
        <v>0</v>
      </c>
      <c r="F211" s="1062" t="b">
        <f t="shared" si="256"/>
        <v>1</v>
      </c>
      <c r="G211" s="1056"/>
      <c r="H211" s="1057"/>
      <c r="I211" s="1057"/>
      <c r="J211" s="1057"/>
      <c r="K211" s="1057">
        <f t="shared" ref="K211:AP211" si="261">IF(K7&gt;공사기간,$E$211*K203,0)</f>
        <v>0</v>
      </c>
      <c r="L211" s="1057">
        <f t="shared" si="261"/>
        <v>0</v>
      </c>
      <c r="M211" s="1057">
        <f t="shared" si="261"/>
        <v>0</v>
      </c>
      <c r="N211" s="1057">
        <f t="shared" si="261"/>
        <v>0</v>
      </c>
      <c r="O211" s="1057">
        <f t="shared" si="261"/>
        <v>0</v>
      </c>
      <c r="P211" s="1057">
        <f t="shared" si="261"/>
        <v>0</v>
      </c>
      <c r="Q211" s="1057">
        <f t="shared" si="261"/>
        <v>0</v>
      </c>
      <c r="R211" s="1057">
        <f t="shared" si="261"/>
        <v>0</v>
      </c>
      <c r="S211" s="1057">
        <f t="shared" si="261"/>
        <v>0</v>
      </c>
      <c r="T211" s="1057">
        <f t="shared" si="261"/>
        <v>0</v>
      </c>
      <c r="U211" s="1057">
        <f t="shared" si="261"/>
        <v>0</v>
      </c>
      <c r="V211" s="1057">
        <f t="shared" si="261"/>
        <v>0</v>
      </c>
      <c r="W211" s="1057">
        <f t="shared" si="261"/>
        <v>0</v>
      </c>
      <c r="X211" s="1057">
        <f t="shared" si="261"/>
        <v>0</v>
      </c>
      <c r="Y211" s="1057">
        <f t="shared" si="261"/>
        <v>0</v>
      </c>
      <c r="Z211" s="1057">
        <f t="shared" si="261"/>
        <v>0</v>
      </c>
      <c r="AA211" s="1057">
        <f t="shared" si="261"/>
        <v>0</v>
      </c>
      <c r="AB211" s="1057">
        <f t="shared" si="261"/>
        <v>0</v>
      </c>
      <c r="AC211" s="1057">
        <f t="shared" si="261"/>
        <v>0</v>
      </c>
      <c r="AD211" s="1057">
        <f t="shared" si="261"/>
        <v>0</v>
      </c>
      <c r="AE211" s="1057">
        <f t="shared" si="261"/>
        <v>0</v>
      </c>
      <c r="AF211" s="1057">
        <f t="shared" si="261"/>
        <v>0</v>
      </c>
      <c r="AG211" s="1057">
        <f t="shared" si="261"/>
        <v>0</v>
      </c>
      <c r="AH211" s="1057">
        <f t="shared" si="261"/>
        <v>0</v>
      </c>
      <c r="AI211" s="1057">
        <f t="shared" si="261"/>
        <v>0</v>
      </c>
      <c r="AJ211" s="1057">
        <f t="shared" si="261"/>
        <v>0</v>
      </c>
      <c r="AK211" s="1057">
        <f t="shared" si="261"/>
        <v>0</v>
      </c>
      <c r="AL211" s="1057">
        <f t="shared" si="261"/>
        <v>0</v>
      </c>
      <c r="AM211" s="1057">
        <f t="shared" si="261"/>
        <v>0</v>
      </c>
      <c r="AN211" s="1057">
        <f t="shared" si="261"/>
        <v>0</v>
      </c>
      <c r="AO211" s="1057">
        <f t="shared" si="261"/>
        <v>0</v>
      </c>
      <c r="AP211" s="1057">
        <f t="shared" si="261"/>
        <v>0</v>
      </c>
      <c r="AQ211" s="1057">
        <f t="shared" ref="AQ211:BX211" si="262">IF(AQ7&gt;공사기간,$E$211*AQ203,0)</f>
        <v>0</v>
      </c>
      <c r="AR211" s="1057">
        <f t="shared" si="262"/>
        <v>0</v>
      </c>
      <c r="AS211" s="1057">
        <f t="shared" si="262"/>
        <v>0</v>
      </c>
      <c r="AT211" s="1057">
        <f t="shared" si="262"/>
        <v>0</v>
      </c>
      <c r="AU211" s="1057">
        <f t="shared" si="262"/>
        <v>0</v>
      </c>
      <c r="AV211" s="1057">
        <f t="shared" si="262"/>
        <v>0</v>
      </c>
      <c r="AW211" s="1057">
        <f t="shared" si="262"/>
        <v>0</v>
      </c>
      <c r="AX211" s="1057">
        <f t="shared" si="262"/>
        <v>0</v>
      </c>
      <c r="AY211" s="1057">
        <f t="shared" si="262"/>
        <v>0</v>
      </c>
      <c r="AZ211" s="1057">
        <f t="shared" si="262"/>
        <v>0</v>
      </c>
      <c r="BA211" s="1057">
        <f t="shared" si="262"/>
        <v>0</v>
      </c>
      <c r="BB211" s="1057">
        <f t="shared" si="262"/>
        <v>0</v>
      </c>
      <c r="BC211" s="1057">
        <f t="shared" si="262"/>
        <v>0</v>
      </c>
      <c r="BD211" s="1057">
        <f t="shared" si="262"/>
        <v>0</v>
      </c>
      <c r="BE211" s="1057">
        <f t="shared" si="262"/>
        <v>0</v>
      </c>
      <c r="BF211" s="1057">
        <f t="shared" si="262"/>
        <v>0</v>
      </c>
      <c r="BG211" s="1057">
        <f t="shared" si="262"/>
        <v>0</v>
      </c>
      <c r="BH211" s="1057">
        <f t="shared" si="262"/>
        <v>0</v>
      </c>
      <c r="BI211" s="1057">
        <f t="shared" si="262"/>
        <v>0</v>
      </c>
      <c r="BJ211" s="1057">
        <f t="shared" si="262"/>
        <v>0</v>
      </c>
      <c r="BK211" s="1057">
        <f t="shared" si="262"/>
        <v>0</v>
      </c>
      <c r="BL211" s="1057">
        <f t="shared" si="262"/>
        <v>0</v>
      </c>
      <c r="BM211" s="1057">
        <f t="shared" si="262"/>
        <v>0</v>
      </c>
      <c r="BN211" s="1057">
        <f t="shared" si="262"/>
        <v>0</v>
      </c>
      <c r="BO211" s="1057">
        <f t="shared" si="262"/>
        <v>0</v>
      </c>
      <c r="BP211" s="1057">
        <f t="shared" si="262"/>
        <v>0</v>
      </c>
      <c r="BQ211" s="1057">
        <f t="shared" si="262"/>
        <v>0</v>
      </c>
      <c r="BR211" s="1057">
        <f t="shared" si="262"/>
        <v>0</v>
      </c>
      <c r="BS211" s="1057">
        <f t="shared" si="262"/>
        <v>0</v>
      </c>
      <c r="BT211" s="1057">
        <f t="shared" si="262"/>
        <v>0</v>
      </c>
      <c r="BU211" s="1057">
        <f t="shared" si="262"/>
        <v>0</v>
      </c>
      <c r="BV211" s="1057">
        <f t="shared" si="262"/>
        <v>0</v>
      </c>
      <c r="BW211" s="1057">
        <f t="shared" si="262"/>
        <v>0</v>
      </c>
      <c r="BX211" s="1057">
        <f t="shared" si="262"/>
        <v>0</v>
      </c>
      <c r="BY211" s="1074" t="str">
        <f t="shared" si="245"/>
        <v>잔금</v>
      </c>
      <c r="BZ211" s="1068">
        <f t="shared" si="259"/>
        <v>0</v>
      </c>
      <c r="CA211" s="1069" t="b">
        <f t="shared" si="260"/>
        <v>1</v>
      </c>
      <c r="CB211" s="1084"/>
    </row>
    <row r="212" spans="1:83" s="1082" customFormat="1">
      <c r="B212" s="1085" t="s">
        <v>126</v>
      </c>
      <c r="C212" s="1901"/>
      <c r="D212" s="1060">
        <f>SUM(D204:D211)</f>
        <v>1</v>
      </c>
      <c r="E212" s="1061">
        <f>SUM(E204:E211)</f>
        <v>0</v>
      </c>
      <c r="F212" s="1062" t="b">
        <f t="shared" si="256"/>
        <v>1</v>
      </c>
      <c r="G212" s="1056">
        <f>SUM(G204:G211)</f>
        <v>0</v>
      </c>
      <c r="H212" s="1057">
        <f t="shared" ref="H212:BS212" si="263">SUM(H204:H211)</f>
        <v>0</v>
      </c>
      <c r="I212" s="1057">
        <f t="shared" si="263"/>
        <v>0</v>
      </c>
      <c r="J212" s="1057">
        <f t="shared" si="263"/>
        <v>0</v>
      </c>
      <c r="K212" s="1058">
        <f t="shared" si="263"/>
        <v>0</v>
      </c>
      <c r="L212" s="1058">
        <f t="shared" si="263"/>
        <v>0</v>
      </c>
      <c r="M212" s="1058">
        <f t="shared" si="263"/>
        <v>0</v>
      </c>
      <c r="N212" s="1058">
        <f t="shared" si="263"/>
        <v>0</v>
      </c>
      <c r="O212" s="1058">
        <f t="shared" si="263"/>
        <v>0</v>
      </c>
      <c r="P212" s="1058">
        <f t="shared" si="263"/>
        <v>0</v>
      </c>
      <c r="Q212" s="1058">
        <f t="shared" si="263"/>
        <v>0</v>
      </c>
      <c r="R212" s="1058">
        <f t="shared" si="263"/>
        <v>0</v>
      </c>
      <c r="S212" s="1058">
        <f t="shared" si="263"/>
        <v>0</v>
      </c>
      <c r="T212" s="1058">
        <f t="shared" si="263"/>
        <v>0</v>
      </c>
      <c r="U212" s="1058">
        <f t="shared" si="263"/>
        <v>0</v>
      </c>
      <c r="V212" s="1058">
        <f t="shared" si="263"/>
        <v>0</v>
      </c>
      <c r="W212" s="1058">
        <f t="shared" si="263"/>
        <v>0</v>
      </c>
      <c r="X212" s="1058">
        <f t="shared" si="263"/>
        <v>0</v>
      </c>
      <c r="Y212" s="1058">
        <f t="shared" si="263"/>
        <v>0</v>
      </c>
      <c r="Z212" s="1058">
        <f t="shared" si="263"/>
        <v>0</v>
      </c>
      <c r="AA212" s="1058">
        <f t="shared" si="263"/>
        <v>0</v>
      </c>
      <c r="AB212" s="1058">
        <f t="shared" si="263"/>
        <v>0</v>
      </c>
      <c r="AC212" s="1058">
        <f t="shared" si="263"/>
        <v>0</v>
      </c>
      <c r="AD212" s="1058">
        <f t="shared" si="263"/>
        <v>0</v>
      </c>
      <c r="AE212" s="1058">
        <f t="shared" si="263"/>
        <v>0</v>
      </c>
      <c r="AF212" s="1058">
        <f t="shared" si="263"/>
        <v>0</v>
      </c>
      <c r="AG212" s="1058">
        <f t="shared" si="263"/>
        <v>0</v>
      </c>
      <c r="AH212" s="1058">
        <f t="shared" si="263"/>
        <v>0</v>
      </c>
      <c r="AI212" s="1058">
        <f t="shared" si="263"/>
        <v>0</v>
      </c>
      <c r="AJ212" s="1058">
        <f t="shared" si="263"/>
        <v>0</v>
      </c>
      <c r="AK212" s="1058">
        <f t="shared" si="263"/>
        <v>0</v>
      </c>
      <c r="AL212" s="1058">
        <f t="shared" si="263"/>
        <v>0</v>
      </c>
      <c r="AM212" s="1058">
        <f t="shared" si="263"/>
        <v>0</v>
      </c>
      <c r="AN212" s="1058">
        <f t="shared" si="263"/>
        <v>0</v>
      </c>
      <c r="AO212" s="1058">
        <f t="shared" si="263"/>
        <v>0</v>
      </c>
      <c r="AP212" s="1058">
        <f t="shared" si="263"/>
        <v>0</v>
      </c>
      <c r="AQ212" s="1058">
        <f t="shared" si="263"/>
        <v>0</v>
      </c>
      <c r="AR212" s="1058">
        <f t="shared" si="263"/>
        <v>0</v>
      </c>
      <c r="AS212" s="1058">
        <f t="shared" si="263"/>
        <v>0</v>
      </c>
      <c r="AT212" s="1058">
        <f t="shared" si="263"/>
        <v>0</v>
      </c>
      <c r="AU212" s="1058">
        <f t="shared" si="263"/>
        <v>0</v>
      </c>
      <c r="AV212" s="1058">
        <f t="shared" si="263"/>
        <v>0</v>
      </c>
      <c r="AW212" s="1058">
        <f t="shared" si="263"/>
        <v>0</v>
      </c>
      <c r="AX212" s="1058">
        <f t="shared" si="263"/>
        <v>0</v>
      </c>
      <c r="AY212" s="1058">
        <f t="shared" si="263"/>
        <v>0</v>
      </c>
      <c r="AZ212" s="1058">
        <f t="shared" si="263"/>
        <v>0</v>
      </c>
      <c r="BA212" s="1058">
        <f t="shared" si="263"/>
        <v>0</v>
      </c>
      <c r="BB212" s="1058">
        <f t="shared" si="263"/>
        <v>0</v>
      </c>
      <c r="BC212" s="1058">
        <f t="shared" si="263"/>
        <v>0</v>
      </c>
      <c r="BD212" s="1058">
        <f t="shared" si="263"/>
        <v>0</v>
      </c>
      <c r="BE212" s="1058">
        <f t="shared" si="263"/>
        <v>0</v>
      </c>
      <c r="BF212" s="1058">
        <f t="shared" si="263"/>
        <v>0</v>
      </c>
      <c r="BG212" s="1058">
        <f t="shared" si="263"/>
        <v>0</v>
      </c>
      <c r="BH212" s="1058">
        <f t="shared" si="263"/>
        <v>0</v>
      </c>
      <c r="BI212" s="1058">
        <f t="shared" si="263"/>
        <v>0</v>
      </c>
      <c r="BJ212" s="1058">
        <f t="shared" si="263"/>
        <v>0</v>
      </c>
      <c r="BK212" s="1058">
        <f t="shared" si="263"/>
        <v>0</v>
      </c>
      <c r="BL212" s="1058">
        <f t="shared" si="263"/>
        <v>0</v>
      </c>
      <c r="BM212" s="1058">
        <f t="shared" si="263"/>
        <v>0</v>
      </c>
      <c r="BN212" s="1058">
        <f t="shared" si="263"/>
        <v>0</v>
      </c>
      <c r="BO212" s="1058">
        <f t="shared" si="263"/>
        <v>0</v>
      </c>
      <c r="BP212" s="1058">
        <f t="shared" si="263"/>
        <v>0</v>
      </c>
      <c r="BQ212" s="1058">
        <f t="shared" si="263"/>
        <v>0</v>
      </c>
      <c r="BR212" s="1058">
        <f t="shared" si="263"/>
        <v>0</v>
      </c>
      <c r="BS212" s="1058">
        <f t="shared" si="263"/>
        <v>0</v>
      </c>
      <c r="BT212" s="1058">
        <f t="shared" ref="BT212:BU212" si="264">SUM(BT204:BT211)</f>
        <v>0</v>
      </c>
      <c r="BU212" s="1058">
        <f t="shared" si="264"/>
        <v>0</v>
      </c>
      <c r="BV212" s="1058">
        <f>SUM(BV204:BV211)</f>
        <v>0</v>
      </c>
      <c r="BW212" s="1058">
        <f t="shared" ref="BW212:BX212" si="265">SUM(BW204:BW211)</f>
        <v>0</v>
      </c>
      <c r="BX212" s="1058">
        <f t="shared" si="265"/>
        <v>0</v>
      </c>
      <c r="BY212" s="1079" t="str">
        <f t="shared" si="245"/>
        <v>합계</v>
      </c>
      <c r="BZ212" s="1080">
        <f t="shared" si="259"/>
        <v>0</v>
      </c>
      <c r="CA212" s="1087" t="b">
        <f t="shared" si="260"/>
        <v>1</v>
      </c>
      <c r="CB212" s="1084"/>
    </row>
    <row r="213" spans="1:83" s="1082" customFormat="1">
      <c r="B213" s="2364" t="str">
        <f>Equity!G8</f>
        <v>근린생활시설</v>
      </c>
      <c r="C213" s="2365"/>
      <c r="D213" s="2365"/>
      <c r="E213" s="2365"/>
      <c r="F213" s="1062"/>
      <c r="G213" s="1056"/>
      <c r="H213" s="1057"/>
      <c r="I213" s="1057"/>
      <c r="J213" s="1057"/>
      <c r="K213" s="1057"/>
      <c r="L213" s="1057"/>
      <c r="M213" s="1057"/>
      <c r="N213" s="1057"/>
      <c r="O213" s="1057"/>
      <c r="P213" s="1057"/>
      <c r="Q213" s="1057"/>
      <c r="R213" s="1057"/>
      <c r="S213" s="1057"/>
      <c r="T213" s="1057"/>
      <c r="U213" s="1057"/>
      <c r="V213" s="1057"/>
      <c r="W213" s="1057"/>
      <c r="X213" s="1057"/>
      <c r="Y213" s="1057"/>
      <c r="Z213" s="1057"/>
      <c r="AA213" s="1057"/>
      <c r="AB213" s="1057"/>
      <c r="AC213" s="1057"/>
      <c r="AD213" s="1057"/>
      <c r="AE213" s="1057"/>
      <c r="AF213" s="1057"/>
      <c r="AG213" s="1057"/>
      <c r="AH213" s="1057"/>
      <c r="AI213" s="1057"/>
      <c r="AJ213" s="1057"/>
      <c r="AK213" s="1057"/>
      <c r="AL213" s="1057"/>
      <c r="AM213" s="1057"/>
      <c r="AN213" s="1057"/>
      <c r="AO213" s="1057"/>
      <c r="AP213" s="1057"/>
      <c r="AQ213" s="1057"/>
      <c r="AR213" s="1057"/>
      <c r="AS213" s="1057"/>
      <c r="AT213" s="1057"/>
      <c r="AU213" s="1057"/>
      <c r="AV213" s="1057"/>
      <c r="AW213" s="1057"/>
      <c r="AX213" s="1057"/>
      <c r="AY213" s="1057"/>
      <c r="AZ213" s="1057"/>
      <c r="BA213" s="1057"/>
      <c r="BB213" s="1057"/>
      <c r="BC213" s="1057"/>
      <c r="BD213" s="1057"/>
      <c r="BE213" s="1057"/>
      <c r="BF213" s="1057"/>
      <c r="BG213" s="1057"/>
      <c r="BH213" s="1057"/>
      <c r="BI213" s="1057"/>
      <c r="BJ213" s="1057"/>
      <c r="BK213" s="1057"/>
      <c r="BL213" s="1057"/>
      <c r="BM213" s="1057"/>
      <c r="BN213" s="1057"/>
      <c r="BO213" s="1057"/>
      <c r="BP213" s="1057"/>
      <c r="BQ213" s="1057"/>
      <c r="BR213" s="1057"/>
      <c r="BS213" s="1057"/>
      <c r="BT213" s="1057"/>
      <c r="BU213" s="1057"/>
      <c r="BV213" s="1912">
        <f>비용집행계획!BQ14</f>
        <v>0.1</v>
      </c>
      <c r="BW213" s="1912">
        <f>비용집행계획!BR14</f>
        <v>0.1</v>
      </c>
      <c r="BX213" s="1912">
        <f>비용집행계획!BS14</f>
        <v>0.8</v>
      </c>
      <c r="BY213" s="2370" t="str">
        <f t="shared" si="245"/>
        <v>근린생활시설</v>
      </c>
      <c r="BZ213" s="2371"/>
      <c r="CA213" s="1088"/>
    </row>
    <row r="214" spans="1:83" s="1082" customFormat="1">
      <c r="B214" s="1085" t="s">
        <v>1034</v>
      </c>
      <c r="C214" s="1901"/>
      <c r="D214" s="1060">
        <f>Equity!H8</f>
        <v>0.1</v>
      </c>
      <c r="E214" s="1077">
        <f>분양개요!$O$9*D214</f>
        <v>119790</v>
      </c>
      <c r="F214" s="1062" t="b">
        <f t="shared" ref="F214:F222" si="266">CA214</f>
        <v>1</v>
      </c>
      <c r="G214" s="1056"/>
      <c r="H214" s="1057"/>
      <c r="I214" s="1057"/>
      <c r="J214" s="1057"/>
      <c r="K214" s="1057">
        <f t="shared" ref="K214:AP214" si="267">$E$214*K18</f>
        <v>0</v>
      </c>
      <c r="L214" s="1057">
        <f t="shared" si="267"/>
        <v>0</v>
      </c>
      <c r="M214" s="1057">
        <f t="shared" si="267"/>
        <v>0</v>
      </c>
      <c r="N214" s="1057">
        <f t="shared" si="267"/>
        <v>0</v>
      </c>
      <c r="O214" s="1057">
        <f t="shared" si="267"/>
        <v>0</v>
      </c>
      <c r="P214" s="1057">
        <f t="shared" si="267"/>
        <v>0</v>
      </c>
      <c r="Q214" s="1057">
        <f t="shared" si="267"/>
        <v>0</v>
      </c>
      <c r="R214" s="1057">
        <f t="shared" si="267"/>
        <v>0</v>
      </c>
      <c r="S214" s="1057">
        <f t="shared" si="267"/>
        <v>0</v>
      </c>
      <c r="T214" s="1057">
        <f t="shared" si="267"/>
        <v>0</v>
      </c>
      <c r="U214" s="1057">
        <f t="shared" si="267"/>
        <v>0</v>
      </c>
      <c r="V214" s="1057">
        <f t="shared" si="267"/>
        <v>0</v>
      </c>
      <c r="W214" s="1057">
        <f t="shared" si="267"/>
        <v>0</v>
      </c>
      <c r="X214" s="1057">
        <f t="shared" si="267"/>
        <v>0</v>
      </c>
      <c r="Y214" s="1057">
        <f t="shared" si="267"/>
        <v>0</v>
      </c>
      <c r="Z214" s="1057">
        <f t="shared" si="267"/>
        <v>0</v>
      </c>
      <c r="AA214" s="1057">
        <f t="shared" si="267"/>
        <v>0</v>
      </c>
      <c r="AB214" s="1057">
        <f t="shared" si="267"/>
        <v>0</v>
      </c>
      <c r="AC214" s="1057">
        <f t="shared" si="267"/>
        <v>0</v>
      </c>
      <c r="AD214" s="1057">
        <f t="shared" si="267"/>
        <v>0</v>
      </c>
      <c r="AE214" s="1057">
        <f t="shared" si="267"/>
        <v>0</v>
      </c>
      <c r="AF214" s="1057">
        <f t="shared" si="267"/>
        <v>0</v>
      </c>
      <c r="AG214" s="1057">
        <f t="shared" si="267"/>
        <v>0</v>
      </c>
      <c r="AH214" s="1057">
        <f t="shared" si="267"/>
        <v>0</v>
      </c>
      <c r="AI214" s="1057">
        <f t="shared" si="267"/>
        <v>0</v>
      </c>
      <c r="AJ214" s="1057">
        <f t="shared" si="267"/>
        <v>0</v>
      </c>
      <c r="AK214" s="1057">
        <f t="shared" si="267"/>
        <v>23958</v>
      </c>
      <c r="AL214" s="1057">
        <f t="shared" si="267"/>
        <v>0</v>
      </c>
      <c r="AM214" s="1057">
        <f t="shared" si="267"/>
        <v>23958</v>
      </c>
      <c r="AN214" s="1057">
        <f t="shared" si="267"/>
        <v>0</v>
      </c>
      <c r="AO214" s="1057">
        <f t="shared" si="267"/>
        <v>35937</v>
      </c>
      <c r="AP214" s="1057">
        <f t="shared" si="267"/>
        <v>0</v>
      </c>
      <c r="AQ214" s="1057">
        <f t="shared" ref="AQ214:BX214" si="268">$E$214*AQ18</f>
        <v>35937</v>
      </c>
      <c r="AR214" s="1057">
        <f t="shared" si="268"/>
        <v>0</v>
      </c>
      <c r="AS214" s="1057">
        <f t="shared" si="268"/>
        <v>0</v>
      </c>
      <c r="AT214" s="1057">
        <f t="shared" si="268"/>
        <v>0</v>
      </c>
      <c r="AU214" s="1057">
        <f t="shared" si="268"/>
        <v>0</v>
      </c>
      <c r="AV214" s="1057">
        <f t="shared" si="268"/>
        <v>0</v>
      </c>
      <c r="AW214" s="1057">
        <f t="shared" si="268"/>
        <v>0</v>
      </c>
      <c r="AX214" s="1057">
        <f t="shared" si="268"/>
        <v>0</v>
      </c>
      <c r="AY214" s="1057">
        <f t="shared" si="268"/>
        <v>0</v>
      </c>
      <c r="AZ214" s="1057">
        <f t="shared" si="268"/>
        <v>0</v>
      </c>
      <c r="BA214" s="1057">
        <f t="shared" si="268"/>
        <v>0</v>
      </c>
      <c r="BB214" s="1057">
        <f t="shared" si="268"/>
        <v>0</v>
      </c>
      <c r="BC214" s="1057">
        <f t="shared" si="268"/>
        <v>0</v>
      </c>
      <c r="BD214" s="1057">
        <f t="shared" si="268"/>
        <v>0</v>
      </c>
      <c r="BE214" s="1057">
        <f t="shared" si="268"/>
        <v>0</v>
      </c>
      <c r="BF214" s="1057">
        <f t="shared" si="268"/>
        <v>0</v>
      </c>
      <c r="BG214" s="1057">
        <f t="shared" si="268"/>
        <v>0</v>
      </c>
      <c r="BH214" s="1057">
        <f t="shared" si="268"/>
        <v>0</v>
      </c>
      <c r="BI214" s="1057">
        <f t="shared" si="268"/>
        <v>0</v>
      </c>
      <c r="BJ214" s="1057">
        <f t="shared" si="268"/>
        <v>0</v>
      </c>
      <c r="BK214" s="1057">
        <f t="shared" si="268"/>
        <v>0</v>
      </c>
      <c r="BL214" s="1057">
        <f t="shared" si="268"/>
        <v>0</v>
      </c>
      <c r="BM214" s="1057">
        <f t="shared" si="268"/>
        <v>0</v>
      </c>
      <c r="BN214" s="1057">
        <f t="shared" si="268"/>
        <v>0</v>
      </c>
      <c r="BO214" s="1057">
        <f t="shared" si="268"/>
        <v>0</v>
      </c>
      <c r="BP214" s="1057">
        <f t="shared" si="268"/>
        <v>0</v>
      </c>
      <c r="BQ214" s="1057">
        <f t="shared" si="268"/>
        <v>0</v>
      </c>
      <c r="BR214" s="1057">
        <f t="shared" si="268"/>
        <v>0</v>
      </c>
      <c r="BS214" s="1057">
        <f t="shared" si="268"/>
        <v>0</v>
      </c>
      <c r="BT214" s="1057">
        <f t="shared" si="268"/>
        <v>0</v>
      </c>
      <c r="BU214" s="1057">
        <f t="shared" si="268"/>
        <v>0</v>
      </c>
      <c r="BV214" s="1057">
        <f t="shared" si="268"/>
        <v>0</v>
      </c>
      <c r="BW214" s="1057">
        <f t="shared" si="268"/>
        <v>0</v>
      </c>
      <c r="BX214" s="1057">
        <f t="shared" si="268"/>
        <v>0</v>
      </c>
      <c r="BY214" s="1064" t="str">
        <f t="shared" si="245"/>
        <v>계약금</v>
      </c>
      <c r="BZ214" s="1065">
        <f t="shared" ref="BZ214:BZ222" si="269">SUM(G214:BX214)</f>
        <v>119790</v>
      </c>
      <c r="CA214" s="1089" t="b">
        <f t="shared" ref="CA214:CA222" si="270">ROUND(BZ214,0)=ROUND(E214,0)</f>
        <v>1</v>
      </c>
    </row>
    <row r="215" spans="1:83">
      <c r="A215">
        <v>1</v>
      </c>
      <c r="B215" s="1067">
        <v>1</v>
      </c>
      <c r="C215" s="1898"/>
      <c r="D215" s="1060">
        <f>IF(B215&lt;Equity!$D$29+1,Equity!$I$8/Equity!$D$29,0)</f>
        <v>0.1</v>
      </c>
      <c r="E215" s="1077">
        <f>분양개요!$O$9*D215</f>
        <v>119790</v>
      </c>
      <c r="F215" s="1062" t="b">
        <f t="shared" si="266"/>
        <v>1</v>
      </c>
      <c r="G215" s="1056"/>
      <c r="H215" s="1057"/>
      <c r="I215" s="1057"/>
      <c r="J215" s="1057"/>
      <c r="K215" s="1057">
        <f>IF(SUM(K$17:$O17)&lt;$A$215,0,(K19*$E$215)-SUM(J$215:$N215))</f>
        <v>0</v>
      </c>
      <c r="L215" s="1057">
        <f>IF(SUM(L$17:$O17)&lt;$A$215,0,(L19*$E$215)-SUM(K$215:$N215))</f>
        <v>0</v>
      </c>
      <c r="M215" s="1057">
        <f>IF(SUM(M$17:$O17)&lt;$A$215,0,(M19*$E$215)-SUM(L$215:$N215))</f>
        <v>0</v>
      </c>
      <c r="N215" s="1057">
        <f>IF(SUM(N$17:$O17)&lt;$A$215,0,(N19*$E$215)-SUM(M$215:$N215))</f>
        <v>0</v>
      </c>
      <c r="O215" s="1057">
        <f>IF(SUM($O$17:O17)&lt;$A$215,0,(O19*$E$215)-SUM($N$215:N215))</f>
        <v>0</v>
      </c>
      <c r="P215" s="1057">
        <f>IF(SUM($O$17:P17)&lt;$A$215,0,(P19*$E$215)-SUM($N$215:O215))</f>
        <v>0</v>
      </c>
      <c r="Q215" s="1057">
        <f>IF(SUM($O$17:Q17)&lt;$A$215,0,(Q19*$E$215)-SUM($N$215:P215))</f>
        <v>0</v>
      </c>
      <c r="R215" s="1057">
        <f>IF(SUM($O$17:R17)&lt;$A$215,0,(R19*$E$215)-SUM($N$215:Q215))</f>
        <v>0</v>
      </c>
      <c r="S215" s="1057">
        <f>IF(SUM($O$17:S17)&lt;$A$215,0,(S19*$E$215)-SUM($N$215:R215))</f>
        <v>0</v>
      </c>
      <c r="T215" s="1057">
        <f>IF(SUM($O$17:T17)&lt;$A$215,0,(T19*$E$215)-SUM($N$215:S215))</f>
        <v>0</v>
      </c>
      <c r="U215" s="1057">
        <f>IF(SUM($O$17:U17)&lt;$A$215,0,(U19*$E$215)-SUM($N$215:T215))</f>
        <v>0</v>
      </c>
      <c r="V215" s="1057">
        <f>IF(SUM($O$17:V17)&lt;$A$215,0,(V19*$E$215)-SUM($N$215:U215))</f>
        <v>0</v>
      </c>
      <c r="W215" s="1057">
        <f>IF(SUM($O$17:W17)&lt;$A$215,0,(W19*$E$215)-SUM($N$215:V215))</f>
        <v>0</v>
      </c>
      <c r="X215" s="1057">
        <f>IF(SUM($O$17:X17)&lt;$A$215,0,(X19*$E$215)-SUM($N$215:W215))</f>
        <v>0</v>
      </c>
      <c r="Y215" s="1057">
        <f>IF(SUM($O$17:Y17)&lt;$A$215,0,(Y19*$E$215)-SUM($N$215:X215))</f>
        <v>0</v>
      </c>
      <c r="Z215" s="1057">
        <f>IF(SUM($O$17:Z17)&lt;$A$215,0,(Z19*$E$215)-SUM($N$215:Y215))</f>
        <v>0</v>
      </c>
      <c r="AA215" s="1057">
        <f>IF(SUM($O$17:AA17)&lt;$A$215,0,(AA19*$E$215)-SUM($N$215:Z215))</f>
        <v>0</v>
      </c>
      <c r="AB215" s="1057">
        <f>IF(SUM($O$17:AB17)&lt;$A$215,0,(AB19*$E$215)-SUM($N$215:AA215))</f>
        <v>0</v>
      </c>
      <c r="AC215" s="1057">
        <f>IF(SUM($O$17:AC17)&lt;$A$215,0,(AC19*$E$215)-SUM($N$215:AB215))</f>
        <v>0</v>
      </c>
      <c r="AD215" s="1057">
        <f>IF(SUM($O$17:AD17)&lt;$A$215,0,(AD19*$E$215)-SUM($N$215:AC215))</f>
        <v>0</v>
      </c>
      <c r="AE215" s="1057">
        <f>IF(SUM($O$17:AE17)&lt;$A$215,0,(AE19*$E$215)-SUM($N$215:AD215))</f>
        <v>0</v>
      </c>
      <c r="AF215" s="1057">
        <f>IF(SUM($O$17:AF17)&lt;$A$215,0,(AF19*$E$215)-SUM($N$215:AE215))</f>
        <v>0</v>
      </c>
      <c r="AG215" s="1057">
        <f>IF(SUM($O$17:AG17)&lt;$A$215,0,(AG19*$E$215)-SUM($N$215:AF215))</f>
        <v>0</v>
      </c>
      <c r="AH215" s="1057">
        <f>IF(SUM($O$17:AH17)&lt;$A$215,0,(AH19*$E$215)-SUM($N$215:AG215))</f>
        <v>0</v>
      </c>
      <c r="AI215" s="1057">
        <f>IF(SUM($O$17:AI17)&lt;$A$215,0,(AI19*$E$215)-SUM($N$215:AH215))</f>
        <v>0</v>
      </c>
      <c r="AJ215" s="1057">
        <f>IF(SUM($O$17:AJ17)&lt;$A$215,0,(AJ19*$E$215)-SUM($N$215:AI215))</f>
        <v>0</v>
      </c>
      <c r="AK215" s="1057">
        <f>IF(SUM($O$17:AK17)&lt;$A$215,0,(AK19*$E$215)-SUM($N$215:AJ215))</f>
        <v>23958</v>
      </c>
      <c r="AL215" s="1057">
        <f>IF(SUM($O$17:AL17)&lt;$A$215,0,(AL19*$E$215)-SUM($N$215:AK215))</f>
        <v>0</v>
      </c>
      <c r="AM215" s="1057">
        <f>IF(SUM($O$17:AM17)&lt;$A$215,0,(AM19*$E$215)-SUM($N$215:AL215))</f>
        <v>23958</v>
      </c>
      <c r="AN215" s="1057">
        <f>IF(SUM($O$17:AN17)&lt;$A$215,0,(AN19*$E$215)-SUM($N$215:AM215))</f>
        <v>0</v>
      </c>
      <c r="AO215" s="1057">
        <f>IF(SUM($O$17:AO17)&lt;$A$215,0,(AO19*$E$215)-SUM($N$215:AN215))</f>
        <v>35937</v>
      </c>
      <c r="AP215" s="1057">
        <f>IF(SUM($O$17:AP17)&lt;$A$215,0,(AP19*$E$215)-SUM($N$215:AO215))</f>
        <v>0</v>
      </c>
      <c r="AQ215" s="1057">
        <f>IF(SUM($O$17:AQ17)&lt;$A$215,0,(AQ19*$E$215)-SUM($N$215:AP215))</f>
        <v>35937</v>
      </c>
      <c r="AR215" s="1057">
        <f>IF(SUM($O$17:AR17)&lt;$A$215,0,(AR19*$E$215)-SUM($N$215:AQ215))</f>
        <v>0</v>
      </c>
      <c r="AS215" s="1057">
        <f>IF(SUM($O$17:AS17)&lt;$A$215,0,(AS19*$E$215)-SUM($N$215:AR215))</f>
        <v>0</v>
      </c>
      <c r="AT215" s="1057">
        <f>IF(SUM($O$17:AT17)&lt;$A$215,0,(AT19*$E$215)-SUM($N$215:AS215))</f>
        <v>0</v>
      </c>
      <c r="AU215" s="1057">
        <f>IF(SUM($O$17:AU17)&lt;$A$215,0,(AU19*$E$215)-SUM($N$215:AT215))</f>
        <v>0</v>
      </c>
      <c r="AV215" s="1057">
        <f>IF(SUM($O$17:AV17)&lt;$A$215,0,(AV19*$E$215)-SUM($N$215:AU215))</f>
        <v>0</v>
      </c>
      <c r="AW215" s="1057">
        <f>IF(SUM($O$17:AW17)&lt;$A$215,0,(AW19*$E$215)-SUM($N$215:AV215))</f>
        <v>0</v>
      </c>
      <c r="AX215" s="1057">
        <f>IF(SUM($O$17:AX17)&lt;$A$215,0,(AX19*$E$215)-SUM($N$215:AW215))</f>
        <v>0</v>
      </c>
      <c r="AY215" s="1057">
        <f>IF(SUM($O$17:AY17)&lt;$A$215,0,(AY19*$E$215)-SUM($N$215:AX215))</f>
        <v>0</v>
      </c>
      <c r="AZ215" s="1057">
        <f>IF(SUM($O$17:AZ17)&lt;$A$215,0,(AZ19*$E$215)-SUM($N$215:AY215))</f>
        <v>0</v>
      </c>
      <c r="BA215" s="1057">
        <f>IF(SUM($O$17:BA17)&lt;$A$215,0,(BA19*$E$215)-SUM($N$215:AZ215))</f>
        <v>0</v>
      </c>
      <c r="BB215" s="1057">
        <f>IF(SUM($O$17:BB17)&lt;$A$215,0,(BB19*$E$215)-SUM($N$215:BA215))</f>
        <v>0</v>
      </c>
      <c r="BC215" s="1057">
        <f>IF(SUM($O$17:BC17)&lt;$A$215,0,(BC19*$E$215)-SUM($N$215:BB215))</f>
        <v>0</v>
      </c>
      <c r="BD215" s="1057">
        <f>IF(SUM($O$17:BD17)&lt;$A$215,0,(BD19*$E$215)-SUM($N$215:BC215))</f>
        <v>0</v>
      </c>
      <c r="BE215" s="1057">
        <f>IF(SUM($O$17:BE17)&lt;$A$215,0,(BE19*$E$215)-SUM($N$215:BD215))</f>
        <v>0</v>
      </c>
      <c r="BF215" s="1057">
        <f>IF(SUM($O$17:BF17)&lt;$A$215,0,(BF19*$E$215)-SUM($N$215:BE215))</f>
        <v>0</v>
      </c>
      <c r="BG215" s="1057">
        <f>IF(SUM($O$17:BG17)&lt;$A$215,0,(BG19*$E$215)-SUM($N$215:BF215))</f>
        <v>0</v>
      </c>
      <c r="BH215" s="1057">
        <f>IF(SUM($O$17:BH17)&lt;$A$215,0,(BH19*$E$215)-SUM($N$215:BG215))</f>
        <v>0</v>
      </c>
      <c r="BI215" s="1057">
        <f>IF(SUM($O$17:BI17)&lt;$A$215,0,(BI19*$E$215)-SUM($N$215:BH215))</f>
        <v>0</v>
      </c>
      <c r="BJ215" s="1057">
        <f>IF(SUM($O$17:BJ17)&lt;$A$215,0,(BJ19*$E$215)-SUM($N$215:BI215))</f>
        <v>0</v>
      </c>
      <c r="BK215" s="1057">
        <f>IF(SUM($O$17:BK17)&lt;$A$215,0,(BK19*$E$215)-SUM($N$215:BJ215))</f>
        <v>0</v>
      </c>
      <c r="BL215" s="1057">
        <f>IF(SUM($O$17:BL17)&lt;$A$215,0,(BL19*$E$215)-SUM($N$215:BK215))</f>
        <v>0</v>
      </c>
      <c r="BM215" s="1057">
        <f>IF(SUM($O$17:BM17)&lt;$A$215,0,(BM19*$E$215)-SUM($N$215:BL215))</f>
        <v>0</v>
      </c>
      <c r="BN215" s="1057">
        <f>IF(SUM($O$17:BN17)&lt;$A$215,0,(BN19*$E$215)-SUM($N$215:BM215))</f>
        <v>0</v>
      </c>
      <c r="BO215" s="1057">
        <f>IF(SUM($O$17:BO17)&lt;$A$215,0,(BO19*$E$215)-SUM($N$215:BN215))</f>
        <v>0</v>
      </c>
      <c r="BP215" s="1057">
        <f>IF(SUM($O$17:BP17)&lt;$A$215,0,(BP19*$E$215)-SUM($N$215:BO215))</f>
        <v>0</v>
      </c>
      <c r="BQ215" s="1057">
        <f>IF(SUM($O$17:BQ17)&lt;$A$215,0,(BQ19*$E$215)-SUM($N$215:BP215))</f>
        <v>0</v>
      </c>
      <c r="BR215" s="1057">
        <f>IF(SUM($O$17:BR17)&lt;$A$215,0,(BR19*$E$215)-SUM($N$215:BQ215))</f>
        <v>0</v>
      </c>
      <c r="BS215" s="1057">
        <f>IF(SUM($O$17:BS17)&lt;$A$215,0,(BS19*$E$215)-SUM($N$215:BR215))</f>
        <v>0</v>
      </c>
      <c r="BT215" s="1057">
        <f>IF(SUM($O$17:BT17)&lt;$A$215,0,(BT19*$E$215)-SUM($N$215:BS215))</f>
        <v>0</v>
      </c>
      <c r="BU215" s="1057">
        <f>IF(SUM($O$17:BU17)&lt;$A$215,0,(BU19*$E$215)-SUM($N$215:BT215))</f>
        <v>0</v>
      </c>
      <c r="BV215" s="1057">
        <f>IF(SUM($O$17:BV17)&lt;$A$215,0,(BV19*$E$215)-SUM($N$215:BU215))</f>
        <v>0</v>
      </c>
      <c r="BW215" s="1057">
        <f>IF(SUM($O$17:BW17)&lt;$A$215,0,(BW19*$E$215)-SUM($N$215:BV215))</f>
        <v>0</v>
      </c>
      <c r="BX215" s="1057">
        <f>IF(SUM($O$17:BX17)&lt;$A$215,0,(BX19*$E$215)-SUM($N$215:BW215))</f>
        <v>0</v>
      </c>
      <c r="BY215" s="1067">
        <f t="shared" si="245"/>
        <v>1</v>
      </c>
      <c r="BZ215" s="1068">
        <f t="shared" si="269"/>
        <v>119790</v>
      </c>
      <c r="CA215" s="1090" t="b">
        <f t="shared" si="270"/>
        <v>1</v>
      </c>
    </row>
    <row r="216" spans="1:83">
      <c r="A216">
        <v>3</v>
      </c>
      <c r="B216" s="1067">
        <v>2</v>
      </c>
      <c r="C216" s="1898"/>
      <c r="D216" s="1060">
        <f>IF(B216&lt;Equity!$D$29+1,Equity!$I$8/Equity!$D$29,0)</f>
        <v>0.1</v>
      </c>
      <c r="E216" s="1077">
        <f>분양개요!$O$9*D216</f>
        <v>119790</v>
      </c>
      <c r="F216" s="1062" t="b">
        <f t="shared" si="266"/>
        <v>1</v>
      </c>
      <c r="G216" s="1056"/>
      <c r="H216" s="1057"/>
      <c r="I216" s="1057"/>
      <c r="J216" s="1057"/>
      <c r="K216" s="1057">
        <f>IF(SUM(K$17:$O17)&lt;$A$216,0,(K19*$E$216)-SUM(J$216:$N216))</f>
        <v>0</v>
      </c>
      <c r="L216" s="1057">
        <f>IF(SUM(L$17:$O17)&lt;$A$216,0,(L19*$E$216)-SUM(K$216:$N216))</f>
        <v>0</v>
      </c>
      <c r="M216" s="1057">
        <f>IF(SUM(M$17:$O17)&lt;$A$216,0,(M19*$E$216)-SUM(L$216:$N216))</f>
        <v>0</v>
      </c>
      <c r="N216" s="1057">
        <f>IF(SUM(N$17:$O17)&lt;$A$216,0,(N19*$E$216)-SUM(M$216:$N216))</f>
        <v>0</v>
      </c>
      <c r="O216" s="1057">
        <f>IF(SUM($O$17:O17)&lt;$A$216,0,(O19*$E$216)-SUM($N$216:N216))</f>
        <v>0</v>
      </c>
      <c r="P216" s="1057">
        <f>IF(SUM($O$17:P17)&lt;$A$216,0,(P19*$E$216)-SUM($N$216:O216))</f>
        <v>0</v>
      </c>
      <c r="Q216" s="1057">
        <f>IF(SUM($O$17:Q17)&lt;$A$216,0,(Q19*$E$216)-SUM($N$216:P216))</f>
        <v>0</v>
      </c>
      <c r="R216" s="1057">
        <f>IF(SUM($O$17:R17)&lt;$A$216,0,(R19*$E$216)-SUM($N$216:Q216))</f>
        <v>0</v>
      </c>
      <c r="S216" s="1057">
        <f>IF(SUM($O$17:S17)&lt;$A$216,0,(S19*$E$216)-SUM($N$216:R216))</f>
        <v>0</v>
      </c>
      <c r="T216" s="1057">
        <f>IF(SUM($O$17:T17)&lt;$A$216,0,(T19*$E$216)-SUM($N$216:S216))</f>
        <v>0</v>
      </c>
      <c r="U216" s="1057">
        <f>IF(SUM($O$17:U17)&lt;$A$216,0,(U19*$E$216)-SUM($N$216:T216))</f>
        <v>0</v>
      </c>
      <c r="V216" s="1057">
        <f>IF(SUM($O$17:V17)&lt;$A$216,0,(V19*$E$216)-SUM($N$216:U216))</f>
        <v>0</v>
      </c>
      <c r="W216" s="1057">
        <f>IF(SUM($O$17:W17)&lt;$A$216,0,(W19*$E$216)-SUM($N$216:V216))</f>
        <v>0</v>
      </c>
      <c r="X216" s="1057">
        <f>IF(SUM($O$17:X17)&lt;$A$216,0,(X19*$E$216)-SUM($N$216:W216))</f>
        <v>0</v>
      </c>
      <c r="Y216" s="1057">
        <f>IF(SUM($O$17:Y17)&lt;$A$216,0,(Y19*$E$216)-SUM($N$216:X216))</f>
        <v>0</v>
      </c>
      <c r="Z216" s="1057">
        <f>IF(SUM($O$17:Z17)&lt;$A$216,0,(Z19*$E$216)-SUM($N$216:Y216))</f>
        <v>0</v>
      </c>
      <c r="AA216" s="1057">
        <f>IF(SUM($O$17:AA17)&lt;$A$216,0,(AA19*$E$216)-SUM($N$216:Z216))</f>
        <v>0</v>
      </c>
      <c r="AB216" s="1057">
        <f>IF(SUM($O$17:AB17)&lt;$A$216,0,(AB19*$E$216)-SUM($N$216:AA216))</f>
        <v>0</v>
      </c>
      <c r="AC216" s="1057">
        <f>IF(SUM($O$17:AC17)&lt;$A$216,0,(AC19*$E$216)-SUM($N$216:AB216))</f>
        <v>0</v>
      </c>
      <c r="AD216" s="1057">
        <f>IF(SUM($O$17:AD17)&lt;$A$216,0,(AD19*$E$216)-SUM($N$216:AC216))</f>
        <v>0</v>
      </c>
      <c r="AE216" s="1057">
        <f>IF(SUM($O$17:AE17)&lt;$A$216,0,(AE19*$E$216)-SUM($N$216:AD216))</f>
        <v>0</v>
      </c>
      <c r="AF216" s="1057">
        <f>IF(SUM($O$17:AF17)&lt;$A$216,0,(AF19*$E$216)-SUM($N$216:AE216))</f>
        <v>0</v>
      </c>
      <c r="AG216" s="1057">
        <f>IF(SUM($O$17:AG17)&lt;$A$216,0,(AG19*$E$216)-SUM($N$216:AF216))</f>
        <v>0</v>
      </c>
      <c r="AH216" s="1057">
        <f>IF(SUM($O$17:AH17)&lt;$A$216,0,(AH19*$E$216)-SUM($N$216:AG216))</f>
        <v>0</v>
      </c>
      <c r="AI216" s="1057">
        <f>IF(SUM($O$17:AI17)&lt;$A$216,0,(AI19*$E$216)-SUM($N$216:AH216))</f>
        <v>0</v>
      </c>
      <c r="AJ216" s="1057">
        <f>IF(SUM($O$17:AJ17)&lt;$A$216,0,(AJ19*$E$216)-SUM($N$216:AI216))</f>
        <v>0</v>
      </c>
      <c r="AK216" s="1057">
        <f>IF(SUM($O$17:AK17)&lt;$A$216,0,(AK19*$E$216)-SUM($N$216:AJ216))</f>
        <v>23958</v>
      </c>
      <c r="AL216" s="1057">
        <f>IF(SUM($O$17:AL17)&lt;$A$216,0,(AL19*$E$216)-SUM($N$216:AK216))</f>
        <v>0</v>
      </c>
      <c r="AM216" s="1057">
        <f>IF(SUM($O$17:AM17)&lt;$A$216,0,(AM19*$E$216)-SUM($N$216:AL216))</f>
        <v>23958</v>
      </c>
      <c r="AN216" s="1057">
        <f>IF(SUM($O$17:AN17)&lt;$A$216,0,(AN19*$E$216)-SUM($N$216:AM216))</f>
        <v>0</v>
      </c>
      <c r="AO216" s="1057">
        <f>IF(SUM($O$17:AO17)&lt;$A$216,0,(AO19*$E$216)-SUM($N$216:AN216))</f>
        <v>35937</v>
      </c>
      <c r="AP216" s="1057">
        <f>IF(SUM($O$17:AP17)&lt;$A$216,0,(AP19*$E$216)-SUM($N$216:AO216))</f>
        <v>0</v>
      </c>
      <c r="AQ216" s="1057">
        <f>IF(SUM($O$17:AQ17)&lt;$A$216,0,(AQ19*$E$216)-SUM($N$216:AP216))</f>
        <v>35937</v>
      </c>
      <c r="AR216" s="1057">
        <f>IF(SUM($O$17:AR17)&lt;$A$216,0,(AR19*$E$216)-SUM($N$216:AQ216))</f>
        <v>0</v>
      </c>
      <c r="AS216" s="1057">
        <f>IF(SUM($O$17:AS17)&lt;$A$216,0,(AS19*$E$216)-SUM($N$216:AR216))</f>
        <v>0</v>
      </c>
      <c r="AT216" s="1057">
        <f>IF(SUM($O$17:AT17)&lt;$A$216,0,(AT19*$E$216)-SUM($N$216:AS216))</f>
        <v>0</v>
      </c>
      <c r="AU216" s="1057">
        <f>IF(SUM($O$17:AU17)&lt;$A$216,0,(AU19*$E$216)-SUM($N$216:AT216))</f>
        <v>0</v>
      </c>
      <c r="AV216" s="1057">
        <f>IF(SUM($O$17:AV17)&lt;$A$216,0,(AV19*$E$216)-SUM($N$216:AU216))</f>
        <v>0</v>
      </c>
      <c r="AW216" s="1057">
        <f>IF(SUM($O$17:AW17)&lt;$A$216,0,(AW19*$E$216)-SUM($N$216:AV216))</f>
        <v>0</v>
      </c>
      <c r="AX216" s="1057">
        <f>IF(SUM($O$17:AX17)&lt;$A$216,0,(AX19*$E$216)-SUM($N$216:AW216))</f>
        <v>0</v>
      </c>
      <c r="AY216" s="1057">
        <f>IF(SUM($O$17:AY17)&lt;$A$216,0,(AY19*$E$216)-SUM($N$216:AX216))</f>
        <v>0</v>
      </c>
      <c r="AZ216" s="1057">
        <f>IF(SUM($O$17:AZ17)&lt;$A$216,0,(AZ19*$E$216)-SUM($N$216:AY216))</f>
        <v>0</v>
      </c>
      <c r="BA216" s="1057">
        <f>IF(SUM($O$17:BA17)&lt;$A$216,0,(BA19*$E$216)-SUM($N$216:AZ216))</f>
        <v>0</v>
      </c>
      <c r="BB216" s="1057">
        <f>IF(SUM($O$17:BB17)&lt;$A$216,0,(BB19*$E$216)-SUM($N$216:BA216))</f>
        <v>0</v>
      </c>
      <c r="BC216" s="1057">
        <f>IF(SUM($O$17:BC17)&lt;$A$216,0,(BC19*$E$216)-SUM($N$216:BB216))</f>
        <v>0</v>
      </c>
      <c r="BD216" s="1057">
        <f>IF(SUM($O$17:BD17)&lt;$A$216,0,(BD19*$E$216)-SUM($N$216:BC216))</f>
        <v>0</v>
      </c>
      <c r="BE216" s="1057">
        <f>IF(SUM($O$17:BE17)&lt;$A$216,0,(BE19*$E$216)-SUM($N$216:BD216))</f>
        <v>0</v>
      </c>
      <c r="BF216" s="1057">
        <f>IF(SUM($O$17:BF17)&lt;$A$216,0,(BF19*$E$216)-SUM($N$216:BE216))</f>
        <v>0</v>
      </c>
      <c r="BG216" s="1057">
        <f>IF(SUM($O$17:BG17)&lt;$A$216,0,(BG19*$E$216)-SUM($N$216:BF216))</f>
        <v>0</v>
      </c>
      <c r="BH216" s="1057">
        <f>IF(SUM($O$17:BH17)&lt;$A$216,0,(BH19*$E$216)-SUM($N$216:BG216))</f>
        <v>0</v>
      </c>
      <c r="BI216" s="1057">
        <f>IF(SUM($O$17:BI17)&lt;$A$216,0,(BI19*$E$216)-SUM($N$216:BH216))</f>
        <v>0</v>
      </c>
      <c r="BJ216" s="1057">
        <f>IF(SUM($O$17:BJ17)&lt;$A$216,0,(BJ19*$E$216)-SUM($N$216:BI216))</f>
        <v>0</v>
      </c>
      <c r="BK216" s="1057">
        <f>IF(SUM($O$17:BK17)&lt;$A$216,0,(BK19*$E$216)-SUM($N$216:BJ216))</f>
        <v>0</v>
      </c>
      <c r="BL216" s="1057">
        <f>IF(SUM($O$17:BL17)&lt;$A$216,0,(BL19*$E$216)-SUM($N$216:BK216))</f>
        <v>0</v>
      </c>
      <c r="BM216" s="1057">
        <f>IF(SUM($O$17:BM17)&lt;$A$216,0,(BM19*$E$216)-SUM($N$216:BL216))</f>
        <v>0</v>
      </c>
      <c r="BN216" s="1057">
        <f>IF(SUM($O$17:BN17)&lt;$A$216,0,(BN19*$E$216)-SUM($N$216:BM216))</f>
        <v>0</v>
      </c>
      <c r="BO216" s="1057">
        <f>IF(SUM($O$17:BO17)&lt;$A$216,0,(BO19*$E$216)-SUM($N$216:BN216))</f>
        <v>0</v>
      </c>
      <c r="BP216" s="1057">
        <f>IF(SUM($O$17:BP17)&lt;$A$216,0,(BP19*$E$216)-SUM($N$216:BO216))</f>
        <v>0</v>
      </c>
      <c r="BQ216" s="1057">
        <f>IF(SUM($O$17:BQ17)&lt;$A$216,0,(BQ19*$E$216)-SUM($N$216:BP216))</f>
        <v>0</v>
      </c>
      <c r="BR216" s="1057">
        <f>IF(SUM($O$17:BR17)&lt;$A$216,0,(BR19*$E$216)-SUM($N$216:BQ216))</f>
        <v>0</v>
      </c>
      <c r="BS216" s="1057">
        <f>IF(SUM($O$17:BS17)&lt;$A$216,0,(BS19*$E$216)-SUM($N$216:BR216))</f>
        <v>0</v>
      </c>
      <c r="BT216" s="1057">
        <f>IF(SUM($O$17:BT17)&lt;$A$216,0,(BT19*$E$216)-SUM($N$216:BS216))</f>
        <v>0</v>
      </c>
      <c r="BU216" s="1057">
        <f>IF(SUM($O$17:BU17)&lt;$A$216,0,(BU19*$E$216)-SUM($N$216:BT216))</f>
        <v>0</v>
      </c>
      <c r="BV216" s="1057">
        <f>IF(SUM($O$17:BV17)&lt;$A$216,0,(BV19*$E$216)-SUM($N$216:BU216))</f>
        <v>0</v>
      </c>
      <c r="BW216" s="1057">
        <f>IF(SUM($O$17:BW17)&lt;$A$216,0,(BW19*$E$216)-SUM($N$216:BV216))</f>
        <v>0</v>
      </c>
      <c r="BX216" s="1057">
        <f>IF(SUM($O$17:BX17)&lt;$A$216,0,(BX19*$E$216)-SUM($N$216:BW216))</f>
        <v>0</v>
      </c>
      <c r="BY216" s="1067">
        <f t="shared" si="245"/>
        <v>2</v>
      </c>
      <c r="BZ216" s="1068">
        <f t="shared" si="269"/>
        <v>119790</v>
      </c>
      <c r="CA216" s="1090" t="b">
        <f t="shared" si="270"/>
        <v>1</v>
      </c>
      <c r="CB216" s="1038"/>
      <c r="CC216" s="1038"/>
      <c r="CD216" s="1038"/>
      <c r="CE216" s="1038"/>
    </row>
    <row r="217" spans="1:83">
      <c r="A217">
        <v>6</v>
      </c>
      <c r="B217" s="1067">
        <v>3</v>
      </c>
      <c r="C217" s="1898"/>
      <c r="D217" s="1060">
        <f>IF(B217&lt;Equity!$D$29+1,Equity!$I$8/Equity!$D$29,0)</f>
        <v>0.1</v>
      </c>
      <c r="E217" s="1077">
        <f>분양개요!$O$9*D217</f>
        <v>119790</v>
      </c>
      <c r="F217" s="1062" t="b">
        <f t="shared" si="266"/>
        <v>1</v>
      </c>
      <c r="G217" s="1056"/>
      <c r="H217" s="1057"/>
      <c r="I217" s="1057"/>
      <c r="J217" s="1057"/>
      <c r="K217" s="1057">
        <f>IF(SUM(K$17:$O17)&lt;$A$217,0,(K19*$E$217)-SUM(J$217:$N217))</f>
        <v>0</v>
      </c>
      <c r="L217" s="1057">
        <f>IF(SUM(L$17:$O17)&lt;$A$217,0,(L19*$E$217)-SUM(K$217:$N217))</f>
        <v>0</v>
      </c>
      <c r="M217" s="1057">
        <f>IF(SUM(M$17:$O17)&lt;$A$217,0,(M19*$E$217)-SUM(L$217:$N217))</f>
        <v>0</v>
      </c>
      <c r="N217" s="1057">
        <f>IF(SUM(N$17:$O17)&lt;$A$217,0,(N19*$E$217)-SUM(M$217:$N217))</f>
        <v>0</v>
      </c>
      <c r="O217" s="1057">
        <f>IF(SUM($O$17:O17)&lt;$A$217,0,(O19*$E$217)-SUM($N$217:N217))</f>
        <v>0</v>
      </c>
      <c r="P217" s="1057">
        <f>IF(SUM($O$17:P17)&lt;$A$217,0,(P19*$E$217)-SUM($N$217:O217))</f>
        <v>0</v>
      </c>
      <c r="Q217" s="1057">
        <f>IF(SUM($O$17:Q17)&lt;$A$217,0,(Q19*$E$217)-SUM($N$217:P217))</f>
        <v>0</v>
      </c>
      <c r="R217" s="1057">
        <f>IF(SUM($O$17:R17)&lt;$A$217,0,(R19*$E$217)-SUM($N$217:Q217))</f>
        <v>0</v>
      </c>
      <c r="S217" s="1057">
        <f>IF(SUM($O$17:S17)&lt;$A$217,0,(S19*$E$217)-SUM($N$217:R217))</f>
        <v>0</v>
      </c>
      <c r="T217" s="1057">
        <f>IF(SUM($O$17:T17)&lt;$A$217,0,(T19*$E$217)-SUM($N$217:S217))</f>
        <v>0</v>
      </c>
      <c r="U217" s="1057">
        <f>IF(SUM($O$17:U17)&lt;$A$217,0,(U19*$E$217)-SUM($N$217:T217))</f>
        <v>0</v>
      </c>
      <c r="V217" s="1057">
        <f>IF(SUM($O$17:V17)&lt;$A$217,0,(V19*$E$217)-SUM($N$217:U217))</f>
        <v>0</v>
      </c>
      <c r="W217" s="1057">
        <f>IF(SUM($O$17:W17)&lt;$A$217,0,(W19*$E$217)-SUM($N$217:V217))</f>
        <v>0</v>
      </c>
      <c r="X217" s="1057">
        <f>IF(SUM($O$17:X17)&lt;$A$217,0,(X19*$E$217)-SUM($N$217:W217))</f>
        <v>0</v>
      </c>
      <c r="Y217" s="1057">
        <f>IF(SUM($O$17:Y17)&lt;$A$217,0,(Y19*$E$217)-SUM($N$217:X217))</f>
        <v>0</v>
      </c>
      <c r="Z217" s="1057">
        <f>IF(SUM($O$17:Z17)&lt;$A$217,0,(Z19*$E$217)-SUM($N$217:Y217))</f>
        <v>0</v>
      </c>
      <c r="AA217" s="1057">
        <f>IF(SUM($O$17:AA17)&lt;$A$217,0,(AA19*$E$217)-SUM($N$217:Z217))</f>
        <v>0</v>
      </c>
      <c r="AB217" s="1057">
        <f>IF(SUM($O$17:AB17)&lt;$A$217,0,(AB19*$E$217)-SUM($N$217:AA217))</f>
        <v>0</v>
      </c>
      <c r="AC217" s="1057">
        <f>IF(SUM($O$17:AC17)&lt;$A$217,0,(AC19*$E$217)-SUM($N$217:AB217))</f>
        <v>0</v>
      </c>
      <c r="AD217" s="1057">
        <f>IF(SUM($O$17:AD17)&lt;$A$217,0,(AD19*$E$217)-SUM($N$217:AC217))</f>
        <v>0</v>
      </c>
      <c r="AE217" s="1057">
        <f>IF(SUM($O$17:AE17)&lt;$A$217,0,(AE19*$E$217)-SUM($N$217:AD217))</f>
        <v>0</v>
      </c>
      <c r="AF217" s="1057">
        <f>IF(SUM($O$17:AF17)&lt;$A$217,0,(AF19*$E$217)-SUM($N$217:AE217))</f>
        <v>0</v>
      </c>
      <c r="AG217" s="1057">
        <f>IF(SUM($O$17:AG17)&lt;$A$217,0,(AG19*$E$217)-SUM($N$217:AF217))</f>
        <v>0</v>
      </c>
      <c r="AH217" s="1057">
        <f>IF(SUM($O$17:AH17)&lt;$A$217,0,(AH19*$E$217)-SUM($N$217:AG217))</f>
        <v>0</v>
      </c>
      <c r="AI217" s="1057">
        <f>IF(SUM($O$17:AI17)&lt;$A$217,0,(AI19*$E$217)-SUM($N$217:AH217))</f>
        <v>0</v>
      </c>
      <c r="AJ217" s="1057">
        <f>IF(SUM($O$17:AJ17)&lt;$A$217,0,(AJ19*$E$217)-SUM($N$217:AI217))</f>
        <v>0</v>
      </c>
      <c r="AK217" s="1057">
        <f>IF(SUM($O$17:AK17)&lt;$A$217,0,(AK19*$E$217)-SUM($N$217:AJ217))</f>
        <v>23958</v>
      </c>
      <c r="AL217" s="1057">
        <f>IF(SUM($O$17:AL17)&lt;$A$217,0,(AL19*$E$217)-SUM($N$217:AK217))</f>
        <v>0</v>
      </c>
      <c r="AM217" s="1057">
        <f>IF(SUM($O$17:AM17)&lt;$A$217,0,(AM19*$E$217)-SUM($N$217:AL217))</f>
        <v>23958</v>
      </c>
      <c r="AN217" s="1057">
        <f>IF(SUM($O$17:AN17)&lt;$A$217,0,(AN19*$E$217)-SUM($N$217:AM217))</f>
        <v>0</v>
      </c>
      <c r="AO217" s="1057">
        <f>IF(SUM($O$17:AO17)&lt;$A$217,0,(AO19*$E$217)-SUM($N$217:AN217))</f>
        <v>35937</v>
      </c>
      <c r="AP217" s="1057">
        <f>IF(SUM($O$17:AP17)&lt;$A$217,0,(AP19*$E$217)-SUM($N$217:AO217))</f>
        <v>0</v>
      </c>
      <c r="AQ217" s="1057">
        <f>IF(SUM($O$17:AQ17)&lt;$A$217,0,(AQ19*$E$217)-SUM($N$217:AP217))</f>
        <v>35937</v>
      </c>
      <c r="AR217" s="1057">
        <f>IF(SUM($O$17:AR17)&lt;$A$217,0,(AR19*$E$217)-SUM($N$217:AQ217))</f>
        <v>0</v>
      </c>
      <c r="AS217" s="1057">
        <f>IF(SUM($O$17:AS17)&lt;$A$217,0,(AS19*$E$217)-SUM($N$217:AR217))</f>
        <v>0</v>
      </c>
      <c r="AT217" s="1057">
        <f>IF(SUM($O$17:AT17)&lt;$A$217,0,(AT19*$E$217)-SUM($N$217:AS217))</f>
        <v>0</v>
      </c>
      <c r="AU217" s="1057">
        <f>IF(SUM($O$17:AU17)&lt;$A$217,0,(AU19*$E$217)-SUM($N$217:AT217))</f>
        <v>0</v>
      </c>
      <c r="AV217" s="1057">
        <f>IF(SUM($O$17:AV17)&lt;$A$217,0,(AV19*$E$217)-SUM($N$217:AU217))</f>
        <v>0</v>
      </c>
      <c r="AW217" s="1057">
        <f>IF(SUM($O$17:AW17)&lt;$A$217,0,(AW19*$E$217)-SUM($N$217:AV217))</f>
        <v>0</v>
      </c>
      <c r="AX217" s="1057">
        <f>IF(SUM($O$17:AX17)&lt;$A$217,0,(AX19*$E$217)-SUM($N$217:AW217))</f>
        <v>0</v>
      </c>
      <c r="AY217" s="1057">
        <f>IF(SUM($O$17:AY17)&lt;$A$217,0,(AY19*$E$217)-SUM($N$217:AX217))</f>
        <v>0</v>
      </c>
      <c r="AZ217" s="1057">
        <f>IF(SUM($O$17:AZ17)&lt;$A$217,0,(AZ19*$E$217)-SUM($N$217:AY217))</f>
        <v>0</v>
      </c>
      <c r="BA217" s="1057">
        <f>IF(SUM($O$17:BA17)&lt;$A$217,0,(BA19*$E$217)-SUM($N$217:AZ217))</f>
        <v>0</v>
      </c>
      <c r="BB217" s="1057">
        <f>IF(SUM($O$17:BB17)&lt;$A$217,0,(BB19*$E$217)-SUM($N$217:BA217))</f>
        <v>0</v>
      </c>
      <c r="BC217" s="1057">
        <f>IF(SUM($O$17:BC17)&lt;$A$217,0,(BC19*$E$217)-SUM($N$217:BB217))</f>
        <v>0</v>
      </c>
      <c r="BD217" s="1057">
        <f>IF(SUM($O$17:BD17)&lt;$A$217,0,(BD19*$E$217)-SUM($N$217:BC217))</f>
        <v>0</v>
      </c>
      <c r="BE217" s="1057">
        <f>IF(SUM($O$17:BE17)&lt;$A$217,0,(BE19*$E$217)-SUM($N$217:BD217))</f>
        <v>0</v>
      </c>
      <c r="BF217" s="1057">
        <f>IF(SUM($O$17:BF17)&lt;$A$217,0,(BF19*$E$217)-SUM($N$217:BE217))</f>
        <v>0</v>
      </c>
      <c r="BG217" s="1057">
        <f>IF(SUM($O$17:BG17)&lt;$A$217,0,(BG19*$E$217)-SUM($N$217:BF217))</f>
        <v>0</v>
      </c>
      <c r="BH217" s="1057">
        <f>IF(SUM($O$17:BH17)&lt;$A$217,0,(BH19*$E$217)-SUM($N$217:BG217))</f>
        <v>0</v>
      </c>
      <c r="BI217" s="1057">
        <f>IF(SUM($O$17:BI17)&lt;$A$217,0,(BI19*$E$217)-SUM($N$217:BH217))</f>
        <v>0</v>
      </c>
      <c r="BJ217" s="1057">
        <f>IF(SUM($O$17:BJ17)&lt;$A$217,0,(BJ19*$E$217)-SUM($N$217:BI217))</f>
        <v>0</v>
      </c>
      <c r="BK217" s="1057">
        <f>IF(SUM($O$17:BK17)&lt;$A$217,0,(BK19*$E$217)-SUM($N$217:BJ217))</f>
        <v>0</v>
      </c>
      <c r="BL217" s="1057">
        <f>IF(SUM($O$17:BL17)&lt;$A$217,0,(BL19*$E$217)-SUM($N$217:BK217))</f>
        <v>0</v>
      </c>
      <c r="BM217" s="1057">
        <f>IF(SUM($O$17:BM17)&lt;$A$217,0,(BM19*$E$217)-SUM($N$217:BL217))</f>
        <v>0</v>
      </c>
      <c r="BN217" s="1057">
        <f>IF(SUM($O$17:BN17)&lt;$A$217,0,(BN19*$E$217)-SUM($N$217:BM217))</f>
        <v>0</v>
      </c>
      <c r="BO217" s="1057">
        <f>IF(SUM($O$17:BO17)&lt;$A$217,0,(BO19*$E$217)-SUM($N$217:BN217))</f>
        <v>0</v>
      </c>
      <c r="BP217" s="1057">
        <f>IF(SUM($O$17:BP17)&lt;$A$217,0,(BP19*$E$217)-SUM($N$217:BO217))</f>
        <v>0</v>
      </c>
      <c r="BQ217" s="1057">
        <f>IF(SUM($O$17:BQ17)&lt;$A$217,0,(BQ19*$E$217)-SUM($N$217:BP217))</f>
        <v>0</v>
      </c>
      <c r="BR217" s="1057">
        <f>IF(SUM($O$17:BR17)&lt;$A$217,0,(BR19*$E$217)-SUM($N$217:BQ217))</f>
        <v>0</v>
      </c>
      <c r="BS217" s="1057">
        <f>IF(SUM($O$17:BS17)&lt;$A$217,0,(BS19*$E$217)-SUM($N$217:BR217))</f>
        <v>0</v>
      </c>
      <c r="BT217" s="1057">
        <f>IF(SUM($O$17:BT17)&lt;$A$217,0,(BT19*$E$217)-SUM($N$217:BS217))</f>
        <v>0</v>
      </c>
      <c r="BU217" s="1057">
        <f>IF(SUM($O$17:BU17)&lt;$A$217,0,(BU19*$E$217)-SUM($N$217:BT217))</f>
        <v>0</v>
      </c>
      <c r="BV217" s="1057">
        <f>IF(SUM($O$17:BV17)&lt;$A$217,0,(BV19*$E$217)-SUM($N$217:BU217))</f>
        <v>0</v>
      </c>
      <c r="BW217" s="1057">
        <f>IF(SUM($O$17:BW17)&lt;$A$217,0,(BW19*$E$217)-SUM($N$217:BV217))</f>
        <v>0</v>
      </c>
      <c r="BX217" s="1057">
        <f>IF(SUM($O$17:BX17)&lt;$A$217,0,(BX19*$E$217)-SUM($N$217:BW217))</f>
        <v>0</v>
      </c>
      <c r="BY217" s="1067">
        <f t="shared" si="245"/>
        <v>3</v>
      </c>
      <c r="BZ217" s="1068">
        <f t="shared" si="269"/>
        <v>119790</v>
      </c>
      <c r="CA217" s="1090" t="b">
        <f t="shared" si="270"/>
        <v>1</v>
      </c>
      <c r="CB217" s="1038"/>
      <c r="CC217" s="1038"/>
      <c r="CD217" s="1038"/>
      <c r="CE217" s="1038"/>
    </row>
    <row r="218" spans="1:83" ht="18" customHeight="1">
      <c r="A218">
        <v>10</v>
      </c>
      <c r="B218" s="1067">
        <v>4</v>
      </c>
      <c r="C218" s="1898"/>
      <c r="D218" s="1060">
        <f>IF(B218&lt;Equity!$D$29+1,Equity!$I$8/Equity!$D$29,0)</f>
        <v>0.1</v>
      </c>
      <c r="E218" s="1077">
        <f>분양개요!$O$9*D218</f>
        <v>119790</v>
      </c>
      <c r="F218" s="1062" t="b">
        <f t="shared" si="266"/>
        <v>1</v>
      </c>
      <c r="G218" s="1056"/>
      <c r="H218" s="1057"/>
      <c r="I218" s="1057"/>
      <c r="J218" s="1057"/>
      <c r="K218" s="1057">
        <f>IF(SUM(K$17:$O17)&lt;$A$218,0,(K19*$E$218)-SUM(J$218:$N218))</f>
        <v>0</v>
      </c>
      <c r="L218" s="1057">
        <f>IF(SUM(L$17:$O17)&lt;$A$218,0,(L19*$E$218)-SUM(K$218:$N218))</f>
        <v>0</v>
      </c>
      <c r="M218" s="1057">
        <f>IF(SUM(M$17:$O17)&lt;$A$218,0,(M19*$E$218)-SUM(L$218:$N218))</f>
        <v>0</v>
      </c>
      <c r="N218" s="1057">
        <f>IF(SUM(N$17:$O17)&lt;$A$218,0,(N19*$E$218)-SUM(M$218:$N218))</f>
        <v>0</v>
      </c>
      <c r="O218" s="1057">
        <f>IF(SUM($O$17:O17)&lt;$A$218,0,(O19*$E$218)-SUM($N$218:N218))</f>
        <v>0</v>
      </c>
      <c r="P218" s="1057">
        <f>IF(SUM($O$17:P17)&lt;$A$218,0,(P19*$E$218)-SUM($N$218:O218))</f>
        <v>0</v>
      </c>
      <c r="Q218" s="1057">
        <f>IF(SUM($O$17:Q17)&lt;$A$218,0,(Q19*$E$218)-SUM($N$218:P218))</f>
        <v>0</v>
      </c>
      <c r="R218" s="1057">
        <f>IF(SUM($O$17:R17)&lt;$A$218,0,(R19*$E$218)-SUM($N$218:Q218))</f>
        <v>0</v>
      </c>
      <c r="S218" s="1057">
        <f>IF(SUM($O$17:S17)&lt;$A$218,0,(S19*$E$218)-SUM($N$218:R218))</f>
        <v>0</v>
      </c>
      <c r="T218" s="1057">
        <f>IF(SUM($O$17:T17)&lt;$A$218,0,(T19*$E$218)-SUM($N$218:S218))</f>
        <v>0</v>
      </c>
      <c r="U218" s="1057">
        <f>IF(SUM($O$17:U17)&lt;$A$218,0,(U19*$E$218)-SUM($N$218:T218))</f>
        <v>0</v>
      </c>
      <c r="V218" s="1057">
        <f>IF(SUM($O$17:V17)&lt;$A$218,0,(V19*$E$218)-SUM($N$218:U218))</f>
        <v>0</v>
      </c>
      <c r="W218" s="1057">
        <f>IF(SUM($O$17:W17)&lt;$A$218,0,(W19*$E$218)-SUM($N$218:V218))</f>
        <v>0</v>
      </c>
      <c r="X218" s="1057">
        <f>IF(SUM($O$17:X17)&lt;$A$218,0,(X19*$E$218)-SUM($N$218:W218))</f>
        <v>0</v>
      </c>
      <c r="Y218" s="1057">
        <f>IF(SUM($O$17:Y17)&lt;$A$218,0,(Y19*$E$218)-SUM($N$218:X218))</f>
        <v>0</v>
      </c>
      <c r="Z218" s="1057">
        <f>IF(SUM($O$17:Z17)&lt;$A$218,0,(Z19*$E$218)-SUM($N$218:Y218))</f>
        <v>0</v>
      </c>
      <c r="AA218" s="1057">
        <f>IF(SUM($O$17:AA17)&lt;$A$218,0,(AA19*$E$218)-SUM($N$218:Z218))</f>
        <v>0</v>
      </c>
      <c r="AB218" s="1057">
        <f>IF(SUM($O$17:AB17)&lt;$A$218,0,(AB19*$E$218)-SUM($N$218:AA218))</f>
        <v>0</v>
      </c>
      <c r="AC218" s="1057">
        <f>IF(SUM($O$17:AC17)&lt;$A$218,0,(AC19*$E$218)-SUM($N$218:AB218))</f>
        <v>0</v>
      </c>
      <c r="AD218" s="1057">
        <f>IF(SUM($O$17:AD17)&lt;$A$218,0,(AD19*$E$218)-SUM($N$218:AC218))</f>
        <v>0</v>
      </c>
      <c r="AE218" s="1057">
        <f>IF(SUM($O$17:AE17)&lt;$A$218,0,(AE19*$E$218)-SUM($N$218:AD218))</f>
        <v>0</v>
      </c>
      <c r="AF218" s="1057">
        <f>IF(SUM($O$17:AF17)&lt;$A$218,0,(AF19*$E$218)-SUM($N$218:AE218))</f>
        <v>0</v>
      </c>
      <c r="AG218" s="1057">
        <f>IF(SUM($O$17:AG17)&lt;$A$218,0,(AG19*$E$218)-SUM($N$218:AF218))</f>
        <v>0</v>
      </c>
      <c r="AH218" s="1057">
        <f>IF(SUM($O$17:AH17)&lt;$A$218,0,(AH19*$E$218)-SUM($N$218:AG218))</f>
        <v>0</v>
      </c>
      <c r="AI218" s="1057">
        <f>IF(SUM($O$17:AI17)&lt;$A$218,0,(AI19*$E$218)-SUM($N$218:AH218))</f>
        <v>0</v>
      </c>
      <c r="AJ218" s="1057">
        <f>IF(SUM($O$17:AJ17)&lt;$A$218,0,(AJ19*$E$218)-SUM($N$218:AI218))</f>
        <v>0</v>
      </c>
      <c r="AK218" s="1057">
        <f>IF(SUM($O$17:AK17)&lt;$A$218,0,(AK19*$E$218)-SUM($N$218:AJ218))</f>
        <v>0</v>
      </c>
      <c r="AL218" s="1057">
        <f>IF(SUM($O$17:AL17)&lt;$A$218,0,(AL19*$E$218)-SUM($N$218:AK218))</f>
        <v>23958</v>
      </c>
      <c r="AM218" s="1057">
        <f>IF(SUM($O$17:AM17)&lt;$A$218,0,(AM19*$E$218)-SUM($N$218:AL218))</f>
        <v>23958</v>
      </c>
      <c r="AN218" s="1057">
        <f>IF(SUM($O$17:AN17)&lt;$A$218,0,(AN19*$E$218)-SUM($N$218:AM218))</f>
        <v>0</v>
      </c>
      <c r="AO218" s="1057">
        <f>IF(SUM($O$17:AO17)&lt;$A$218,0,(AO19*$E$218)-SUM($N$218:AN218))</f>
        <v>35937</v>
      </c>
      <c r="AP218" s="1057">
        <f>IF(SUM($O$17:AP17)&lt;$A$218,0,(AP19*$E$218)-SUM($N$218:AO218))</f>
        <v>0</v>
      </c>
      <c r="AQ218" s="1057">
        <f>IF(SUM($O$17:AQ17)&lt;$A$218,0,(AQ19*$E$218)-SUM($N$218:AP218))</f>
        <v>35937</v>
      </c>
      <c r="AR218" s="1057">
        <f>IF(SUM($O$17:AR17)&lt;$A$218,0,(AR19*$E$218)-SUM($N$218:AQ218))</f>
        <v>0</v>
      </c>
      <c r="AS218" s="1057">
        <f>IF(SUM($O$17:AS17)&lt;$A$218,0,(AS19*$E$218)-SUM($N$218:AR218))</f>
        <v>0</v>
      </c>
      <c r="AT218" s="1057">
        <f>IF(SUM($O$17:AT17)&lt;$A$218,0,(AT19*$E$218)-SUM($N$218:AS218))</f>
        <v>0</v>
      </c>
      <c r="AU218" s="1057">
        <f>IF(SUM($O$17:AU17)&lt;$A$218,0,(AU19*$E$218)-SUM($N$218:AT218))</f>
        <v>0</v>
      </c>
      <c r="AV218" s="1057">
        <f>IF(SUM($O$17:AV17)&lt;$A$218,0,(AV19*$E$218)-SUM($N$218:AU218))</f>
        <v>0</v>
      </c>
      <c r="AW218" s="1057">
        <f>IF(SUM($O$17:AW17)&lt;$A$218,0,(AW19*$E$218)-SUM($N$218:AV218))</f>
        <v>0</v>
      </c>
      <c r="AX218" s="1057">
        <f>IF(SUM($O$17:AX17)&lt;$A$218,0,(AX19*$E$218)-SUM($N$218:AW218))</f>
        <v>0</v>
      </c>
      <c r="AY218" s="1057">
        <f>IF(SUM($O$17:AY17)&lt;$A$218,0,(AY19*$E$218)-SUM($N$218:AX218))</f>
        <v>0</v>
      </c>
      <c r="AZ218" s="1057">
        <f>IF(SUM($O$17:AZ17)&lt;$A$218,0,(AZ19*$E$218)-SUM($N$218:AY218))</f>
        <v>0</v>
      </c>
      <c r="BA218" s="1057">
        <f>IF(SUM($O$17:BA17)&lt;$A$218,0,(BA19*$E$218)-SUM($N$218:AZ218))</f>
        <v>0</v>
      </c>
      <c r="BB218" s="1057">
        <f>IF(SUM($O$17:BB17)&lt;$A$218,0,(BB19*$E$218)-SUM($N$218:BA218))</f>
        <v>0</v>
      </c>
      <c r="BC218" s="1057">
        <f>IF(SUM($O$17:BC17)&lt;$A$218,0,(BC19*$E$218)-SUM($N$218:BB218))</f>
        <v>0</v>
      </c>
      <c r="BD218" s="1057">
        <f>IF(SUM($O$17:BD17)&lt;$A$218,0,(BD19*$E$218)-SUM($N$218:BC218))</f>
        <v>0</v>
      </c>
      <c r="BE218" s="1057">
        <f>IF(SUM($O$17:BE17)&lt;$A$218,0,(BE19*$E$218)-SUM($N$218:BD218))</f>
        <v>0</v>
      </c>
      <c r="BF218" s="1057">
        <f>IF(SUM($O$17:BF17)&lt;$A$218,0,(BF19*$E$218)-SUM($N$218:BE218))</f>
        <v>0</v>
      </c>
      <c r="BG218" s="1057">
        <f>IF(SUM($O$17:BG17)&lt;$A$218,0,(BG19*$E$218)-SUM($N$218:BF218))</f>
        <v>0</v>
      </c>
      <c r="BH218" s="1057">
        <f>IF(SUM($O$17:BH17)&lt;$A$218,0,(BH19*$E$218)-SUM($N$218:BG218))</f>
        <v>0</v>
      </c>
      <c r="BI218" s="1057">
        <f>IF(SUM($O$17:BI17)&lt;$A$218,0,(BI19*$E$218)-SUM($N$218:BH218))</f>
        <v>0</v>
      </c>
      <c r="BJ218" s="1057">
        <f>IF(SUM($O$17:BJ17)&lt;$A$218,0,(BJ19*$E$218)-SUM($N$218:BI218))</f>
        <v>0</v>
      </c>
      <c r="BK218" s="1057">
        <f>IF(SUM($O$17:BK17)&lt;$A$218,0,(BK19*$E$218)-SUM($N$218:BJ218))</f>
        <v>0</v>
      </c>
      <c r="BL218" s="1057">
        <f>IF(SUM($O$17:BL17)&lt;$A$218,0,(BL19*$E$218)-SUM($N$218:BK218))</f>
        <v>0</v>
      </c>
      <c r="BM218" s="1057">
        <f>IF(SUM($O$17:BM17)&lt;$A$218,0,(BM19*$E$218)-SUM($N$218:BL218))</f>
        <v>0</v>
      </c>
      <c r="BN218" s="1057">
        <f>IF(SUM($O$17:BN17)&lt;$A$218,0,(BN19*$E$218)-SUM($N$218:BM218))</f>
        <v>0</v>
      </c>
      <c r="BO218" s="1057">
        <f>IF(SUM($O$17:BO17)&lt;$A$218,0,(BO19*$E$218)-SUM($N$218:BN218))</f>
        <v>0</v>
      </c>
      <c r="BP218" s="1057">
        <f>IF(SUM($O$17:BP17)&lt;$A$218,0,(BP19*$E$218)-SUM($N$218:BO218))</f>
        <v>0</v>
      </c>
      <c r="BQ218" s="1057">
        <f>IF(SUM($O$17:BQ17)&lt;$A$218,0,(BQ19*$E$218)-SUM($N$218:BP218))</f>
        <v>0</v>
      </c>
      <c r="BR218" s="1057">
        <f>IF(SUM($O$17:BR17)&lt;$A$218,0,(BR19*$E$218)-SUM($N$218:BQ218))</f>
        <v>0</v>
      </c>
      <c r="BS218" s="1057">
        <f>IF(SUM($O$17:BS17)&lt;$A$218,0,(BS19*$E$218)-SUM($N$218:BR218))</f>
        <v>0</v>
      </c>
      <c r="BT218" s="1057">
        <f>IF(SUM($O$17:BT17)&lt;$A$218,0,(BT19*$E$218)-SUM($N$218:BS218))</f>
        <v>0</v>
      </c>
      <c r="BU218" s="1057">
        <f>IF(SUM($O$17:BU17)&lt;$A$218,0,(BU19*$E$218)-SUM($N$218:BT218))</f>
        <v>0</v>
      </c>
      <c r="BV218" s="1057">
        <f>IF(SUM($O$17:BV17)&lt;$A$218,0,(BV19*$E$218)-SUM($N$218:BU218))</f>
        <v>0</v>
      </c>
      <c r="BW218" s="1057">
        <f>IF(SUM($O$17:BW17)&lt;$A$218,0,(BW19*$E$218)-SUM($N$218:BV218))</f>
        <v>0</v>
      </c>
      <c r="BX218" s="1057">
        <f>IF(SUM($O$17:BX17)&lt;$A$218,0,(BX19*$E$218)-SUM($N$218:BW218))</f>
        <v>0</v>
      </c>
      <c r="BY218" s="1067">
        <f t="shared" si="245"/>
        <v>4</v>
      </c>
      <c r="BZ218" s="1068">
        <f t="shared" si="269"/>
        <v>119790</v>
      </c>
      <c r="CA218" s="1090" t="b">
        <f t="shared" si="270"/>
        <v>1</v>
      </c>
      <c r="CB218" s="1038"/>
      <c r="CC218" s="1038"/>
      <c r="CD218" s="1038"/>
      <c r="CE218" s="1038"/>
    </row>
    <row r="219" spans="1:83" ht="18" customHeight="1">
      <c r="A219">
        <v>15</v>
      </c>
      <c r="B219" s="1067">
        <v>5</v>
      </c>
      <c r="C219" s="1898"/>
      <c r="D219" s="1060">
        <f>IF(B219&lt;Equity!$D$29+1,Equity!$I$8/Equity!$D$29,0)</f>
        <v>0</v>
      </c>
      <c r="E219" s="1077">
        <f>분양개요!$O$9*D219</f>
        <v>0</v>
      </c>
      <c r="F219" s="1062" t="b">
        <f t="shared" si="266"/>
        <v>1</v>
      </c>
      <c r="G219" s="1056"/>
      <c r="H219" s="1057"/>
      <c r="I219" s="1057"/>
      <c r="J219" s="1057"/>
      <c r="K219" s="1057">
        <f>IF(SUM(K$17:$O18)&lt;$A$219,0,(K19*$E$219)-SUM(J$219:$N219))</f>
        <v>0</v>
      </c>
      <c r="L219" s="1057">
        <f>IF(SUM(L$17:$O18)&lt;$A$219,0,(L19*$E$219)-SUM(K$219:$N219))</f>
        <v>0</v>
      </c>
      <c r="M219" s="1057">
        <f>IF(SUM(M$17:$O18)&lt;$A$219,0,(M19*$E$219)-SUM(L$219:$N219))</f>
        <v>0</v>
      </c>
      <c r="N219" s="1057">
        <f>IF(SUM(N$17:$O18)&lt;$A$219,0,(N19*$E$219)-SUM(M$219:$N219))</f>
        <v>0</v>
      </c>
      <c r="O219" s="1057">
        <f>IF(SUM($O$17:O18)&lt;$A$219,0,(O19*$E$219)-SUM($N$219:N219))</f>
        <v>0</v>
      </c>
      <c r="P219" s="1057">
        <f>IF(SUM($O$17:P18)&lt;$A$219,0,(P19*$E$219)-SUM($N$219:O219))</f>
        <v>0</v>
      </c>
      <c r="Q219" s="1057">
        <f>IF(SUM($O$17:Q18)&lt;$A$219,0,(Q19*$E$219)-SUM($N$219:P219))</f>
        <v>0</v>
      </c>
      <c r="R219" s="1057">
        <f>IF(SUM($O$17:R18)&lt;$A$219,0,(R19*$E$219)-SUM($N$219:Q219))</f>
        <v>0</v>
      </c>
      <c r="S219" s="1057">
        <f>IF(SUM($O$17:S18)&lt;$A$219,0,(S19*$E$219)-SUM($N$219:R219))</f>
        <v>0</v>
      </c>
      <c r="T219" s="1057">
        <f>IF(SUM($O$17:T18)&lt;$A$219,0,(T19*$E$219)-SUM($N$219:S219))</f>
        <v>0</v>
      </c>
      <c r="U219" s="1057">
        <f>IF(SUM($O$17:U18)&lt;$A$219,0,(U19*$E$219)-SUM($N$219:T219))</f>
        <v>0</v>
      </c>
      <c r="V219" s="1057">
        <f>IF(SUM($O$17:V18)&lt;$A$219,0,(V19*$E$219)-SUM($N$219:U219))</f>
        <v>0</v>
      </c>
      <c r="W219" s="1057">
        <f>IF(SUM($O$17:W18)&lt;$A$219,0,(W19*$E$219)-SUM($N$219:V219))</f>
        <v>0</v>
      </c>
      <c r="X219" s="1057">
        <f>IF(SUM($O$17:X18)&lt;$A$219,0,(X19*$E$219)-SUM($N$219:W219))</f>
        <v>0</v>
      </c>
      <c r="Y219" s="1057">
        <f>IF(SUM($O$17:Y18)&lt;$A$219,0,(Y19*$E$219)-SUM($N$219:X219))</f>
        <v>0</v>
      </c>
      <c r="Z219" s="1057">
        <f>IF(SUM($O$17:Z18)&lt;$A$219,0,(Z19*$E$219)-SUM($N$219:Y219))</f>
        <v>0</v>
      </c>
      <c r="AA219" s="1057">
        <f>IF(SUM($O$17:AA18)&lt;$A$219,0,(AA19*$E$219)-SUM($N$219:Z219))</f>
        <v>0</v>
      </c>
      <c r="AB219" s="1057">
        <f>IF(SUM($O$17:AB18)&lt;$A$219,0,(AB19*$E$219)-SUM($N$219:AA219))</f>
        <v>0</v>
      </c>
      <c r="AC219" s="1057">
        <f>IF(SUM($O$17:AC18)&lt;$A$219,0,(AC19*$E$219)-SUM($N$219:AB219))</f>
        <v>0</v>
      </c>
      <c r="AD219" s="1057">
        <f>IF(SUM($O$17:AD18)&lt;$A$219,0,(AD19*$E$219)-SUM($N$219:AC219))</f>
        <v>0</v>
      </c>
      <c r="AE219" s="1057">
        <f>IF(SUM($O$17:AE18)&lt;$A$219,0,(AE19*$E$219)-SUM($N$219:AD219))</f>
        <v>0</v>
      </c>
      <c r="AF219" s="1057">
        <f>IF(SUM($O$17:AF18)&lt;$A$219,0,(AF19*$E$219)-SUM($N$219:AE219))</f>
        <v>0</v>
      </c>
      <c r="AG219" s="1057">
        <f>IF(SUM($O$17:AG18)&lt;$A$219,0,(AG19*$E$219)-SUM($N$219:AF219))</f>
        <v>0</v>
      </c>
      <c r="AH219" s="1057">
        <f>IF(SUM($O$17:AH18)&lt;$A$219,0,(AH19*$E$219)-SUM($N$219:AG219))</f>
        <v>0</v>
      </c>
      <c r="AI219" s="1057">
        <f>IF(SUM($O$17:AI18)&lt;$A$219,0,(AI19*$E$219)-SUM($N$219:AH219))</f>
        <v>0</v>
      </c>
      <c r="AJ219" s="1057">
        <f>IF(SUM($O$17:AJ18)&lt;$A$219,0,(AJ19*$E$219)-SUM($N$219:AI219))</f>
        <v>0</v>
      </c>
      <c r="AK219" s="1057">
        <f>IF(SUM($O$17:AK18)&lt;$A$219,0,(AK19*$E$219)-SUM($N$219:AJ219))</f>
        <v>0</v>
      </c>
      <c r="AL219" s="1057">
        <f>IF(SUM($O$17:AL18)&lt;$A$219,0,(AL19*$E$219)-SUM($N$219:AK219))</f>
        <v>0</v>
      </c>
      <c r="AM219" s="1057">
        <f>IF(SUM($O$17:AM18)&lt;$A$219,0,(AM19*$E$219)-SUM($N$219:AL219))</f>
        <v>0</v>
      </c>
      <c r="AN219" s="1057">
        <f>IF(SUM($O$17:AN18)&lt;$A$219,0,(AN19*$E$219)-SUM($N$219:AM219))</f>
        <v>0</v>
      </c>
      <c r="AO219" s="1057">
        <f>IF(SUM($O$17:AO18)&lt;$A$219,0,(AO19*$E$219)-SUM($N$219:AN219))</f>
        <v>0</v>
      </c>
      <c r="AP219" s="1057">
        <f>IF(SUM($O$17:AP18)&lt;$A$219,0,(AP19*$E$219)-SUM($N$219:AO219))</f>
        <v>0</v>
      </c>
      <c r="AQ219" s="1057">
        <f>IF(SUM($O$17:AQ18)&lt;$A$219,0,(AQ19*$E$219)-SUM($N$219:AP219))</f>
        <v>0</v>
      </c>
      <c r="AR219" s="1057">
        <f>IF(SUM($O$17:AR18)&lt;$A$219,0,(AR19*$E$219)-SUM($N$219:AQ219))</f>
        <v>0</v>
      </c>
      <c r="AS219" s="1057">
        <f>IF(SUM($O$17:AS18)&lt;$A$219,0,(AS19*$E$219)-SUM($N$219:AR219))</f>
        <v>0</v>
      </c>
      <c r="AT219" s="1057">
        <f>IF(SUM($O$17:AT18)&lt;$A$219,0,(AT19*$E$219)-SUM($N$219:AS219))</f>
        <v>0</v>
      </c>
      <c r="AU219" s="1057">
        <f>IF(SUM($O$17:AU18)&lt;$A$219,0,(AU19*$E$219)-SUM($N$219:AT219))</f>
        <v>0</v>
      </c>
      <c r="AV219" s="1057">
        <f>IF(SUM($O$17:AV18)&lt;$A$219,0,(AV19*$E$219)-SUM($N$219:AU219))</f>
        <v>0</v>
      </c>
      <c r="AW219" s="1057">
        <f>IF(SUM($O$17:AW18)&lt;$A$219,0,(AW19*$E$219)-SUM($N$219:AV219))</f>
        <v>0</v>
      </c>
      <c r="AX219" s="1057">
        <f>IF(SUM($O$17:AX18)&lt;$A$219,0,(AX19*$E$219)-SUM($N$219:AW219))</f>
        <v>0</v>
      </c>
      <c r="AY219" s="1057">
        <f>IF(SUM($O$17:AY18)&lt;$A$219,0,(AY19*$E$219)-SUM($N$219:AX219))</f>
        <v>0</v>
      </c>
      <c r="AZ219" s="1057">
        <f>IF(SUM($O$17:AZ18)&lt;$A$219,0,(AZ19*$E$219)-SUM($N$219:AY219))</f>
        <v>0</v>
      </c>
      <c r="BA219" s="1057">
        <f>IF(SUM($O$17:BA18)&lt;$A$219,0,(BA19*$E$219)-SUM($N$219:AZ219))</f>
        <v>0</v>
      </c>
      <c r="BB219" s="1057">
        <f>IF(SUM($O$17:BB18)&lt;$A$219,0,(BB19*$E$219)-SUM($N$219:BA219))</f>
        <v>0</v>
      </c>
      <c r="BC219" s="1057">
        <f>IF(SUM($O$17:BC18)&lt;$A$219,0,(BC19*$E$219)-SUM($N$219:BB219))</f>
        <v>0</v>
      </c>
      <c r="BD219" s="1057">
        <f>IF(SUM($O$17:BD18)&lt;$A$219,0,(BD19*$E$219)-SUM($N$219:BC219))</f>
        <v>0</v>
      </c>
      <c r="BE219" s="1057">
        <f>IF(SUM($O$17:BE18)&lt;$A$219,0,(BE19*$E$219)-SUM($N$219:BD219))</f>
        <v>0</v>
      </c>
      <c r="BF219" s="1057">
        <f>IF(SUM($O$17:BF18)&lt;$A$219,0,(BF19*$E$219)-SUM($N$219:BE219))</f>
        <v>0</v>
      </c>
      <c r="BG219" s="1057">
        <f>IF(SUM($O$17:BG18)&lt;$A$219,0,(BG19*$E$219)-SUM($N$219:BF219))</f>
        <v>0</v>
      </c>
      <c r="BH219" s="1057">
        <f>IF(SUM($O$17:BH18)&lt;$A$219,0,(BH19*$E$219)-SUM($N$219:BG219))</f>
        <v>0</v>
      </c>
      <c r="BI219" s="1057">
        <f>IF(SUM($O$17:BI18)&lt;$A$219,0,(BI19*$E$219)-SUM($N$219:BH219))</f>
        <v>0</v>
      </c>
      <c r="BJ219" s="1057">
        <f>IF(SUM($O$17:BJ18)&lt;$A$219,0,(BJ19*$E$219)-SUM($N$219:BI219))</f>
        <v>0</v>
      </c>
      <c r="BK219" s="1057">
        <f>IF(SUM($O$17:BK18)&lt;$A$219,0,(BK19*$E$219)-SUM($N$219:BJ219))</f>
        <v>0</v>
      </c>
      <c r="BL219" s="1057">
        <f>IF(SUM($O$17:BL18)&lt;$A$219,0,(BL19*$E$219)-SUM($N$219:BK219))</f>
        <v>0</v>
      </c>
      <c r="BM219" s="1057">
        <f>IF(SUM($O$17:BM18)&lt;$A$219,0,(BM19*$E$219)-SUM($N$219:BL219))</f>
        <v>0</v>
      </c>
      <c r="BN219" s="1057">
        <f>IF(SUM($O$17:BN18)&lt;$A$219,0,(BN19*$E$219)-SUM($N$219:BM219))</f>
        <v>0</v>
      </c>
      <c r="BO219" s="1057">
        <f>IF(SUM($O$17:BO18)&lt;$A$219,0,(BO19*$E$219)-SUM($N$219:BN219))</f>
        <v>0</v>
      </c>
      <c r="BP219" s="1057">
        <f>IF(SUM($O$17:BP18)&lt;$A$219,0,(BP19*$E$219)-SUM($N$219:BO219))</f>
        <v>0</v>
      </c>
      <c r="BQ219" s="1057">
        <f>IF(SUM($O$17:BQ18)&lt;$A$219,0,(BQ19*$E$219)-SUM($N$219:BP219))</f>
        <v>0</v>
      </c>
      <c r="BR219" s="1057">
        <f>IF(SUM($O$17:BR18)&lt;$A$219,0,(BR19*$E$219)-SUM($N$219:BQ219))</f>
        <v>0</v>
      </c>
      <c r="BS219" s="1057">
        <f>IF(SUM($O$17:BS18)&lt;$A$219,0,(BS19*$E$219)-SUM($N$219:BR219))</f>
        <v>0</v>
      </c>
      <c r="BT219" s="1057">
        <f>IF(SUM($O$17:BT18)&lt;$A$219,0,(BT19*$E$219)-SUM($N$219:BS219))</f>
        <v>0</v>
      </c>
      <c r="BU219" s="1057">
        <f>IF(SUM($O$17:BU18)&lt;$A$219,0,(BU19*$E$219)-SUM($N$219:BT219))</f>
        <v>0</v>
      </c>
      <c r="BV219" s="1057">
        <f>IF(SUM($O$17:BV18)&lt;$A$219,0,(BV19*$E$219)-SUM($N$219:BU219))</f>
        <v>0</v>
      </c>
      <c r="BW219" s="1057">
        <f>IF(SUM($O$17:BW18)&lt;$A$219,0,(BW19*$E$219)-SUM($N$219:BV219))</f>
        <v>0</v>
      </c>
      <c r="BX219" s="1057">
        <f>IF(SUM($O$17:BX18)&lt;$A$219,0,(BX19*$E$219)-SUM($N$219:BW219))</f>
        <v>0</v>
      </c>
      <c r="BY219" s="1067">
        <f t="shared" si="245"/>
        <v>5</v>
      </c>
      <c r="BZ219" s="1068">
        <f t="shared" si="269"/>
        <v>0</v>
      </c>
      <c r="CA219" s="1090" t="b">
        <f t="shared" si="270"/>
        <v>1</v>
      </c>
      <c r="CB219" s="1038"/>
      <c r="CC219" s="1038"/>
      <c r="CD219" s="1038"/>
      <c r="CE219" s="1038"/>
    </row>
    <row r="220" spans="1:83" ht="18" customHeight="1">
      <c r="A220">
        <v>21</v>
      </c>
      <c r="B220" s="1067">
        <v>6</v>
      </c>
      <c r="C220" s="1898"/>
      <c r="D220" s="1060">
        <f>IF(B220&lt;Equity!$D$29+1,Equity!$I$8/Equity!$D$29,0)</f>
        <v>0</v>
      </c>
      <c r="E220" s="1077">
        <f>분양개요!$O$9*D220</f>
        <v>0</v>
      </c>
      <c r="F220" s="1062" t="b">
        <f t="shared" si="266"/>
        <v>1</v>
      </c>
      <c r="G220" s="1056"/>
      <c r="H220" s="1057"/>
      <c r="I220" s="1057"/>
      <c r="J220" s="1057"/>
      <c r="K220" s="1057">
        <f>IF(SUM(K$17:$O17)&lt;$A$220,0,(K19*$E$220)-SUM(J$220:$N220))</f>
        <v>0</v>
      </c>
      <c r="L220" s="1057">
        <f>IF(SUM(L$17:$O17)&lt;$A$220,0,(L19*$E$220)-SUM(K$220:$N220))</f>
        <v>0</v>
      </c>
      <c r="M220" s="1057">
        <f>IF(SUM(M$17:$O17)&lt;$A$220,0,(M19*$E$220)-SUM(L$220:$N220))</f>
        <v>0</v>
      </c>
      <c r="N220" s="1057">
        <f>IF(SUM(N$17:$O17)&lt;$A$220,0,(N19*$E$220)-SUM(M$220:$N220))</f>
        <v>0</v>
      </c>
      <c r="O220" s="1057">
        <f>IF(SUM($O$17:O17)&lt;$A$220,0,(O19*$E$220)-SUM($N$220:N220))</f>
        <v>0</v>
      </c>
      <c r="P220" s="1057">
        <f>IF(SUM($O$17:P17)&lt;$A$220,0,(P19*$E$220)-SUM($N$220:O220))</f>
        <v>0</v>
      </c>
      <c r="Q220" s="1057">
        <f>IF(SUM($O$17:Q17)&lt;$A$220,0,(Q19*$E$220)-SUM($N$220:P220))</f>
        <v>0</v>
      </c>
      <c r="R220" s="1057">
        <f>IF(SUM($O$17:R17)&lt;$A$220,0,(R19*$E$220)-SUM($N$220:Q220))</f>
        <v>0</v>
      </c>
      <c r="S220" s="1057">
        <f>IF(SUM($O$17:S17)&lt;$A$220,0,(S19*$E$220)-SUM($N$220:R220))</f>
        <v>0</v>
      </c>
      <c r="T220" s="1057">
        <f>IF(SUM($O$17:T17)&lt;$A$220,0,(T19*$E$220)-SUM($N$220:S220))</f>
        <v>0</v>
      </c>
      <c r="U220" s="1057">
        <f>IF(SUM($O$17:U17)&lt;$A$220,0,(U19*$E$220)-SUM($N$220:T220))</f>
        <v>0</v>
      </c>
      <c r="V220" s="1057">
        <f>IF(SUM($O$17:V17)&lt;$A$220,0,(V19*$E$220)-SUM($N$220:U220))</f>
        <v>0</v>
      </c>
      <c r="W220" s="1057">
        <f>IF(SUM($O$17:W17)&lt;$A$220,0,(W19*$E$220)-SUM($N$220:V220))</f>
        <v>0</v>
      </c>
      <c r="X220" s="1057">
        <f>IF(SUM($O$17:X17)&lt;$A$220,0,(X19*$E$220)-SUM($N$220:W220))</f>
        <v>0</v>
      </c>
      <c r="Y220" s="1057">
        <f>IF(SUM($O$17:Y17)&lt;$A$220,0,(Y19*$E$220)-SUM($N$220:X220))</f>
        <v>0</v>
      </c>
      <c r="Z220" s="1057">
        <f>IF(SUM($O$17:Z17)&lt;$A$220,0,(Z19*$E$220)-SUM($N$220:Y220))</f>
        <v>0</v>
      </c>
      <c r="AA220" s="1057">
        <f>IF(SUM($O$17:AA17)&lt;$A$220,0,(AA19*$E$220)-SUM($N$220:Z220))</f>
        <v>0</v>
      </c>
      <c r="AB220" s="1057">
        <f>IF(SUM($O$17:AB17)&lt;$A$220,0,(AB19*$E$220)-SUM($N$220:AA220))</f>
        <v>0</v>
      </c>
      <c r="AC220" s="1057">
        <f>IF(SUM($O$17:AC17)&lt;$A$220,0,(AC19*$E$220)-SUM($N$220:AB220))</f>
        <v>0</v>
      </c>
      <c r="AD220" s="1057">
        <f>IF(SUM($O$17:AD17)&lt;$A$220,0,(AD19*$E$220)-SUM($N$220:AC220))</f>
        <v>0</v>
      </c>
      <c r="AE220" s="1057">
        <f>IF(SUM($O$17:AE17)&lt;$A$220,0,(AE19*$E$220)-SUM($N$220:AD220))</f>
        <v>0</v>
      </c>
      <c r="AF220" s="1057">
        <f>IF(SUM($O$17:AF17)&lt;$A$220,0,(AF19*$E$220)-SUM($N$220:AE220))</f>
        <v>0</v>
      </c>
      <c r="AG220" s="1057">
        <f>IF(SUM($O$17:AG17)&lt;$A$220,0,(AG19*$E$220)-SUM($N$220:AF220))</f>
        <v>0</v>
      </c>
      <c r="AH220" s="1057">
        <f>IF(SUM($O$17:AH17)&lt;$A$220,0,(AH19*$E$220)-SUM($N$220:AG220))</f>
        <v>0</v>
      </c>
      <c r="AI220" s="1057">
        <f>IF(SUM($O$17:AI17)&lt;$A$220,0,(AI19*$E$220)-SUM($N$220:AH220))</f>
        <v>0</v>
      </c>
      <c r="AJ220" s="1057">
        <f>IF(SUM($O$17:AJ17)&lt;$A$220,0,(AJ19*$E$220)-SUM($N$220:AI220))</f>
        <v>0</v>
      </c>
      <c r="AK220" s="1057">
        <f>IF(SUM($O$17:AK17)&lt;$A$220,0,(AK19*$E$220)-SUM($N$220:AJ220))</f>
        <v>0</v>
      </c>
      <c r="AL220" s="1057">
        <f>IF(SUM($O$17:AL17)&lt;$A$220,0,(AL19*$E$220)-SUM($N$220:AK220))</f>
        <v>0</v>
      </c>
      <c r="AM220" s="1057">
        <f>IF(SUM($O$17:AM17)&lt;$A$220,0,(AM19*$E$220)-SUM($N$220:AL220))</f>
        <v>0</v>
      </c>
      <c r="AN220" s="1057">
        <f>IF(SUM($O$17:AN17)&lt;$A$220,0,(AN19*$E$220)-SUM($N$220:AM220))</f>
        <v>0</v>
      </c>
      <c r="AO220" s="1057">
        <f>IF(SUM($O$17:AO17)&lt;$A$220,0,(AO19*$E$220)-SUM($N$220:AN220))</f>
        <v>0</v>
      </c>
      <c r="AP220" s="1057">
        <f>IF(SUM($O$17:AP17)&lt;$A$220,0,(AP19*$E$220)-SUM($N$220:AO220))</f>
        <v>0</v>
      </c>
      <c r="AQ220" s="1057">
        <f>IF(SUM($O$17:AQ17)&lt;$A$220,0,(AQ19*$E$220)-SUM($N$220:AP220))</f>
        <v>0</v>
      </c>
      <c r="AR220" s="1057">
        <f>IF(SUM($O$17:AR17)&lt;$A$220,0,(AR19*$E$220)-SUM($N$220:AQ220))</f>
        <v>0</v>
      </c>
      <c r="AS220" s="1057">
        <f>IF(SUM($O$17:AS17)&lt;$A$220,0,(AS19*$E$220)-SUM($N$220:AR220))</f>
        <v>0</v>
      </c>
      <c r="AT220" s="1057">
        <f>IF(SUM($O$17:AT17)&lt;$A$220,0,(AT19*$E$220)-SUM($N$220:AS220))</f>
        <v>0</v>
      </c>
      <c r="AU220" s="1057">
        <f>IF(SUM($O$17:AU17)&lt;$A$220,0,(AU19*$E$220)-SUM($N$220:AT220))</f>
        <v>0</v>
      </c>
      <c r="AV220" s="1057">
        <f>IF(SUM($O$17:AV17)&lt;$A$220,0,(AV19*$E$220)-SUM($N$220:AU220))</f>
        <v>0</v>
      </c>
      <c r="AW220" s="1057">
        <f>IF(SUM($O$17:AW17)&lt;$A$220,0,(AW19*$E$220)-SUM($N$220:AV220))</f>
        <v>0</v>
      </c>
      <c r="AX220" s="1057">
        <f>IF(SUM($O$17:AX17)&lt;$A$220,0,(AX19*$E$220)-SUM($N$220:AW220))</f>
        <v>0</v>
      </c>
      <c r="AY220" s="1057">
        <f>IF(SUM($O$17:AY17)&lt;$A$220,0,(AY19*$E$220)-SUM($N$220:AX220))</f>
        <v>0</v>
      </c>
      <c r="AZ220" s="1057">
        <f>IF(SUM($O$17:AZ17)&lt;$A$220,0,(AZ19*$E$220)-SUM($N$220:AY220))</f>
        <v>0</v>
      </c>
      <c r="BA220" s="1057">
        <f>IF(SUM($O$17:BA17)&lt;$A$220,0,(BA19*$E$220)-SUM($N$220:AZ220))</f>
        <v>0</v>
      </c>
      <c r="BB220" s="1057">
        <f>IF(SUM($O$17:BB17)&lt;$A$220,0,(BB19*$E$220)-SUM($N$220:BA220))</f>
        <v>0</v>
      </c>
      <c r="BC220" s="1057">
        <f>IF(SUM($O$17:BC17)&lt;$A$220,0,(BC19*$E$220)-SUM($N$220:BB220))</f>
        <v>0</v>
      </c>
      <c r="BD220" s="1057">
        <f>IF(SUM($O$17:BD17)&lt;$A$220,0,(BD19*$E$220)-SUM($N$220:BC220))</f>
        <v>0</v>
      </c>
      <c r="BE220" s="1057">
        <f>IF(SUM($O$17:BE17)&lt;$A$220,0,(BE19*$E$220)-SUM($N$220:BD220))</f>
        <v>0</v>
      </c>
      <c r="BF220" s="1057">
        <f>IF(SUM($O$17:BF17)&lt;$A$220,0,(BF19*$E$220)-SUM($N$220:BE220))</f>
        <v>0</v>
      </c>
      <c r="BG220" s="1057">
        <f>IF(SUM($O$17:BG17)&lt;$A$220,0,(BG19*$E$220)-SUM($N$220:BF220))</f>
        <v>0</v>
      </c>
      <c r="BH220" s="1057">
        <f>IF(SUM($O$17:BH17)&lt;$A$220,0,(BH19*$E$220)-SUM($N$220:BG220))</f>
        <v>0</v>
      </c>
      <c r="BI220" s="1057">
        <f>IF(SUM($O$17:BI17)&lt;$A$220,0,(BI19*$E$220)-SUM($N$220:BH220))</f>
        <v>0</v>
      </c>
      <c r="BJ220" s="1057">
        <f>IF(SUM($O$17:BJ17)&lt;$A$220,0,(BJ19*$E$220)-SUM($N$220:BI220))</f>
        <v>0</v>
      </c>
      <c r="BK220" s="1057">
        <f>IF(SUM($O$17:BK17)&lt;$A$220,0,(BK19*$E$220)-SUM($N$220:BJ220))</f>
        <v>0</v>
      </c>
      <c r="BL220" s="1057">
        <f>IF(SUM($O$17:BL17)&lt;$A$220,0,(BL19*$E$220)-SUM($N$220:BK220))</f>
        <v>0</v>
      </c>
      <c r="BM220" s="1057">
        <f>IF(SUM($O$17:BM17)&lt;$A$220,0,(BM19*$E$220)-SUM($N$220:BL220))</f>
        <v>0</v>
      </c>
      <c r="BN220" s="1057">
        <f>IF(SUM($O$17:BN17)&lt;$A$220,0,(BN19*$E$220)-SUM($N$220:BM220))</f>
        <v>0</v>
      </c>
      <c r="BO220" s="1057">
        <f>IF(SUM($O$17:BO17)&lt;$A$220,0,(BO19*$E$220)-SUM($N$220:BN220))</f>
        <v>0</v>
      </c>
      <c r="BP220" s="1057">
        <f>IF(SUM($O$17:BP17)&lt;$A$220,0,(BP19*$E$220)-SUM($N$220:BO220))</f>
        <v>0</v>
      </c>
      <c r="BQ220" s="1057">
        <f>IF(SUM($O$17:BQ17)&lt;$A$220,0,(BQ19*$E$220)-SUM($N$220:BP220))</f>
        <v>0</v>
      </c>
      <c r="BR220" s="1057">
        <f>IF(SUM($O$17:BR17)&lt;$A$220,0,(BR19*$E$220)-SUM($N$220:BQ220))</f>
        <v>0</v>
      </c>
      <c r="BS220" s="1057">
        <f>IF(SUM($O$17:BS17)&lt;$A$220,0,(BS19*$E$220)-SUM($N$220:BR220))</f>
        <v>0</v>
      </c>
      <c r="BT220" s="1057">
        <f>IF(SUM($O$17:BT17)&lt;$A$220,0,(BT19*$E$220)-SUM($N$220:BS220))</f>
        <v>0</v>
      </c>
      <c r="BU220" s="1057">
        <f>IF(SUM($O$17:BU17)&lt;$A$220,0,(BU19*$E$220)-SUM($N$220:BT220))</f>
        <v>0</v>
      </c>
      <c r="BV220" s="1057">
        <f>IF(SUM($O$17:BV17)&lt;$A$220,0,(BV19*$E$220)-SUM($N$220:BU220))</f>
        <v>0</v>
      </c>
      <c r="BW220" s="1057">
        <f>IF(SUM($O$17:BW17)&lt;$A$220,0,(BW19*$E$220)-SUM($N$220:BV220))</f>
        <v>0</v>
      </c>
      <c r="BX220" s="1057">
        <f>IF(SUM($O$17:BX17)&lt;$A$220,0,(BX19*$E$220)-SUM($N$220:BW220))</f>
        <v>0</v>
      </c>
      <c r="BY220" s="1067">
        <f t="shared" si="245"/>
        <v>6</v>
      </c>
      <c r="BZ220" s="1068">
        <f t="shared" si="269"/>
        <v>0</v>
      </c>
      <c r="CA220" s="1090" t="b">
        <f t="shared" si="270"/>
        <v>1</v>
      </c>
      <c r="CB220" s="1038"/>
      <c r="CC220" s="1038"/>
      <c r="CD220" s="1038"/>
      <c r="CE220" s="1038"/>
    </row>
    <row r="221" spans="1:83">
      <c r="B221" s="1085" t="s">
        <v>1035</v>
      </c>
      <c r="C221" s="1901"/>
      <c r="D221" s="1060">
        <f>Equity!J8</f>
        <v>0.5</v>
      </c>
      <c r="E221" s="1077">
        <f>분양개요!$O$9*D221</f>
        <v>598950</v>
      </c>
      <c r="F221" s="1062" t="b">
        <f t="shared" si="266"/>
        <v>1</v>
      </c>
      <c r="G221" s="1056"/>
      <c r="H221" s="1057"/>
      <c r="I221" s="1057"/>
      <c r="J221" s="1057"/>
      <c r="K221" s="1057">
        <f t="shared" ref="K221:AP221" si="271">IF(K7&gt;공사기간,$E$221*K213,0)</f>
        <v>0</v>
      </c>
      <c r="L221" s="1057">
        <f t="shared" si="271"/>
        <v>0</v>
      </c>
      <c r="M221" s="1057">
        <f t="shared" si="271"/>
        <v>0</v>
      </c>
      <c r="N221" s="1057">
        <f t="shared" si="271"/>
        <v>0</v>
      </c>
      <c r="O221" s="1057">
        <f t="shared" si="271"/>
        <v>0</v>
      </c>
      <c r="P221" s="1057">
        <f t="shared" si="271"/>
        <v>0</v>
      </c>
      <c r="Q221" s="1057">
        <f t="shared" si="271"/>
        <v>0</v>
      </c>
      <c r="R221" s="1057">
        <f t="shared" si="271"/>
        <v>0</v>
      </c>
      <c r="S221" s="1057">
        <f t="shared" si="271"/>
        <v>0</v>
      </c>
      <c r="T221" s="1057">
        <f t="shared" si="271"/>
        <v>0</v>
      </c>
      <c r="U221" s="1057">
        <f t="shared" si="271"/>
        <v>0</v>
      </c>
      <c r="V221" s="1057">
        <f t="shared" si="271"/>
        <v>0</v>
      </c>
      <c r="W221" s="1057">
        <f t="shared" si="271"/>
        <v>0</v>
      </c>
      <c r="X221" s="1057">
        <f t="shared" si="271"/>
        <v>0</v>
      </c>
      <c r="Y221" s="1057">
        <f t="shared" si="271"/>
        <v>0</v>
      </c>
      <c r="Z221" s="1057">
        <f t="shared" si="271"/>
        <v>0</v>
      </c>
      <c r="AA221" s="1057">
        <f t="shared" si="271"/>
        <v>0</v>
      </c>
      <c r="AB221" s="1057">
        <f t="shared" si="271"/>
        <v>0</v>
      </c>
      <c r="AC221" s="1057">
        <f t="shared" si="271"/>
        <v>0</v>
      </c>
      <c r="AD221" s="1057">
        <f t="shared" si="271"/>
        <v>0</v>
      </c>
      <c r="AE221" s="1057">
        <f t="shared" si="271"/>
        <v>0</v>
      </c>
      <c r="AF221" s="1057">
        <f t="shared" si="271"/>
        <v>0</v>
      </c>
      <c r="AG221" s="1057">
        <f t="shared" si="271"/>
        <v>0</v>
      </c>
      <c r="AH221" s="1057">
        <f t="shared" si="271"/>
        <v>0</v>
      </c>
      <c r="AI221" s="1057">
        <f t="shared" si="271"/>
        <v>0</v>
      </c>
      <c r="AJ221" s="1057">
        <f t="shared" si="271"/>
        <v>0</v>
      </c>
      <c r="AK221" s="1057">
        <f t="shared" si="271"/>
        <v>0</v>
      </c>
      <c r="AL221" s="1057">
        <f t="shared" si="271"/>
        <v>0</v>
      </c>
      <c r="AM221" s="1057">
        <f t="shared" si="271"/>
        <v>0</v>
      </c>
      <c r="AN221" s="1057">
        <f t="shared" si="271"/>
        <v>0</v>
      </c>
      <c r="AO221" s="1057">
        <f t="shared" si="271"/>
        <v>0</v>
      </c>
      <c r="AP221" s="1057">
        <f t="shared" si="271"/>
        <v>0</v>
      </c>
      <c r="AQ221" s="1057">
        <f t="shared" ref="AQ221:BX221" si="272">IF(AQ7&gt;공사기간,$E$221*AQ213,0)</f>
        <v>0</v>
      </c>
      <c r="AR221" s="1057">
        <f t="shared" si="272"/>
        <v>0</v>
      </c>
      <c r="AS221" s="1057">
        <f t="shared" si="272"/>
        <v>0</v>
      </c>
      <c r="AT221" s="1057">
        <f t="shared" si="272"/>
        <v>0</v>
      </c>
      <c r="AU221" s="1057">
        <f t="shared" si="272"/>
        <v>0</v>
      </c>
      <c r="AV221" s="1057">
        <f t="shared" si="272"/>
        <v>0</v>
      </c>
      <c r="AW221" s="1057">
        <f t="shared" si="272"/>
        <v>0</v>
      </c>
      <c r="AX221" s="1057">
        <f t="shared" si="272"/>
        <v>0</v>
      </c>
      <c r="AY221" s="1057">
        <f t="shared" si="272"/>
        <v>0</v>
      </c>
      <c r="AZ221" s="1057">
        <f t="shared" si="272"/>
        <v>0</v>
      </c>
      <c r="BA221" s="1057">
        <f t="shared" si="272"/>
        <v>0</v>
      </c>
      <c r="BB221" s="1057">
        <f t="shared" si="272"/>
        <v>0</v>
      </c>
      <c r="BC221" s="1057">
        <f t="shared" si="272"/>
        <v>0</v>
      </c>
      <c r="BD221" s="1057">
        <f t="shared" si="272"/>
        <v>0</v>
      </c>
      <c r="BE221" s="1057">
        <f t="shared" si="272"/>
        <v>0</v>
      </c>
      <c r="BF221" s="1057">
        <f t="shared" si="272"/>
        <v>0</v>
      </c>
      <c r="BG221" s="1057">
        <f t="shared" si="272"/>
        <v>0</v>
      </c>
      <c r="BH221" s="1057">
        <f t="shared" si="272"/>
        <v>0</v>
      </c>
      <c r="BI221" s="1057">
        <f t="shared" si="272"/>
        <v>0</v>
      </c>
      <c r="BJ221" s="1057">
        <f t="shared" si="272"/>
        <v>0</v>
      </c>
      <c r="BK221" s="1057">
        <f t="shared" si="272"/>
        <v>0</v>
      </c>
      <c r="BL221" s="1057">
        <f t="shared" si="272"/>
        <v>0</v>
      </c>
      <c r="BM221" s="1057">
        <f t="shared" si="272"/>
        <v>0</v>
      </c>
      <c r="BN221" s="1057">
        <f t="shared" si="272"/>
        <v>0</v>
      </c>
      <c r="BO221" s="1057">
        <f t="shared" si="272"/>
        <v>0</v>
      </c>
      <c r="BP221" s="1057">
        <f t="shared" si="272"/>
        <v>0</v>
      </c>
      <c r="BQ221" s="1057">
        <f t="shared" si="272"/>
        <v>0</v>
      </c>
      <c r="BR221" s="1057">
        <f t="shared" si="272"/>
        <v>0</v>
      </c>
      <c r="BS221" s="1057">
        <f t="shared" si="272"/>
        <v>0</v>
      </c>
      <c r="BT221" s="1057">
        <f t="shared" si="272"/>
        <v>0</v>
      </c>
      <c r="BU221" s="1057">
        <f t="shared" si="272"/>
        <v>0</v>
      </c>
      <c r="BV221" s="1057">
        <f t="shared" si="272"/>
        <v>59895</v>
      </c>
      <c r="BW221" s="1057">
        <f t="shared" si="272"/>
        <v>59895</v>
      </c>
      <c r="BX221" s="1057">
        <f t="shared" si="272"/>
        <v>479160</v>
      </c>
      <c r="BY221" s="1074" t="str">
        <f t="shared" si="245"/>
        <v>잔금</v>
      </c>
      <c r="BZ221" s="1068">
        <f t="shared" si="269"/>
        <v>598950</v>
      </c>
      <c r="CA221" s="1090" t="b">
        <f t="shared" si="270"/>
        <v>1</v>
      </c>
      <c r="CB221" s="1038"/>
      <c r="CC221" s="1038"/>
      <c r="CD221" s="1038"/>
      <c r="CE221" s="1038"/>
    </row>
    <row r="222" spans="1:83">
      <c r="B222" s="1085" t="s">
        <v>1036</v>
      </c>
      <c r="C222" s="1901"/>
      <c r="D222" s="1060">
        <f>SUM(D214:D221)</f>
        <v>1</v>
      </c>
      <c r="E222" s="1061">
        <f>SUM(E214:E221)</f>
        <v>1197900</v>
      </c>
      <c r="F222" s="1062" t="b">
        <f t="shared" si="266"/>
        <v>1</v>
      </c>
      <c r="G222" s="1056">
        <f>SUM(G214:G221)</f>
        <v>0</v>
      </c>
      <c r="H222" s="1057">
        <f t="shared" ref="H222:BS222" si="273">SUM(H214:H221)</f>
        <v>0</v>
      </c>
      <c r="I222" s="1057">
        <f t="shared" si="273"/>
        <v>0</v>
      </c>
      <c r="J222" s="1057">
        <f t="shared" si="273"/>
        <v>0</v>
      </c>
      <c r="K222" s="1058">
        <f t="shared" si="273"/>
        <v>0</v>
      </c>
      <c r="L222" s="1058">
        <f t="shared" si="273"/>
        <v>0</v>
      </c>
      <c r="M222" s="1058">
        <f t="shared" si="273"/>
        <v>0</v>
      </c>
      <c r="N222" s="1058">
        <f t="shared" si="273"/>
        <v>0</v>
      </c>
      <c r="O222" s="1058">
        <f t="shared" si="273"/>
        <v>0</v>
      </c>
      <c r="P222" s="1058">
        <f t="shared" si="273"/>
        <v>0</v>
      </c>
      <c r="Q222" s="1058">
        <f t="shared" si="273"/>
        <v>0</v>
      </c>
      <c r="R222" s="1058">
        <f t="shared" si="273"/>
        <v>0</v>
      </c>
      <c r="S222" s="1058">
        <f t="shared" si="273"/>
        <v>0</v>
      </c>
      <c r="T222" s="1058">
        <f t="shared" si="273"/>
        <v>0</v>
      </c>
      <c r="U222" s="1058">
        <f t="shared" si="273"/>
        <v>0</v>
      </c>
      <c r="V222" s="1058">
        <f t="shared" si="273"/>
        <v>0</v>
      </c>
      <c r="W222" s="1058">
        <f t="shared" si="273"/>
        <v>0</v>
      </c>
      <c r="X222" s="1058">
        <f t="shared" si="273"/>
        <v>0</v>
      </c>
      <c r="Y222" s="1058">
        <f t="shared" si="273"/>
        <v>0</v>
      </c>
      <c r="Z222" s="1058">
        <f t="shared" si="273"/>
        <v>0</v>
      </c>
      <c r="AA222" s="1058">
        <f t="shared" si="273"/>
        <v>0</v>
      </c>
      <c r="AB222" s="1058">
        <f t="shared" si="273"/>
        <v>0</v>
      </c>
      <c r="AC222" s="1058">
        <f t="shared" si="273"/>
        <v>0</v>
      </c>
      <c r="AD222" s="1058">
        <f t="shared" si="273"/>
        <v>0</v>
      </c>
      <c r="AE222" s="1058">
        <f t="shared" si="273"/>
        <v>0</v>
      </c>
      <c r="AF222" s="1058">
        <f t="shared" si="273"/>
        <v>0</v>
      </c>
      <c r="AG222" s="1058">
        <f t="shared" si="273"/>
        <v>0</v>
      </c>
      <c r="AH222" s="1058">
        <f t="shared" si="273"/>
        <v>0</v>
      </c>
      <c r="AI222" s="1058">
        <f t="shared" si="273"/>
        <v>0</v>
      </c>
      <c r="AJ222" s="1058">
        <f t="shared" si="273"/>
        <v>0</v>
      </c>
      <c r="AK222" s="1058">
        <f t="shared" si="273"/>
        <v>95832</v>
      </c>
      <c r="AL222" s="1058">
        <f t="shared" si="273"/>
        <v>23958</v>
      </c>
      <c r="AM222" s="1058">
        <f t="shared" si="273"/>
        <v>119790</v>
      </c>
      <c r="AN222" s="1058">
        <f t="shared" si="273"/>
        <v>0</v>
      </c>
      <c r="AO222" s="1058">
        <f t="shared" si="273"/>
        <v>179685</v>
      </c>
      <c r="AP222" s="1058">
        <f t="shared" si="273"/>
        <v>0</v>
      </c>
      <c r="AQ222" s="1058">
        <f t="shared" si="273"/>
        <v>179685</v>
      </c>
      <c r="AR222" s="1058">
        <f t="shared" si="273"/>
        <v>0</v>
      </c>
      <c r="AS222" s="1058">
        <f t="shared" si="273"/>
        <v>0</v>
      </c>
      <c r="AT222" s="1058">
        <f t="shared" si="273"/>
        <v>0</v>
      </c>
      <c r="AU222" s="1058">
        <f t="shared" si="273"/>
        <v>0</v>
      </c>
      <c r="AV222" s="1058">
        <f t="shared" si="273"/>
        <v>0</v>
      </c>
      <c r="AW222" s="1058">
        <f t="shared" si="273"/>
        <v>0</v>
      </c>
      <c r="AX222" s="1058">
        <f t="shared" si="273"/>
        <v>0</v>
      </c>
      <c r="AY222" s="1058">
        <f t="shared" si="273"/>
        <v>0</v>
      </c>
      <c r="AZ222" s="1058">
        <f t="shared" si="273"/>
        <v>0</v>
      </c>
      <c r="BA222" s="1058">
        <f t="shared" si="273"/>
        <v>0</v>
      </c>
      <c r="BB222" s="1058">
        <f t="shared" si="273"/>
        <v>0</v>
      </c>
      <c r="BC222" s="1058">
        <f t="shared" si="273"/>
        <v>0</v>
      </c>
      <c r="BD222" s="1058">
        <f t="shared" si="273"/>
        <v>0</v>
      </c>
      <c r="BE222" s="1058">
        <f t="shared" si="273"/>
        <v>0</v>
      </c>
      <c r="BF222" s="1058">
        <f t="shared" si="273"/>
        <v>0</v>
      </c>
      <c r="BG222" s="1058">
        <f t="shared" si="273"/>
        <v>0</v>
      </c>
      <c r="BH222" s="1058">
        <f t="shared" si="273"/>
        <v>0</v>
      </c>
      <c r="BI222" s="1058">
        <f t="shared" si="273"/>
        <v>0</v>
      </c>
      <c r="BJ222" s="1058">
        <f t="shared" si="273"/>
        <v>0</v>
      </c>
      <c r="BK222" s="1058">
        <f t="shared" si="273"/>
        <v>0</v>
      </c>
      <c r="BL222" s="1058">
        <f t="shared" si="273"/>
        <v>0</v>
      </c>
      <c r="BM222" s="1058">
        <f t="shared" si="273"/>
        <v>0</v>
      </c>
      <c r="BN222" s="1058">
        <f t="shared" si="273"/>
        <v>0</v>
      </c>
      <c r="BO222" s="1058">
        <f t="shared" si="273"/>
        <v>0</v>
      </c>
      <c r="BP222" s="1058">
        <f t="shared" si="273"/>
        <v>0</v>
      </c>
      <c r="BQ222" s="1058">
        <f t="shared" si="273"/>
        <v>0</v>
      </c>
      <c r="BR222" s="1058">
        <f t="shared" si="273"/>
        <v>0</v>
      </c>
      <c r="BS222" s="1058">
        <f t="shared" si="273"/>
        <v>0</v>
      </c>
      <c r="BT222" s="1058">
        <f t="shared" ref="BT222:BU222" si="274">SUM(BT214:BT221)</f>
        <v>0</v>
      </c>
      <c r="BU222" s="1058">
        <f t="shared" si="274"/>
        <v>0</v>
      </c>
      <c r="BV222" s="1058">
        <f>SUM(BV214:BV221)</f>
        <v>59895</v>
      </c>
      <c r="BW222" s="1058">
        <f t="shared" ref="BW222:BX222" si="275">SUM(BW214:BW221)</f>
        <v>59895</v>
      </c>
      <c r="BX222" s="1058">
        <f t="shared" si="275"/>
        <v>479160</v>
      </c>
      <c r="BY222" s="1074" t="str">
        <f t="shared" si="245"/>
        <v>합계</v>
      </c>
      <c r="BZ222" s="1068">
        <f t="shared" si="269"/>
        <v>1197900</v>
      </c>
      <c r="CA222" s="1075" t="b">
        <f t="shared" si="270"/>
        <v>1</v>
      </c>
      <c r="CB222" s="1038"/>
      <c r="CC222" s="1038"/>
      <c r="CD222" s="1038"/>
      <c r="CE222" s="1038"/>
    </row>
    <row r="223" spans="1:83" s="1082" customFormat="1">
      <c r="B223" s="2354" t="str">
        <f>Equity!G9</f>
        <v>도시형생활주택</v>
      </c>
      <c r="C223" s="2355"/>
      <c r="D223" s="2355"/>
      <c r="E223" s="2356"/>
      <c r="F223" s="1062"/>
      <c r="G223" s="1056"/>
      <c r="H223" s="1057"/>
      <c r="I223" s="1057"/>
      <c r="J223" s="1057"/>
      <c r="K223" s="1057"/>
      <c r="L223" s="1057"/>
      <c r="M223" s="1057"/>
      <c r="N223" s="1057"/>
      <c r="O223" s="1057"/>
      <c r="P223" s="1057"/>
      <c r="Q223" s="1057"/>
      <c r="R223" s="1057"/>
      <c r="S223" s="1057"/>
      <c r="T223" s="1057"/>
      <c r="U223" s="1057"/>
      <c r="V223" s="1057"/>
      <c r="W223" s="1057"/>
      <c r="X223" s="1057"/>
      <c r="Y223" s="1057"/>
      <c r="Z223" s="1057"/>
      <c r="AA223" s="1057"/>
      <c r="AB223" s="1057"/>
      <c r="AC223" s="1057"/>
      <c r="AD223" s="1057"/>
      <c r="AE223" s="1057"/>
      <c r="AF223" s="1057"/>
      <c r="AG223" s="1057"/>
      <c r="AH223" s="1057"/>
      <c r="AI223" s="1057"/>
      <c r="AJ223" s="1057"/>
      <c r="AK223" s="1057"/>
      <c r="AL223" s="1057"/>
      <c r="AM223" s="1057"/>
      <c r="AN223" s="1057"/>
      <c r="AO223" s="1057"/>
      <c r="AP223" s="1057"/>
      <c r="AQ223" s="1057"/>
      <c r="AR223" s="1057"/>
      <c r="AS223" s="1057"/>
      <c r="AT223" s="1057"/>
      <c r="AU223" s="1057"/>
      <c r="AV223" s="1057"/>
      <c r="AW223" s="1057"/>
      <c r="AX223" s="1057"/>
      <c r="AY223" s="1057"/>
      <c r="AZ223" s="1057"/>
      <c r="BA223" s="1057"/>
      <c r="BB223" s="1057"/>
      <c r="BC223" s="1057"/>
      <c r="BD223" s="1057"/>
      <c r="BE223" s="1057"/>
      <c r="BF223" s="1057"/>
      <c r="BG223" s="1057"/>
      <c r="BH223" s="1057"/>
      <c r="BI223" s="1057"/>
      <c r="BJ223" s="1057"/>
      <c r="BK223" s="1057"/>
      <c r="BL223" s="1057"/>
      <c r="BM223" s="1057"/>
      <c r="BN223" s="1057"/>
      <c r="BO223" s="1057"/>
      <c r="BP223" s="1057"/>
      <c r="BQ223" s="1057"/>
      <c r="BR223" s="1057"/>
      <c r="BS223" s="1057"/>
      <c r="BT223" s="1057"/>
      <c r="BU223" s="1057"/>
      <c r="BV223" s="1909">
        <f>비용집행계획!BQ17</f>
        <v>0.5</v>
      </c>
      <c r="BW223" s="1909">
        <f>비용집행계획!BR17</f>
        <v>0.3</v>
      </c>
      <c r="BX223" s="1909">
        <f>비용집행계획!BS17</f>
        <v>0.2</v>
      </c>
      <c r="BY223" s="2354" t="str">
        <f t="shared" si="245"/>
        <v>도시형생활주택</v>
      </c>
      <c r="BZ223" s="2355"/>
      <c r="CA223" s="1083"/>
      <c r="CB223" s="1084"/>
    </row>
    <row r="224" spans="1:83" s="1082" customFormat="1">
      <c r="B224" s="1085" t="s">
        <v>120</v>
      </c>
      <c r="C224" s="1901"/>
      <c r="D224" s="1060">
        <f>Equity!H9</f>
        <v>0.1</v>
      </c>
      <c r="E224" s="1061">
        <f>분양개요!$O$10*D224</f>
        <v>0</v>
      </c>
      <c r="F224" s="1062" t="b">
        <f t="shared" ref="F224:F232" si="276">CA224</f>
        <v>1</v>
      </c>
      <c r="G224" s="1056"/>
      <c r="H224" s="1057"/>
      <c r="I224" s="1057"/>
      <c r="J224" s="1057"/>
      <c r="K224" s="1057">
        <f t="shared" ref="K224:AP224" si="277">$E$224*K21</f>
        <v>0</v>
      </c>
      <c r="L224" s="1057">
        <f t="shared" si="277"/>
        <v>0</v>
      </c>
      <c r="M224" s="1057">
        <f t="shared" si="277"/>
        <v>0</v>
      </c>
      <c r="N224" s="1057">
        <f t="shared" si="277"/>
        <v>0</v>
      </c>
      <c r="O224" s="1057">
        <f t="shared" si="277"/>
        <v>0</v>
      </c>
      <c r="P224" s="1057">
        <f t="shared" si="277"/>
        <v>0</v>
      </c>
      <c r="Q224" s="1057">
        <f t="shared" si="277"/>
        <v>0</v>
      </c>
      <c r="R224" s="1057">
        <f t="shared" si="277"/>
        <v>0</v>
      </c>
      <c r="S224" s="1057">
        <f t="shared" si="277"/>
        <v>0</v>
      </c>
      <c r="T224" s="1057">
        <f t="shared" si="277"/>
        <v>0</v>
      </c>
      <c r="U224" s="1057">
        <f t="shared" si="277"/>
        <v>0</v>
      </c>
      <c r="V224" s="1057">
        <f t="shared" si="277"/>
        <v>0</v>
      </c>
      <c r="W224" s="1057">
        <f t="shared" si="277"/>
        <v>0</v>
      </c>
      <c r="X224" s="1057">
        <f t="shared" si="277"/>
        <v>0</v>
      </c>
      <c r="Y224" s="1057">
        <f t="shared" si="277"/>
        <v>0</v>
      </c>
      <c r="Z224" s="1057">
        <f t="shared" si="277"/>
        <v>0</v>
      </c>
      <c r="AA224" s="1057">
        <f t="shared" si="277"/>
        <v>0</v>
      </c>
      <c r="AB224" s="1057">
        <f t="shared" si="277"/>
        <v>0</v>
      </c>
      <c r="AC224" s="1057">
        <f t="shared" si="277"/>
        <v>0</v>
      </c>
      <c r="AD224" s="1057">
        <f t="shared" si="277"/>
        <v>0</v>
      </c>
      <c r="AE224" s="1057">
        <f t="shared" si="277"/>
        <v>0</v>
      </c>
      <c r="AF224" s="1057">
        <f t="shared" si="277"/>
        <v>0</v>
      </c>
      <c r="AG224" s="1057">
        <f t="shared" si="277"/>
        <v>0</v>
      </c>
      <c r="AH224" s="1057">
        <f t="shared" si="277"/>
        <v>0</v>
      </c>
      <c r="AI224" s="1057">
        <f t="shared" si="277"/>
        <v>0</v>
      </c>
      <c r="AJ224" s="1057">
        <f t="shared" si="277"/>
        <v>0</v>
      </c>
      <c r="AK224" s="1057">
        <f t="shared" si="277"/>
        <v>0</v>
      </c>
      <c r="AL224" s="1057">
        <f t="shared" si="277"/>
        <v>0</v>
      </c>
      <c r="AM224" s="1057">
        <f t="shared" si="277"/>
        <v>0</v>
      </c>
      <c r="AN224" s="1057">
        <f t="shared" si="277"/>
        <v>0</v>
      </c>
      <c r="AO224" s="1057">
        <f t="shared" si="277"/>
        <v>0</v>
      </c>
      <c r="AP224" s="1057">
        <f t="shared" si="277"/>
        <v>0</v>
      </c>
      <c r="AQ224" s="1057">
        <f t="shared" ref="AQ224:BX224" si="278">$E$224*AQ21</f>
        <v>0</v>
      </c>
      <c r="AR224" s="1057">
        <f t="shared" si="278"/>
        <v>0</v>
      </c>
      <c r="AS224" s="1057">
        <f t="shared" si="278"/>
        <v>0</v>
      </c>
      <c r="AT224" s="1057">
        <f t="shared" si="278"/>
        <v>0</v>
      </c>
      <c r="AU224" s="1057">
        <f t="shared" si="278"/>
        <v>0</v>
      </c>
      <c r="AV224" s="1057">
        <f t="shared" si="278"/>
        <v>0</v>
      </c>
      <c r="AW224" s="1057">
        <f t="shared" si="278"/>
        <v>0</v>
      </c>
      <c r="AX224" s="1057">
        <f t="shared" si="278"/>
        <v>0</v>
      </c>
      <c r="AY224" s="1057">
        <f t="shared" si="278"/>
        <v>0</v>
      </c>
      <c r="AZ224" s="1057">
        <f t="shared" si="278"/>
        <v>0</v>
      </c>
      <c r="BA224" s="1057">
        <f t="shared" si="278"/>
        <v>0</v>
      </c>
      <c r="BB224" s="1057">
        <f t="shared" si="278"/>
        <v>0</v>
      </c>
      <c r="BC224" s="1057">
        <f t="shared" si="278"/>
        <v>0</v>
      </c>
      <c r="BD224" s="1057">
        <f t="shared" si="278"/>
        <v>0</v>
      </c>
      <c r="BE224" s="1057">
        <f t="shared" si="278"/>
        <v>0</v>
      </c>
      <c r="BF224" s="1057">
        <f t="shared" si="278"/>
        <v>0</v>
      </c>
      <c r="BG224" s="1057">
        <f t="shared" si="278"/>
        <v>0</v>
      </c>
      <c r="BH224" s="1057">
        <f t="shared" si="278"/>
        <v>0</v>
      </c>
      <c r="BI224" s="1057">
        <f t="shared" si="278"/>
        <v>0</v>
      </c>
      <c r="BJ224" s="1057">
        <f t="shared" si="278"/>
        <v>0</v>
      </c>
      <c r="BK224" s="1057">
        <f t="shared" si="278"/>
        <v>0</v>
      </c>
      <c r="BL224" s="1057">
        <f t="shared" si="278"/>
        <v>0</v>
      </c>
      <c r="BM224" s="1057">
        <f t="shared" si="278"/>
        <v>0</v>
      </c>
      <c r="BN224" s="1057">
        <f t="shared" si="278"/>
        <v>0</v>
      </c>
      <c r="BO224" s="1057">
        <f t="shared" si="278"/>
        <v>0</v>
      </c>
      <c r="BP224" s="1057">
        <f t="shared" si="278"/>
        <v>0</v>
      </c>
      <c r="BQ224" s="1057">
        <f t="shared" si="278"/>
        <v>0</v>
      </c>
      <c r="BR224" s="1057">
        <f t="shared" si="278"/>
        <v>0</v>
      </c>
      <c r="BS224" s="1057">
        <f t="shared" si="278"/>
        <v>0</v>
      </c>
      <c r="BT224" s="1057">
        <f t="shared" si="278"/>
        <v>0</v>
      </c>
      <c r="BU224" s="1057">
        <f t="shared" si="278"/>
        <v>0</v>
      </c>
      <c r="BV224" s="1057">
        <f t="shared" si="278"/>
        <v>0</v>
      </c>
      <c r="BW224" s="1057">
        <f t="shared" si="278"/>
        <v>0</v>
      </c>
      <c r="BX224" s="1057">
        <f t="shared" si="278"/>
        <v>0</v>
      </c>
      <c r="BY224" s="1064" t="str">
        <f t="shared" si="245"/>
        <v>계약금</v>
      </c>
      <c r="BZ224" s="1065">
        <f t="shared" ref="BZ224:BZ232" si="279">SUM(G224:BX224)</f>
        <v>0</v>
      </c>
      <c r="CA224" s="1066" t="b">
        <f t="shared" ref="CA224:CA232" si="280">ROUND(BZ224,0)=ROUND(E224,0)</f>
        <v>1</v>
      </c>
      <c r="CB224" s="1084"/>
    </row>
    <row r="225" spans="1:80" s="1082" customFormat="1">
      <c r="A225">
        <v>1</v>
      </c>
      <c r="B225" s="1067">
        <v>1</v>
      </c>
      <c r="C225" s="1898"/>
      <c r="D225" s="1060">
        <f>IF(B225&lt;Equity!$D$30+1,Equity!$I$9/Equity!$D$30,0)</f>
        <v>9.9999999999999992E-2</v>
      </c>
      <c r="E225" s="1061">
        <f>분양개요!$O$10*D225</f>
        <v>0</v>
      </c>
      <c r="F225" s="1062" t="b">
        <f t="shared" si="276"/>
        <v>1</v>
      </c>
      <c r="G225" s="1056"/>
      <c r="H225" s="1057"/>
      <c r="I225" s="1057"/>
      <c r="J225" s="1057"/>
      <c r="K225" s="1057">
        <f>IF(SUM(J$20:$N20)&lt;$A$226,0,(K22*$E$226)-SUM(J$225:$N225))</f>
        <v>0</v>
      </c>
      <c r="L225" s="1057">
        <f>IF(SUM(K$20:$N20)&lt;$A$226,0,(L22*$E$226)-SUM(K$225:$N225))</f>
        <v>0</v>
      </c>
      <c r="M225" s="1057">
        <f>IF(SUM(L$20:$N20)&lt;$A$226,0,(M22*$E$226)-SUM(L$225:$N225))</f>
        <v>0</v>
      </c>
      <c r="N225" s="1057">
        <f>IF(SUM(M$20:$N20)&lt;$A$226,0,(N22*$E$226)-SUM(M$225:$N225))</f>
        <v>0</v>
      </c>
      <c r="O225" s="1057">
        <f>IF(SUM($N$20:N20)&lt;$A$226,0,(O22*$E$226)-SUM($N$225:N225))</f>
        <v>0</v>
      </c>
      <c r="P225" s="1057">
        <f>IF(SUM($N$20:O20)&lt;$A$226,0,(P22*$E$226)-SUM($N$225:O225))</f>
        <v>0</v>
      </c>
      <c r="Q225" s="1057">
        <f>IF(SUM($N$20:P20)&lt;$A$226,0,(Q22*$E$226)-SUM($N$225:P225))</f>
        <v>0</v>
      </c>
      <c r="R225" s="1057">
        <f>IF(SUM($N$20:Q20)&lt;$A$226,0,(R22*$E$226)-SUM($N$225:Q225))</f>
        <v>0</v>
      </c>
      <c r="S225" s="1057">
        <f>IF(SUM($N$20:R20)&lt;$A$226,0,(S22*$E$226)-SUM($N$225:R225))</f>
        <v>0</v>
      </c>
      <c r="T225" s="1057">
        <f>IF(SUM($N$20:S20)&lt;$A$226,0,(T22*$E$226)-SUM($N$225:S225))</f>
        <v>0</v>
      </c>
      <c r="U225" s="1057">
        <f>IF(SUM($N$20:T20)&lt;$A$226,0,(U22*$E$226)-SUM($N$225:T225))</f>
        <v>0</v>
      </c>
      <c r="V225" s="1057">
        <f>IF(SUM($N$20:U20)&lt;$A$226,0,(V22*$E$226)-SUM($N$225:U225))</f>
        <v>0</v>
      </c>
      <c r="W225" s="1057">
        <f>IF(SUM($N$20:V20)&lt;$A$226,0,(W22*$E$226)-SUM($N$225:V225))</f>
        <v>0</v>
      </c>
      <c r="X225" s="1057">
        <f>IF(SUM($N$20:W20)&lt;$A$226,0,(X22*$E$226)-SUM($N$225:W225))</f>
        <v>0</v>
      </c>
      <c r="Y225" s="1057">
        <f>IF(SUM($N$20:X20)&lt;$A$226,0,(Y22*$E$226)-SUM($N$225:X225))</f>
        <v>0</v>
      </c>
      <c r="Z225" s="1057">
        <f>IF(SUM($N$20:Y20)&lt;$A$226,0,(Z22*$E$226)-SUM($N$225:Y225))</f>
        <v>0</v>
      </c>
      <c r="AA225" s="1057">
        <f>IF(SUM($N$20:Z20)&lt;$A$226,0,(AA22*$E$226)-SUM($N$225:Z225))</f>
        <v>0</v>
      </c>
      <c r="AB225" s="1057">
        <f>IF(SUM($N$20:AA20)&lt;$A$226,0,(AB22*$E$226)-SUM($N$225:AA225))</f>
        <v>0</v>
      </c>
      <c r="AC225" s="1057">
        <f>IF(SUM($N$20:AB20)&lt;$A$226,0,(AC22*$E$226)-SUM($N$225:AB225))</f>
        <v>0</v>
      </c>
      <c r="AD225" s="1057">
        <f>IF(SUM($N$20:AC20)&lt;$A$226,0,(AD22*$E$226)-SUM($N$225:AC225))</f>
        <v>0</v>
      </c>
      <c r="AE225" s="1057">
        <f>IF(SUM($N$20:AD20)&lt;$A$226,0,(AE22*$E$226)-SUM($N$225:AD225))</f>
        <v>0</v>
      </c>
      <c r="AF225" s="1057">
        <f>IF(SUM($N$20:AE20)&lt;$A$226,0,(AF22*$E$226)-SUM($N$225:AE225))</f>
        <v>0</v>
      </c>
      <c r="AG225" s="1057">
        <f>IF(SUM($N$20:AF20)&lt;$A$226,0,(AG22*$E$226)-SUM($N$225:AF225))</f>
        <v>0</v>
      </c>
      <c r="AH225" s="1057">
        <f>IF(SUM($N$20:AG20)&lt;$A$226,0,(AH22*$E$226)-SUM($N$225:AG225))</f>
        <v>0</v>
      </c>
      <c r="AI225" s="1057">
        <f>IF(SUM($N$20:AH20)&lt;$A$226,0,(AI22*$E$226)-SUM($N$225:AH225))</f>
        <v>0</v>
      </c>
      <c r="AJ225" s="1057">
        <f>IF(SUM($N$20:AI20)&lt;$A$226,0,(AJ22*$E$226)-SUM($N$225:AI225))</f>
        <v>0</v>
      </c>
      <c r="AK225" s="1057">
        <f>IF(SUM($N$20:AJ20)&lt;$A$226,0,(AK22*$E$226)-SUM($N$225:AJ225))</f>
        <v>0</v>
      </c>
      <c r="AL225" s="1057">
        <f>IF(SUM($N$20:AK20)&lt;$A$226,0,(AL22*$E$226)-SUM($N$225:AK225))</f>
        <v>0</v>
      </c>
      <c r="AM225" s="1057">
        <f>IF(SUM($N$20:AL20)&lt;$A$226,0,(AM22*$E$226)-SUM($N$225:AL225))</f>
        <v>0</v>
      </c>
      <c r="AN225" s="1057">
        <f>IF(SUM($N$20:AM20)&lt;$A$226,0,(AN22*$E$226)-SUM($N$225:AM225))</f>
        <v>0</v>
      </c>
      <c r="AO225" s="1057">
        <f>IF(SUM($N$20:AN20)&lt;$A$226,0,(AO22*$E$226)-SUM($N$225:AN225))</f>
        <v>0</v>
      </c>
      <c r="AP225" s="1057">
        <f>IF(SUM($N$20:AO20)&lt;$A$226,0,(AP22*$E$226)-SUM($N$225:AO225))</f>
        <v>0</v>
      </c>
      <c r="AQ225" s="1057">
        <f>IF(SUM($N$20:AP20)&lt;$A$226,0,(AQ22*$E$226)-SUM($N$225:AP225))</f>
        <v>0</v>
      </c>
      <c r="AR225" s="1057">
        <f>IF(SUM($N$20:AQ20)&lt;$A$226,0,(AR22*$E$226)-SUM($N$225:AQ225))</f>
        <v>0</v>
      </c>
      <c r="AS225" s="1057">
        <f>IF(SUM($N$20:AR20)&lt;$A$226,0,(AS22*$E$226)-SUM($N$225:AR225))</f>
        <v>0</v>
      </c>
      <c r="AT225" s="1057">
        <f>IF(SUM($N$20:AS20)&lt;$A$226,0,(AT22*$E$226)-SUM($N$225:AS225))</f>
        <v>0</v>
      </c>
      <c r="AU225" s="1057">
        <f>IF(SUM($N$20:AT20)&lt;$A$226,0,(AU22*$E$226)-SUM($N$225:AT225))</f>
        <v>0</v>
      </c>
      <c r="AV225" s="1057">
        <f>IF(SUM($N$20:AU20)&lt;$A$226,0,(AV22*$E$226)-SUM($N$225:AU225))</f>
        <v>0</v>
      </c>
      <c r="AW225" s="1057">
        <f>IF(SUM($N$20:AV20)&lt;$A$226,0,(AW22*$E$226)-SUM($N$225:AV225))</f>
        <v>0</v>
      </c>
      <c r="AX225" s="1057">
        <f>IF(SUM($N$20:AW20)&lt;$A$226,0,(AX22*$E$226)-SUM($N$225:AW225))</f>
        <v>0</v>
      </c>
      <c r="AY225" s="1057">
        <f>IF(SUM($N$20:AX20)&lt;$A$226,0,(AY22*$E$226)-SUM($N$225:AX225))</f>
        <v>0</v>
      </c>
      <c r="AZ225" s="1057">
        <f>IF(SUM($N$20:AY20)&lt;$A$226,0,(AZ22*$E$226)-SUM($N$225:AY225))</f>
        <v>0</v>
      </c>
      <c r="BA225" s="1057">
        <f>IF(SUM($N$20:AZ20)&lt;$A$226,0,(BA22*$E$226)-SUM($N$225:AZ225))</f>
        <v>0</v>
      </c>
      <c r="BB225" s="1057">
        <f>IF(SUM($N$20:BA20)&lt;$A$226,0,(BB22*$E$226)-SUM($N$225:BA225))</f>
        <v>0</v>
      </c>
      <c r="BC225" s="1057">
        <f>IF(SUM($N$20:BB20)&lt;$A$226,0,(BC22*$E$226)-SUM($N$225:BB225))</f>
        <v>0</v>
      </c>
      <c r="BD225" s="1057">
        <f>IF(SUM($N$20:BC20)&lt;$A$226,0,(BD22*$E$226)-SUM($N$225:BC225))</f>
        <v>0</v>
      </c>
      <c r="BE225" s="1057">
        <f>IF(SUM($N$20:BD20)&lt;$A$226,0,(BE22*$E$226)-SUM($N$225:BD225))</f>
        <v>0</v>
      </c>
      <c r="BF225" s="1057">
        <f>IF(SUM($N$20:BE20)&lt;$A$226,0,(BF22*$E$226)-SUM($N$225:BE225))</f>
        <v>0</v>
      </c>
      <c r="BG225" s="1057">
        <f>IF(SUM($N$20:BF20)&lt;$A$226,0,(BG22*$E$226)-SUM($N$225:BF225))</f>
        <v>0</v>
      </c>
      <c r="BH225" s="1057">
        <f>IF(SUM($N$20:BG20)&lt;$A$226,0,(BH22*$E$226)-SUM($N$225:BG225))</f>
        <v>0</v>
      </c>
      <c r="BI225" s="1057">
        <f>IF(SUM($N$20:BH20)&lt;$A$226,0,(BI22*$E$226)-SUM($N$225:BH225))</f>
        <v>0</v>
      </c>
      <c r="BJ225" s="1057">
        <f>IF(SUM($N$20:BI20)&lt;$A$226,0,(BJ22*$E$226)-SUM($N$225:BI225))</f>
        <v>0</v>
      </c>
      <c r="BK225" s="1057">
        <f>IF(SUM($N$20:BJ20)&lt;$A$226,0,(BK22*$E$226)-SUM($N$225:BJ225))</f>
        <v>0</v>
      </c>
      <c r="BL225" s="1057">
        <f>IF(SUM($N$20:BK20)&lt;$A$226,0,(BL22*$E$226)-SUM($N$225:BK225))</f>
        <v>0</v>
      </c>
      <c r="BM225" s="1057">
        <f>IF(SUM($N$20:BL20)&lt;$A$226,0,(BM22*$E$226)-SUM($N$225:BL225))</f>
        <v>0</v>
      </c>
      <c r="BN225" s="1057">
        <f>IF(SUM($N$20:BM20)&lt;$A$226,0,(BN22*$E$226)-SUM($N$225:BM225))</f>
        <v>0</v>
      </c>
      <c r="BO225" s="1057">
        <f>IF(SUM($N$20:BN20)&lt;$A$226,0,(BO22*$E$226)-SUM($N$225:BN225))</f>
        <v>0</v>
      </c>
      <c r="BP225" s="1057">
        <f>IF(SUM($N$20:BO20)&lt;$A$226,0,(BP22*$E$226)-SUM($N$225:BO225))</f>
        <v>0</v>
      </c>
      <c r="BQ225" s="1057">
        <f>IF(SUM($N$20:BP20)&lt;$A$226,0,(BQ22*$E$226)-SUM($N$225:BP225))</f>
        <v>0</v>
      </c>
      <c r="BR225" s="1057">
        <f>IF(SUM($N$20:BQ20)&lt;$A$226,0,(BR22*$E$226)-SUM($N$225:BQ225))</f>
        <v>0</v>
      </c>
      <c r="BS225" s="1057">
        <f>IF(SUM($N$20:BR20)&lt;$A$226,0,(BS22*$E$226)-SUM($N$225:BR225))</f>
        <v>0</v>
      </c>
      <c r="BT225" s="1057">
        <f>IF(SUM($N$20:BS20)&lt;$A$226,0,(BT22*$E$226)-SUM($N$225:BS225))</f>
        <v>0</v>
      </c>
      <c r="BU225" s="1057">
        <f>IF(SUM($N$20:BT20)&lt;$A$226,0,(BU22*$E$226)-SUM($N$225:BT225))</f>
        <v>0</v>
      </c>
      <c r="BV225" s="1057">
        <f>IF(SUM($N$20:BU20)&lt;$A$226,0,(BV22*$E$226)-SUM($N$225:BU225))</f>
        <v>0</v>
      </c>
      <c r="BW225" s="1057">
        <f>IF(SUM($N$20:BV20)&lt;$A$226,0,(BW22*$E$226)-SUM($N$225:BV225))</f>
        <v>0</v>
      </c>
      <c r="BX225" s="1057">
        <f>IF(SUM($N$20:BW20)&lt;$A$226,0,(BX22*$E$226)-SUM($N$225:BW225))</f>
        <v>0</v>
      </c>
      <c r="BY225" s="1067">
        <f t="shared" si="245"/>
        <v>1</v>
      </c>
      <c r="BZ225" s="1068">
        <f t="shared" si="279"/>
        <v>0</v>
      </c>
      <c r="CA225" s="1069" t="b">
        <f t="shared" si="280"/>
        <v>1</v>
      </c>
      <c r="CB225" s="1084"/>
    </row>
    <row r="226" spans="1:80" s="1082" customFormat="1">
      <c r="A226" s="398">
        <v>3</v>
      </c>
      <c r="B226" s="1067">
        <v>2</v>
      </c>
      <c r="C226" s="1898"/>
      <c r="D226" s="1060">
        <f>IF(B226&lt;Equity!$D$30+1,Equity!$I$9/Equity!$D$30,0)</f>
        <v>9.9999999999999992E-2</v>
      </c>
      <c r="E226" s="1061">
        <f>분양개요!$O$10*D226</f>
        <v>0</v>
      </c>
      <c r="F226" s="1062" t="b">
        <f t="shared" si="276"/>
        <v>1</v>
      </c>
      <c r="G226" s="1056"/>
      <c r="H226" s="1057"/>
      <c r="I226" s="1057"/>
      <c r="J226" s="1057"/>
      <c r="K226" s="1057">
        <f>IF(SUM(K$20:$O20)&lt;$A$226,0,(K22*$E$226)-SUM(J$226:$M226))</f>
        <v>0</v>
      </c>
      <c r="L226" s="1057">
        <f>IF(SUM(L$20:$O20)&lt;$A$226,0,(L22*$E$226)-SUM(K$226:$M226))</f>
        <v>0</v>
      </c>
      <c r="M226" s="1057">
        <f>IF(SUM(M$20:$O20)&lt;$A$226,0,(M22*$E$226)-SUM(L$226:$M226))</f>
        <v>0</v>
      </c>
      <c r="N226" s="1057">
        <f>IF(SUM(N$20:$O20)&lt;$A$226,0,(N22*$E$226)-SUM($M$226:M226))</f>
        <v>0</v>
      </c>
      <c r="O226" s="1057">
        <f>IF(SUM($O$20:O20)&lt;$A$226,0,(O22*$E$226)-SUM($M$226:N226))</f>
        <v>0</v>
      </c>
      <c r="P226" s="1057">
        <f>IF(SUM($O$20:P20)&lt;$A$226,0,(P22*$E$226)-SUM($M$226:O226))</f>
        <v>0</v>
      </c>
      <c r="Q226" s="1057">
        <f>IF(SUM($O$20:Q20)&lt;$A$226,0,(Q22*$E$226)-SUM($M$226:P226))</f>
        <v>0</v>
      </c>
      <c r="R226" s="1057">
        <f>IF(SUM($O$20:R20)&lt;$A$226,0,(R22*$E$226)-SUM($M$226:Q226))</f>
        <v>0</v>
      </c>
      <c r="S226" s="1057">
        <f>IF(SUM($O$20:S20)&lt;$A$226,0,(S22*$E$226)-SUM($M$226:R226))</f>
        <v>0</v>
      </c>
      <c r="T226" s="1057">
        <f>IF(SUM($O$20:T20)&lt;$A$226,0,(T22*$E$226)-SUM($M$226:S226))</f>
        <v>0</v>
      </c>
      <c r="U226" s="1057">
        <f>IF(SUM($O$20:U20)&lt;$A$226,0,(U22*$E$226)-SUM($M$226:T226))</f>
        <v>0</v>
      </c>
      <c r="V226" s="1057">
        <f>IF(SUM($O$20:V20)&lt;$A$226,0,(V22*$E$226)-SUM($M$226:U226))</f>
        <v>0</v>
      </c>
      <c r="W226" s="1057">
        <f>IF(SUM($O$20:W20)&lt;$A$226,0,(W22*$E$226)-SUM($M$226:V226))</f>
        <v>0</v>
      </c>
      <c r="X226" s="1057">
        <f>IF(SUM($O$20:X20)&lt;$A$226,0,(X22*$E$226)-SUM($M$226:W226))</f>
        <v>0</v>
      </c>
      <c r="Y226" s="1057">
        <f>IF(SUM($O$20:Y20)&lt;$A$226,0,(Y22*$E$226)-SUM($M$226:X226))</f>
        <v>0</v>
      </c>
      <c r="Z226" s="1057">
        <f>IF(SUM($O$20:Z20)&lt;$A$226,0,(Z22*$E$226)-SUM($M$226:Y226))</f>
        <v>0</v>
      </c>
      <c r="AA226" s="1057">
        <f>IF(SUM($O$20:AA20)&lt;$A$226,0,(AA22*$E$226)-SUM($M$226:Z226))</f>
        <v>0</v>
      </c>
      <c r="AB226" s="1057">
        <f>IF(SUM($O$20:AB20)&lt;$A$226,0,(AB22*$E$226)-SUM($M$226:AA226))</f>
        <v>0</v>
      </c>
      <c r="AC226" s="1057">
        <f>IF(SUM($O$20:AC20)&lt;$A$226,0,(AC22*$E$226)-SUM($M$226:AB226))</f>
        <v>0</v>
      </c>
      <c r="AD226" s="1057">
        <f>IF(SUM($O$20:AD20)&lt;$A$226,0,(AD22*$E$226)-SUM($M$226:AC226))</f>
        <v>0</v>
      </c>
      <c r="AE226" s="1057">
        <f>IF(SUM($O$20:AE20)&lt;$A$226,0,(AE22*$E$226)-SUM($M$226:AD226))</f>
        <v>0</v>
      </c>
      <c r="AF226" s="1057">
        <f>IF(SUM($O$20:AF20)&lt;$A$226,0,(AF22*$E$226)-SUM($M$226:AE226))</f>
        <v>0</v>
      </c>
      <c r="AG226" s="1057">
        <f>IF(SUM($O$20:AG20)&lt;$A$226,0,(AG22*$E$226)-SUM($M$226:AF226))</f>
        <v>0</v>
      </c>
      <c r="AH226" s="1057">
        <f>IF(SUM($O$20:AH20)&lt;$A$226,0,(AH22*$E$226)-SUM($M$226:AG226))</f>
        <v>0</v>
      </c>
      <c r="AI226" s="1057">
        <f>IF(SUM($O$20:AI20)&lt;$A$226,0,(AI22*$E$226)-SUM($M$226:AH226))</f>
        <v>0</v>
      </c>
      <c r="AJ226" s="1057">
        <f>IF(SUM($O$20:AJ20)&lt;$A$226,0,(AJ22*$E$226)-SUM($M$226:AI226))</f>
        <v>0</v>
      </c>
      <c r="AK226" s="1057">
        <f>IF(SUM($O$20:AK20)&lt;$A$226,0,(AK22*$E$226)-SUM($M$226:AJ226))</f>
        <v>0</v>
      </c>
      <c r="AL226" s="1057">
        <f>IF(SUM($O$20:AL20)&lt;$A$226,0,(AL22*$E$226)-SUM($M$226:AK226))</f>
        <v>0</v>
      </c>
      <c r="AM226" s="1057">
        <f>IF(SUM($O$20:AM20)&lt;$A$226,0,(AM22*$E$226)-SUM($M$226:AL226))</f>
        <v>0</v>
      </c>
      <c r="AN226" s="1057">
        <f>IF(SUM($O$20:AN20)&lt;$A$226,0,(AN22*$E$226)-SUM($M$226:AM226))</f>
        <v>0</v>
      </c>
      <c r="AO226" s="1057">
        <f>IF(SUM($O$20:AO20)&lt;$A$226,0,(AO22*$E$226)-SUM($M$226:AN226))</f>
        <v>0</v>
      </c>
      <c r="AP226" s="1057">
        <f>IF(SUM($O$20:AP20)&lt;$A$226,0,(AP22*$E$226)-SUM($M$226:AO226))</f>
        <v>0</v>
      </c>
      <c r="AQ226" s="1057">
        <f>IF(SUM($O$20:AQ20)&lt;$A$226,0,(AQ22*$E$226)-SUM($M$226:AP226))</f>
        <v>0</v>
      </c>
      <c r="AR226" s="1057">
        <f>IF(SUM($O$20:AR20)&lt;$A$226,0,(AR22*$E$226)-SUM($M$226:AQ226))</f>
        <v>0</v>
      </c>
      <c r="AS226" s="1057">
        <f>IF(SUM($O$20:AS20)&lt;$A$226,0,(AS22*$E$226)-SUM($M$226:AR226))</f>
        <v>0</v>
      </c>
      <c r="AT226" s="1057">
        <f>IF(SUM($O$20:AT20)&lt;$A$226,0,(AT22*$E$226)-SUM($M$226:AS226))</f>
        <v>0</v>
      </c>
      <c r="AU226" s="1057">
        <f>IF(SUM($O$20:AU20)&lt;$A$226,0,(AU22*$E$226)-SUM($M$226:AT226))</f>
        <v>0</v>
      </c>
      <c r="AV226" s="1057">
        <f>IF(SUM($O$20:AV20)&lt;$A$226,0,(AV22*$E$226)-SUM($M$226:AU226))</f>
        <v>0</v>
      </c>
      <c r="AW226" s="1057">
        <f>IF(SUM($O$20:AW20)&lt;$A$226,0,(AW22*$E$226)-SUM($M$226:AV226))</f>
        <v>0</v>
      </c>
      <c r="AX226" s="1057">
        <f>IF(SUM($O$20:AX20)&lt;$A$226,0,(AX22*$E$226)-SUM($M$226:AW226))</f>
        <v>0</v>
      </c>
      <c r="AY226" s="1057">
        <f>IF(SUM($O$20:AY20)&lt;$A$226,0,(AY22*$E$226)-SUM($M$226:AX226))</f>
        <v>0</v>
      </c>
      <c r="AZ226" s="1057">
        <f>IF(SUM($O$20:AZ20)&lt;$A$226,0,(AZ22*$E$226)-SUM($M$226:AY226))</f>
        <v>0</v>
      </c>
      <c r="BA226" s="1057">
        <f>IF(SUM($O$20:BA20)&lt;$A$226,0,(BA22*$E$226)-SUM($M$226:AZ226))</f>
        <v>0</v>
      </c>
      <c r="BB226" s="1057">
        <f>IF(SUM($O$20:BB20)&lt;$A$226,0,(BB22*$E$226)-SUM($M$226:BA226))</f>
        <v>0</v>
      </c>
      <c r="BC226" s="1057">
        <f>IF(SUM($O$20:BC20)&lt;$A$226,0,(BC22*$E$226)-SUM($M$226:BB226))</f>
        <v>0</v>
      </c>
      <c r="BD226" s="1057">
        <f>IF(SUM($O$20:BD20)&lt;$A$226,0,(BD22*$E$226)-SUM($M$226:BC226))</f>
        <v>0</v>
      </c>
      <c r="BE226" s="1057">
        <f>IF(SUM($O$20:BE20)&lt;$A$226,0,(BE22*$E$226)-SUM($M$226:BD226))</f>
        <v>0</v>
      </c>
      <c r="BF226" s="1057">
        <f>IF(SUM($O$20:BF20)&lt;$A$226,0,(BF22*$E$226)-SUM($M$226:BE226))</f>
        <v>0</v>
      </c>
      <c r="BG226" s="1057">
        <f>IF(SUM($O$20:BG20)&lt;$A$226,0,(BG22*$E$226)-SUM($M$226:BF226))</f>
        <v>0</v>
      </c>
      <c r="BH226" s="1057">
        <f>IF(SUM($O$20:BH20)&lt;$A$226,0,(BH22*$E$226)-SUM($M$226:BG226))</f>
        <v>0</v>
      </c>
      <c r="BI226" s="1057">
        <f>IF(SUM($O$20:BI20)&lt;$A$226,0,(BI22*$E$226)-SUM($M$226:BH226))</f>
        <v>0</v>
      </c>
      <c r="BJ226" s="1057">
        <f>IF(SUM($O$20:BJ20)&lt;$A$226,0,(BJ22*$E$226)-SUM($M$226:BI226))</f>
        <v>0</v>
      </c>
      <c r="BK226" s="1057">
        <f>IF(SUM($O$20:BK20)&lt;$A$226,0,(BK22*$E$226)-SUM($M$226:BJ226))</f>
        <v>0</v>
      </c>
      <c r="BL226" s="1057">
        <f>IF(SUM($O$20:BL20)&lt;$A$226,0,(BL22*$E$226)-SUM($M$226:BK226))</f>
        <v>0</v>
      </c>
      <c r="BM226" s="1057">
        <f>IF(SUM($O$20:BM20)&lt;$A$226,0,(BM22*$E$226)-SUM($M$226:BL226))</f>
        <v>0</v>
      </c>
      <c r="BN226" s="1057">
        <f>IF(SUM($O$20:BN20)&lt;$A$226,0,(BN22*$E$226)-SUM($M$226:BM226))</f>
        <v>0</v>
      </c>
      <c r="BO226" s="1057">
        <f>IF(SUM($O$20:BO20)&lt;$A$226,0,(BO22*$E$226)-SUM($M$226:BN226))</f>
        <v>0</v>
      </c>
      <c r="BP226" s="1057">
        <f>IF(SUM($O$20:BP20)&lt;$A$226,0,(BP22*$E$226)-SUM($M$226:BO226))</f>
        <v>0</v>
      </c>
      <c r="BQ226" s="1057">
        <f>IF(SUM($O$20:BQ20)&lt;$A$226,0,(BQ22*$E$226)-SUM($M$226:BP226))</f>
        <v>0</v>
      </c>
      <c r="BR226" s="1057">
        <f>IF(SUM($O$20:BR20)&lt;$A$226,0,(BR22*$E$226)-SUM($M$226:BQ226))</f>
        <v>0</v>
      </c>
      <c r="BS226" s="1057">
        <f>IF(SUM($O$20:BS20)&lt;$A$226,0,(BS22*$E$226)-SUM($M$226:BR226))</f>
        <v>0</v>
      </c>
      <c r="BT226" s="1057">
        <f>IF(SUM($O$20:BT20)&lt;$A$226,0,(BT22*$E$226)-SUM($M$226:BS226))</f>
        <v>0</v>
      </c>
      <c r="BU226" s="1057">
        <f>IF(SUM($O$20:BU20)&lt;$A$226,0,(BU22*$E$226)-SUM($M$226:BT226))</f>
        <v>0</v>
      </c>
      <c r="BV226" s="1057">
        <f>IF(SUM($O$20:BV20)&lt;$A$226,0,(BV22*$E$226)-SUM($M$226:BU226))</f>
        <v>0</v>
      </c>
      <c r="BW226" s="1057">
        <f>IF(SUM($O$20:BW20)&lt;$A$226,0,(BW22*$E$226)-SUM($M$226:BV226))</f>
        <v>0</v>
      </c>
      <c r="BX226" s="1057">
        <f>IF(SUM($O$20:BX20)&lt;$A$226,0,(BX22*$E$226)-SUM($M$226:BW226))</f>
        <v>0</v>
      </c>
      <c r="BY226" s="1067">
        <f t="shared" si="245"/>
        <v>2</v>
      </c>
      <c r="BZ226" s="1068">
        <f t="shared" si="279"/>
        <v>0</v>
      </c>
      <c r="CA226" s="1069" t="b">
        <f t="shared" si="280"/>
        <v>1</v>
      </c>
      <c r="CB226" s="1084"/>
    </row>
    <row r="227" spans="1:80" s="1082" customFormat="1">
      <c r="A227" s="398">
        <v>6</v>
      </c>
      <c r="B227" s="1067">
        <v>3</v>
      </c>
      <c r="C227" s="1898"/>
      <c r="D227" s="1060">
        <f>IF(B227&lt;Equity!$D$30+1,Equity!$I$9/Equity!$D$30,0)</f>
        <v>9.9999999999999992E-2</v>
      </c>
      <c r="E227" s="1061">
        <f>분양개요!$O$10*D227</f>
        <v>0</v>
      </c>
      <c r="F227" s="1062" t="b">
        <f t="shared" si="276"/>
        <v>1</v>
      </c>
      <c r="G227" s="1056"/>
      <c r="H227" s="1057"/>
      <c r="I227" s="1057"/>
      <c r="J227" s="1057"/>
      <c r="K227" s="1057">
        <f>IF(SUM(J$20:$O20)&lt;$A$227,0,(K22*$E$227)-SUM(J$227:$N227))</f>
        <v>0</v>
      </c>
      <c r="L227" s="1057">
        <f>IF(SUM(K$20:$O20)&lt;$A$227,0,(L22*$E$227)-SUM(K$227:$N227))</f>
        <v>0</v>
      </c>
      <c r="M227" s="1057">
        <f>IF(SUM(L$20:$O20)&lt;$A$227,0,(M22*$E$227)-SUM(L$227:$N227))</f>
        <v>0</v>
      </c>
      <c r="N227" s="1057">
        <f>IF(SUM(M$20:$O20)&lt;$A$227,0,(N22*$E$227)-SUM(M$227:$N227))</f>
        <v>0</v>
      </c>
      <c r="O227" s="1057">
        <f>IF(SUM(N$20:$O20)&lt;$A$227,0,(O22*$E$227)-SUM($N$227:N227))</f>
        <v>0</v>
      </c>
      <c r="P227" s="1057">
        <f>IF(SUM($O$20:O20)&lt;$A$227,0,(P22*$E$227)-SUM($N$227:O227))</f>
        <v>0</v>
      </c>
      <c r="Q227" s="1057">
        <f>IF(SUM($O$20:P20)&lt;$A$227,0,(Q22*$E$227)-SUM($N$227:P227))</f>
        <v>0</v>
      </c>
      <c r="R227" s="1057">
        <f>IF(SUM($O$20:Q20)&lt;$A$227,0,(R22*$E$227)-SUM($N$227:Q227))</f>
        <v>0</v>
      </c>
      <c r="S227" s="1057">
        <f>IF(SUM($O$20:R20)&lt;$A$227,0,(S22*$E$227)-SUM($N$227:R227))</f>
        <v>0</v>
      </c>
      <c r="T227" s="1057">
        <f>IF(SUM($O$20:S20)&lt;$A$227,0,(T22*$E$227)-SUM($N$227:S227))</f>
        <v>0</v>
      </c>
      <c r="U227" s="1057">
        <f>IF(SUM($O$20:T20)&lt;$A$227,0,(U22*$E$227)-SUM($N$227:T227))</f>
        <v>0</v>
      </c>
      <c r="V227" s="1057">
        <f>IF(SUM($O$20:U20)&lt;$A$227,0,(V22*$E$227)-SUM($N$227:U227))</f>
        <v>0</v>
      </c>
      <c r="W227" s="1057">
        <f>IF(SUM($O$20:V20)&lt;$A$227,0,(W22*$E$227)-SUM($N$227:V227))</f>
        <v>0</v>
      </c>
      <c r="X227" s="1057">
        <f>IF(SUM($O$20:W20)&lt;$A$227,0,(X22*$E$227)-SUM($N$227:W227))</f>
        <v>0</v>
      </c>
      <c r="Y227" s="1057">
        <f>IF(SUM($O$20:X20)&lt;$A$227,0,(Y22*$E$227)-SUM($N$227:X227))</f>
        <v>0</v>
      </c>
      <c r="Z227" s="1057">
        <f>IF(SUM($O$20:Y20)&lt;$A$227,0,(Z22*$E$227)-SUM($N$227:Y227))</f>
        <v>0</v>
      </c>
      <c r="AA227" s="1057">
        <f>IF(SUM($O$20:Z20)&lt;$A$227,0,(AA22*$E$227)-SUM($N$227:Z227))</f>
        <v>0</v>
      </c>
      <c r="AB227" s="1057">
        <f>IF(SUM($O$20:AA20)&lt;$A$227,0,(AB22*$E$227)-SUM($N$227:AA227))</f>
        <v>0</v>
      </c>
      <c r="AC227" s="1057">
        <f>IF(SUM($O$20:AB20)&lt;$A$227,0,(AC22*$E$227)-SUM($N$227:AB227))</f>
        <v>0</v>
      </c>
      <c r="AD227" s="1057">
        <f>IF(SUM($O$20:AC20)&lt;$A$227,0,(AD22*$E$227)-SUM($N$227:AC227))</f>
        <v>0</v>
      </c>
      <c r="AE227" s="1057">
        <f>IF(SUM($O$20:AD20)&lt;$A$227,0,(AE22*$E$227)-SUM($N$227:AD227))</f>
        <v>0</v>
      </c>
      <c r="AF227" s="1057">
        <f>IF(SUM($O$20:AE20)&lt;$A$227,0,(AF22*$E$227)-SUM($N$227:AE227))</f>
        <v>0</v>
      </c>
      <c r="AG227" s="1057">
        <f>IF(SUM($O$20:AF20)&lt;$A$227,0,(AG22*$E$227)-SUM($N$227:AF227))</f>
        <v>0</v>
      </c>
      <c r="AH227" s="1057">
        <f>IF(SUM($O$20:AG20)&lt;$A$227,0,(AH22*$E$227)-SUM($N$227:AG227))</f>
        <v>0</v>
      </c>
      <c r="AI227" s="1057">
        <f>IF(SUM($O$20:AH20)&lt;$A$227,0,(AI22*$E$227)-SUM($N$227:AH227))</f>
        <v>0</v>
      </c>
      <c r="AJ227" s="1057">
        <f>IF(SUM($O$20:AI20)&lt;$A$227,0,(AJ22*$E$227)-SUM($N$227:AI227))</f>
        <v>0</v>
      </c>
      <c r="AK227" s="1057">
        <f>IF(SUM($O$20:AJ20)&lt;$A$227,0,(AK22*$E$227)-SUM($N$227:AJ227))</f>
        <v>0</v>
      </c>
      <c r="AL227" s="1057">
        <f>IF(SUM($O$20:AK20)&lt;$A$227,0,(AL22*$E$227)-SUM($N$227:AK227))</f>
        <v>0</v>
      </c>
      <c r="AM227" s="1057">
        <f>IF(SUM($O$20:AL20)&lt;$A$227,0,(AM22*$E$227)-SUM($N$227:AL227))</f>
        <v>0</v>
      </c>
      <c r="AN227" s="1057">
        <f>IF(SUM($O$20:AM20)&lt;$A$227,0,(AN22*$E$227)-SUM($N$227:AM227))</f>
        <v>0</v>
      </c>
      <c r="AO227" s="1057">
        <f>IF(SUM($O$20:AN20)&lt;$A$227,0,(AO22*$E$227)-SUM($N$227:AN227))</f>
        <v>0</v>
      </c>
      <c r="AP227" s="1057">
        <f>IF(SUM($O$20:AO20)&lt;$A$227,0,(AP22*$E$227)-SUM($N$227:AO227))</f>
        <v>0</v>
      </c>
      <c r="AQ227" s="1057">
        <f>IF(SUM($O$20:AP20)&lt;$A$227,0,(AQ22*$E$227)-SUM($N$227:AP227))</f>
        <v>0</v>
      </c>
      <c r="AR227" s="1057">
        <f>IF(SUM($O$20:AQ20)&lt;$A$227,0,(AR22*$E$227)-SUM($N$227:AQ227))</f>
        <v>0</v>
      </c>
      <c r="AS227" s="1057">
        <f>IF(SUM($O$20:AR20)&lt;$A$227,0,(AS22*$E$227)-SUM($N$227:AR227))</f>
        <v>0</v>
      </c>
      <c r="AT227" s="1057">
        <f>IF(SUM($O$20:AS20)&lt;$A$227,0,(AT22*$E$227)-SUM($N$227:AS227))</f>
        <v>0</v>
      </c>
      <c r="AU227" s="1057">
        <f>IF(SUM($O$20:AT20)&lt;$A$227,0,(AU22*$E$227)-SUM($N$227:AT227))</f>
        <v>0</v>
      </c>
      <c r="AV227" s="1057">
        <f>IF(SUM($O$20:AU20)&lt;$A$227,0,(AV22*$E$227)-SUM($N$227:AU227))</f>
        <v>0</v>
      </c>
      <c r="AW227" s="1057">
        <f>IF(SUM($O$20:AV20)&lt;$A$227,0,(AW22*$E$227)-SUM($N$227:AV227))</f>
        <v>0</v>
      </c>
      <c r="AX227" s="1057">
        <f>IF(SUM($O$20:AW20)&lt;$A$227,0,(AX22*$E$227)-SUM($N$227:AW227))</f>
        <v>0</v>
      </c>
      <c r="AY227" s="1057">
        <f>IF(SUM($O$20:AX20)&lt;$A$227,0,(AY22*$E$227)-SUM($N$227:AX227))</f>
        <v>0</v>
      </c>
      <c r="AZ227" s="1057">
        <f>IF(SUM($O$20:AY20)&lt;$A$227,0,(AZ22*$E$227)-SUM($N$227:AY227))</f>
        <v>0</v>
      </c>
      <c r="BA227" s="1057">
        <f>IF(SUM($O$20:AZ20)&lt;$A$227,0,(BA22*$E$227)-SUM($N$227:AZ227))</f>
        <v>0</v>
      </c>
      <c r="BB227" s="1057">
        <f>IF(SUM($O$20:BA20)&lt;$A$227,0,(BB22*$E$227)-SUM($N$227:BA227))</f>
        <v>0</v>
      </c>
      <c r="BC227" s="1057">
        <f>IF(SUM($O$20:BB20)&lt;$A$227,0,(BC22*$E$227)-SUM($N$227:BB227))</f>
        <v>0</v>
      </c>
      <c r="BD227" s="1057">
        <f>IF(SUM($O$20:BC20)&lt;$A$227,0,(BD22*$E$227)-SUM($N$227:BC227))</f>
        <v>0</v>
      </c>
      <c r="BE227" s="1057">
        <f>IF(SUM($O$20:BD20)&lt;$A$227,0,(BE22*$E$227)-SUM($N$227:BD227))</f>
        <v>0</v>
      </c>
      <c r="BF227" s="1057">
        <f>IF(SUM($O$20:BE20)&lt;$A$227,0,(BF22*$E$227)-SUM($N$227:BE227))</f>
        <v>0</v>
      </c>
      <c r="BG227" s="1057">
        <f>IF(SUM($O$20:BF20)&lt;$A$227,0,(BG22*$E$227)-SUM($N$227:BF227))</f>
        <v>0</v>
      </c>
      <c r="BH227" s="1057">
        <f>IF(SUM($O$20:BG20)&lt;$A$227,0,(BH22*$E$227)-SUM($N$227:BG227))</f>
        <v>0</v>
      </c>
      <c r="BI227" s="1057">
        <f>IF(SUM($O$20:BH20)&lt;$A$227,0,(BI22*$E$227)-SUM($N$227:BH227))</f>
        <v>0</v>
      </c>
      <c r="BJ227" s="1057">
        <f>IF(SUM($O$20:BI20)&lt;$A$227,0,(BJ22*$E$227)-SUM($N$227:BI227))</f>
        <v>0</v>
      </c>
      <c r="BK227" s="1057">
        <f>IF(SUM($O$20:BJ20)&lt;$A$227,0,(BK22*$E$227)-SUM($N$227:BJ227))</f>
        <v>0</v>
      </c>
      <c r="BL227" s="1057">
        <f>IF(SUM($O$20:BK20)&lt;$A$227,0,(BL22*$E$227)-SUM($N$227:BK227))</f>
        <v>0</v>
      </c>
      <c r="BM227" s="1057">
        <f>IF(SUM($O$20:BL20)&lt;$A$227,0,(BM22*$E$227)-SUM($N$227:BL227))</f>
        <v>0</v>
      </c>
      <c r="BN227" s="1057">
        <f>IF(SUM($O$20:BM20)&lt;$A$227,0,(BN22*$E$227)-SUM($N$227:BM227))</f>
        <v>0</v>
      </c>
      <c r="BO227" s="1057">
        <f>IF(SUM($O$20:BN20)&lt;$A$227,0,(BO22*$E$227)-SUM($N$227:BN227))</f>
        <v>0</v>
      </c>
      <c r="BP227" s="1057">
        <f>IF(SUM($O$20:BO20)&lt;$A$227,0,(BP22*$E$227)-SUM($N$227:BO227))</f>
        <v>0</v>
      </c>
      <c r="BQ227" s="1057">
        <f>IF(SUM($O$20:BP20)&lt;$A$227,0,(BQ22*$E$227)-SUM($N$227:BP227))</f>
        <v>0</v>
      </c>
      <c r="BR227" s="1057">
        <f>IF(SUM($O$20:BQ20)&lt;$A$227,0,(BR22*$E$227)-SUM($N$227:BQ227))</f>
        <v>0</v>
      </c>
      <c r="BS227" s="1057">
        <f>IF(SUM($O$20:BR20)&lt;$A$227,0,(BS22*$E$227)-SUM($N$227:BR227))</f>
        <v>0</v>
      </c>
      <c r="BT227" s="1057">
        <f>IF(SUM($O$20:BS20)&lt;$A$227,0,(BT22*$E$227)-SUM($N$227:BS227))</f>
        <v>0</v>
      </c>
      <c r="BU227" s="1057">
        <f>IF(SUM($O$20:BT20)&lt;$A$227,0,(BU22*$E$227)-SUM($N$227:BT227))</f>
        <v>0</v>
      </c>
      <c r="BV227" s="1057">
        <f>IF(SUM($O$20:BU20)&lt;$A$227,0,(BV22*$E$227)-SUM($N$227:BU227))</f>
        <v>0</v>
      </c>
      <c r="BW227" s="1057">
        <f>IF(SUM($O$20:BV20)&lt;$A$227,0,(BW22*$E$227)-SUM($N$227:BV227))</f>
        <v>0</v>
      </c>
      <c r="BX227" s="1057">
        <f>IF(SUM($O$20:BW20)&lt;$A$227,0,(BX22*$E$227)-SUM($N$227:BW227))</f>
        <v>0</v>
      </c>
      <c r="BY227" s="1067">
        <f t="shared" si="245"/>
        <v>3</v>
      </c>
      <c r="BZ227" s="1068">
        <f t="shared" si="279"/>
        <v>0</v>
      </c>
      <c r="CA227" s="1069" t="b">
        <f t="shared" si="280"/>
        <v>1</v>
      </c>
      <c r="CB227" s="1084"/>
    </row>
    <row r="228" spans="1:80" s="1082" customFormat="1">
      <c r="A228" s="398">
        <v>10</v>
      </c>
      <c r="B228" s="1067">
        <v>4</v>
      </c>
      <c r="C228" s="1898"/>
      <c r="D228" s="1060">
        <f>IF(B228&lt;Equity!$D$30+1,Equity!$I$9/Equity!$D$30,0)</f>
        <v>9.9999999999999992E-2</v>
      </c>
      <c r="E228" s="1061">
        <f>분양개요!$O$10*D228</f>
        <v>0</v>
      </c>
      <c r="F228" s="1062" t="b">
        <f t="shared" si="276"/>
        <v>1</v>
      </c>
      <c r="G228" s="1056"/>
      <c r="H228" s="1057"/>
      <c r="I228" s="1057"/>
      <c r="J228" s="1057"/>
      <c r="K228" s="1057">
        <f>IF(SUM(K$20:$N20)&lt;$A$228,0,(K22*$E$228)-SUM(J$228:$M228))</f>
        <v>0</v>
      </c>
      <c r="L228" s="1057">
        <f>IF(SUM(L$20:$N20)&lt;$A$228,0,(L22*$E$228)-SUM(K$228:$M228))</f>
        <v>0</v>
      </c>
      <c r="M228" s="1057">
        <f>IF(SUM(M$20:$N20)&lt;$A$228,0,(M22*$E$228)-SUM(L$228:$M228))</f>
        <v>0</v>
      </c>
      <c r="N228" s="1057">
        <f>IF(SUM($N$20:N20)&lt;$A$228,0,(N22*$E$228)-SUM($M$228:M228))</f>
        <v>0</v>
      </c>
      <c r="O228" s="1057">
        <f>IF(SUM($N$20:O20)&lt;$A$228,0,(O22*$E$228)-SUM($M$228:N228))</f>
        <v>0</v>
      </c>
      <c r="P228" s="1057">
        <f>IF(SUM($N$20:P20)&lt;$A$228,0,(P22*$E$228)-SUM($M$228:O228))</f>
        <v>0</v>
      </c>
      <c r="Q228" s="1057">
        <f>IF(SUM($N$20:Q20)&lt;$A$228,0,(Q22*$E$228)-SUM($M$228:P228))</f>
        <v>0</v>
      </c>
      <c r="R228" s="1057">
        <f>IF(SUM($N$20:R20)&lt;$A$228,0,(R22*$E$228)-SUM($M$228:Q228))</f>
        <v>0</v>
      </c>
      <c r="S228" s="1057">
        <f>IF(SUM($N$20:S20)&lt;$A$228,0,(S22*$E$228)-SUM($M$228:R228))</f>
        <v>0</v>
      </c>
      <c r="T228" s="1057">
        <f>IF(SUM($N$20:T20)&lt;$A$228,0,(T22*$E$228)-SUM($M$228:S228))</f>
        <v>0</v>
      </c>
      <c r="U228" s="1057">
        <f>IF(SUM($N$20:U20)&lt;$A$228,0,(U22*$E$228)-SUM($M$228:T228))</f>
        <v>0</v>
      </c>
      <c r="V228" s="1057">
        <f>IF(SUM($N$20:V20)&lt;$A$228,0,(V22*$E$228)-SUM($M$228:U228))</f>
        <v>0</v>
      </c>
      <c r="W228" s="1057">
        <f>IF(SUM($N$20:W20)&lt;$A$228,0,(W22*$E$228)-SUM($M$228:V228))</f>
        <v>0</v>
      </c>
      <c r="X228" s="1057">
        <f>IF(SUM($N$20:X20)&lt;$A$228,0,(X22*$E$228)-SUM($M$228:W228))</f>
        <v>0</v>
      </c>
      <c r="Y228" s="1057">
        <f>IF(SUM($N$20:Y20)&lt;$A$228,0,(Y22*$E$228)-SUM($M$228:X228))</f>
        <v>0</v>
      </c>
      <c r="Z228" s="1057">
        <f>IF(SUM($N$20:Z20)&lt;$A$228,0,(Z22*$E$228)-SUM($M$228:Y228))</f>
        <v>0</v>
      </c>
      <c r="AA228" s="1057">
        <f>IF(SUM($N$20:AA20)&lt;$A$228,0,(AA22*$E$228)-SUM($M$228:Z228))</f>
        <v>0</v>
      </c>
      <c r="AB228" s="1057">
        <f>IF(SUM($N$20:AB20)&lt;$A$228,0,(AB22*$E$228)-SUM($M$228:AA228))</f>
        <v>0</v>
      </c>
      <c r="AC228" s="1057">
        <f>IF(SUM($N$20:AC20)&lt;$A$228,0,(AC22*$E$228)-SUM($M$228:AB228))</f>
        <v>0</v>
      </c>
      <c r="AD228" s="1057">
        <f>IF(SUM($N$20:AD20)&lt;$A$228,0,(AD22*$E$228)-SUM($M$228:AC228))</f>
        <v>0</v>
      </c>
      <c r="AE228" s="1057">
        <f>IF(SUM($N$20:AE20)&lt;$A$228,0,(AE22*$E$228)-SUM($M$228:AD228))</f>
        <v>0</v>
      </c>
      <c r="AF228" s="1057">
        <f>IF(SUM($N$20:AF20)&lt;$A$228,0,(AF22*$E$228)-SUM($M$228:AE228))</f>
        <v>0</v>
      </c>
      <c r="AG228" s="1057">
        <f>IF(SUM($N$20:AG20)&lt;$A$228,0,(AG22*$E$228)-SUM($M$228:AF228))</f>
        <v>0</v>
      </c>
      <c r="AH228" s="1057">
        <f>IF(SUM($N$20:AH20)&lt;$A$228,0,(AH22*$E$228)-SUM($M$228:AG228))</f>
        <v>0</v>
      </c>
      <c r="AI228" s="1057">
        <f>IF(SUM($N$20:AI20)&lt;$A$228,0,(AI22*$E$228)-SUM($M$228:AH228))</f>
        <v>0</v>
      </c>
      <c r="AJ228" s="1057">
        <f>IF(SUM($N$20:AJ20)&lt;$A$228,0,(AJ22*$E$228)-SUM($M$228:AI228))</f>
        <v>0</v>
      </c>
      <c r="AK228" s="1057">
        <f>IF(SUM($N$20:AK20)&lt;$A$228,0,(AK22*$E$228)-SUM($M$228:AJ228))</f>
        <v>0</v>
      </c>
      <c r="AL228" s="1057">
        <f>IF(SUM($N$20:AL20)&lt;$A$228,0,(AL22*$E$228)-SUM($M$228:AK228))</f>
        <v>0</v>
      </c>
      <c r="AM228" s="1057">
        <f>IF(SUM($N$20:AM20)&lt;$A$228,0,(AM22*$E$228)-SUM($M$228:AL228))</f>
        <v>0</v>
      </c>
      <c r="AN228" s="1057">
        <f>IF(SUM($N$20:AN20)&lt;$A$228,0,(AN22*$E$228)-SUM($M$228:AM228))</f>
        <v>0</v>
      </c>
      <c r="AO228" s="1057">
        <f>IF(SUM($N$20:AO20)&lt;$A$228,0,(AO22*$E$228)-SUM($M$228:AN228))</f>
        <v>0</v>
      </c>
      <c r="AP228" s="1057">
        <f>IF(SUM($N$20:AP20)&lt;$A$228,0,(AP22*$E$228)-SUM($M$228:AO228))</f>
        <v>0</v>
      </c>
      <c r="AQ228" s="1057">
        <f>IF(SUM($N$20:AQ20)&lt;$A$228,0,(AQ22*$E$228)-SUM($M$228:AP228))</f>
        <v>0</v>
      </c>
      <c r="AR228" s="1057">
        <f>IF(SUM($N$20:AR20)&lt;$A$228,0,(AR22*$E$228)-SUM($M$228:AQ228))</f>
        <v>0</v>
      </c>
      <c r="AS228" s="1057">
        <f>IF(SUM($N$20:AS20)&lt;$A$228,0,(AS22*$E$228)-SUM($M$228:AR228))</f>
        <v>0</v>
      </c>
      <c r="AT228" s="1057">
        <f>IF(SUM($N$20:AT20)&lt;$A$228,0,(AT22*$E$228)-SUM($M$228:AS228))</f>
        <v>0</v>
      </c>
      <c r="AU228" s="1057">
        <f>IF(SUM($N$20:AU20)&lt;$A$228,0,(AU22*$E$228)-SUM($M$228:AT228))</f>
        <v>0</v>
      </c>
      <c r="AV228" s="1057">
        <f>IF(SUM($N$20:AV20)&lt;$A$228,0,(AV22*$E$228)-SUM($M$228:AU228))</f>
        <v>0</v>
      </c>
      <c r="AW228" s="1057">
        <f>IF(SUM($N$20:AW20)&lt;$A$228,0,(AW22*$E$228)-SUM($M$228:AV228))</f>
        <v>0</v>
      </c>
      <c r="AX228" s="1057">
        <f>IF(SUM($N$20:AX20)&lt;$A$228,0,(AX22*$E$228)-SUM($M$228:AW228))</f>
        <v>0</v>
      </c>
      <c r="AY228" s="1057">
        <f>IF(SUM($N$20:AY20)&lt;$A$228,0,(AY22*$E$228)-SUM($M$228:AX228))</f>
        <v>0</v>
      </c>
      <c r="AZ228" s="1057">
        <f>IF(SUM($N$20:AZ20)&lt;$A$228,0,(AZ22*$E$228)-SUM($M$228:AY228))</f>
        <v>0</v>
      </c>
      <c r="BA228" s="1057">
        <f>IF(SUM($N$20:BA20)&lt;$A$228,0,(BA22*$E$228)-SUM($M$228:AZ228))</f>
        <v>0</v>
      </c>
      <c r="BB228" s="1057">
        <f>IF(SUM($N$20:BB20)&lt;$A$228,0,(BB22*$E$228)-SUM($M$228:BA228))</f>
        <v>0</v>
      </c>
      <c r="BC228" s="1057">
        <f>IF(SUM($N$20:BC20)&lt;$A$228,0,(BC22*$E$228)-SUM($M$228:BB228))</f>
        <v>0</v>
      </c>
      <c r="BD228" s="1057">
        <f>IF(SUM($N$20:BD20)&lt;$A$228,0,(BD22*$E$228)-SUM($M$228:BC228))</f>
        <v>0</v>
      </c>
      <c r="BE228" s="1057">
        <f>IF(SUM($N$20:BE20)&lt;$A$228,0,(BE22*$E$228)-SUM($M$228:BD228))</f>
        <v>0</v>
      </c>
      <c r="BF228" s="1057">
        <f>IF(SUM($N$20:BF20)&lt;$A$228,0,(BF22*$E$228)-SUM($M$228:BE228))</f>
        <v>0</v>
      </c>
      <c r="BG228" s="1057">
        <f>IF(SUM($N$20:BG20)&lt;$A$228,0,(BG22*$E$228)-SUM($M$228:BF228))</f>
        <v>0</v>
      </c>
      <c r="BH228" s="1057">
        <f>IF(SUM($N$20:BH20)&lt;$A$228,0,(BH22*$E$228)-SUM($M$228:BG228))</f>
        <v>0</v>
      </c>
      <c r="BI228" s="1057">
        <f>IF(SUM($N$20:BI20)&lt;$A$228,0,(BI22*$E$228)-SUM($M$228:BH228))</f>
        <v>0</v>
      </c>
      <c r="BJ228" s="1057">
        <f>IF(SUM($N$20:BJ20)&lt;$A$228,0,(BJ22*$E$228)-SUM($M$228:BI228))</f>
        <v>0</v>
      </c>
      <c r="BK228" s="1057">
        <f>IF(SUM($N$20:BK20)&lt;$A$228,0,(BK22*$E$228)-SUM($M$228:BJ228))</f>
        <v>0</v>
      </c>
      <c r="BL228" s="1057">
        <f>IF(SUM($N$20:BL20)&lt;$A$228,0,(BL22*$E$228)-SUM($M$228:BK228))</f>
        <v>0</v>
      </c>
      <c r="BM228" s="1057">
        <f>IF(SUM($N$20:BM20)&lt;$A$228,0,(BM22*$E$228)-SUM($M$228:BL228))</f>
        <v>0</v>
      </c>
      <c r="BN228" s="1057">
        <f>IF(SUM($N$20:BN20)&lt;$A$228,0,(BN22*$E$228)-SUM($M$228:BM228))</f>
        <v>0</v>
      </c>
      <c r="BO228" s="1057">
        <f>IF(SUM($N$20:BO20)&lt;$A$228,0,(BO22*$E$228)-SUM($M$228:BN228))</f>
        <v>0</v>
      </c>
      <c r="BP228" s="1057">
        <f>IF(SUM($N$20:BP20)&lt;$A$228,0,(BP22*$E$228)-SUM($M$228:BO228))</f>
        <v>0</v>
      </c>
      <c r="BQ228" s="1057">
        <f>IF(SUM($N$20:BQ20)&lt;$A$228,0,(BQ22*$E$228)-SUM($M$228:BP228))</f>
        <v>0</v>
      </c>
      <c r="BR228" s="1057">
        <f>IF(SUM($N$20:BR20)&lt;$A$228,0,(BR22*$E$228)-SUM($M$228:BQ228))</f>
        <v>0</v>
      </c>
      <c r="BS228" s="1057">
        <f>IF(SUM($N$20:BS20)&lt;$A$228,0,(BS22*$E$228)-SUM($M$228:BR228))</f>
        <v>0</v>
      </c>
      <c r="BT228" s="1057">
        <f>IF(SUM($N$20:BT20)&lt;$A$228,0,(BT22*$E$228)-SUM($M$228:BS228))</f>
        <v>0</v>
      </c>
      <c r="BU228" s="1057">
        <f>IF(SUM($N$20:BU20)&lt;$A$228,0,(BU22*$E$228)-SUM($M$228:BT228))</f>
        <v>0</v>
      </c>
      <c r="BV228" s="1057">
        <f>IF(SUM($N$20:BV20)&lt;$A$228,0,(BV22*$E$228)-SUM($M$228:BU228))</f>
        <v>0</v>
      </c>
      <c r="BW228" s="1057">
        <f>IF(SUM($N$20:BW20)&lt;$A$228,0,(BW22*$E$228)-SUM($M$228:BV228))</f>
        <v>0</v>
      </c>
      <c r="BX228" s="1057">
        <f>IF(SUM($N$20:BX20)&lt;$A$228,0,(BX22*$E$228)-SUM($M$228:BW228))</f>
        <v>0</v>
      </c>
      <c r="BY228" s="1067">
        <f t="shared" si="245"/>
        <v>4</v>
      </c>
      <c r="BZ228" s="1068">
        <f t="shared" si="279"/>
        <v>0</v>
      </c>
      <c r="CA228" s="1069" t="b">
        <f t="shared" si="280"/>
        <v>1</v>
      </c>
      <c r="CB228" s="1084"/>
    </row>
    <row r="229" spans="1:80" s="1082" customFormat="1">
      <c r="A229" s="398">
        <v>15</v>
      </c>
      <c r="B229" s="1067">
        <v>5</v>
      </c>
      <c r="C229" s="1898"/>
      <c r="D229" s="1060">
        <f>IF(B229&lt;Equity!$D$30+1,Equity!$I$9/Equity!$D$30,0)</f>
        <v>9.9999999999999992E-2</v>
      </c>
      <c r="E229" s="1061">
        <f>분양개요!$O$10*D229</f>
        <v>0</v>
      </c>
      <c r="F229" s="1062" t="b">
        <f t="shared" si="276"/>
        <v>1</v>
      </c>
      <c r="G229" s="1056"/>
      <c r="H229" s="1057"/>
      <c r="I229" s="1057"/>
      <c r="J229" s="1057"/>
      <c r="K229" s="1057">
        <f>IF(SUM(K$20:$N20)&lt;$A$229,0,(K22*$E$229)-SUM(J$229:$M229))</f>
        <v>0</v>
      </c>
      <c r="L229" s="1057">
        <f>IF(SUM(L$20:$N20)&lt;$A$229,0,(L22*$E$229)-SUM(K$229:$M229))</f>
        <v>0</v>
      </c>
      <c r="M229" s="1057">
        <f>IF(SUM(M$20:$N20)&lt;$A$229,0,(M22*$E$229)-SUM(L$229:$M229))</f>
        <v>0</v>
      </c>
      <c r="N229" s="1057">
        <f>IF(SUM($N$20:N20)&lt;$A$229,0,(N22*$E$229)-SUM($M$229:M229))</f>
        <v>0</v>
      </c>
      <c r="O229" s="1057">
        <f>IF(SUM($N$20:O20)&lt;$A$229,0,(O22*$E$229)-SUM($M$229:N229))</f>
        <v>0</v>
      </c>
      <c r="P229" s="1057">
        <f>IF(SUM($N$20:P20)&lt;$A$229,0,(P22*$E$229)-SUM($M$229:O229))</f>
        <v>0</v>
      </c>
      <c r="Q229" s="1057">
        <f>IF(SUM($N$20:Q20)&lt;$A$229,0,(Q22*$E$229)-SUM($M$229:P229))</f>
        <v>0</v>
      </c>
      <c r="R229" s="1057">
        <f>IF(SUM($N$20:R20)&lt;$A$229,0,(R22*$E$229)-SUM($M$229:Q229))</f>
        <v>0</v>
      </c>
      <c r="S229" s="1057">
        <f>IF(SUM($N$20:S20)&lt;$A$229,0,(S22*$E$229)-SUM($M$229:R229))</f>
        <v>0</v>
      </c>
      <c r="T229" s="1057">
        <f>IF(SUM($N$20:T20)&lt;$A$229,0,(T22*$E$229)-SUM($M$229:S229))</f>
        <v>0</v>
      </c>
      <c r="U229" s="1057">
        <f>IF(SUM($N$20:U20)&lt;$A$229,0,(U22*$E$229)-SUM($M$229:T229))</f>
        <v>0</v>
      </c>
      <c r="V229" s="1057">
        <f>IF(SUM($N$20:V20)&lt;$A$229,0,(V22*$E$229)-SUM($M$229:U229))</f>
        <v>0</v>
      </c>
      <c r="W229" s="1057">
        <f>IF(SUM($N$20:W20)&lt;$A$229,0,(W22*$E$229)-SUM($M$229:V229))</f>
        <v>0</v>
      </c>
      <c r="X229" s="1057">
        <f>IF(SUM($N$20:X20)&lt;$A$229,0,(X22*$E$229)-SUM($M$229:W229))</f>
        <v>0</v>
      </c>
      <c r="Y229" s="1057">
        <f>IF(SUM($N$20:Y20)&lt;$A$229,0,(Y22*$E$229)-SUM($M$229:X229))</f>
        <v>0</v>
      </c>
      <c r="Z229" s="1057">
        <f>IF(SUM($N$20:Z20)&lt;$A$229,0,(Z22*$E$229)-SUM($M$229:Y229))</f>
        <v>0</v>
      </c>
      <c r="AA229" s="1057">
        <f>IF(SUM($N$20:AA20)&lt;$A$229,0,(AA22*$E$229)-SUM($M$229:Z229))</f>
        <v>0</v>
      </c>
      <c r="AB229" s="1057">
        <f>IF(SUM($N$20:AB20)&lt;$A$229,0,(AB22*$E$229)-SUM($M$229:AA229))</f>
        <v>0</v>
      </c>
      <c r="AC229" s="1057">
        <f>IF(SUM($N$20:AC20)&lt;$A$229,0,(AC22*$E$229)-SUM($M$229:AB229))</f>
        <v>0</v>
      </c>
      <c r="AD229" s="1057">
        <f>IF(SUM($N$20:AD20)&lt;$A$229,0,(AD22*$E$229)-SUM($M$229:AC229))</f>
        <v>0</v>
      </c>
      <c r="AE229" s="1057">
        <f>IF(SUM($N$20:AE20)&lt;$A$229,0,(AE22*$E$229)-SUM($M$229:AD229))</f>
        <v>0</v>
      </c>
      <c r="AF229" s="1057">
        <f>IF(SUM($N$20:AF20)&lt;$A$229,0,(AF22*$E$229)-SUM($M$229:AE229))</f>
        <v>0</v>
      </c>
      <c r="AG229" s="1057">
        <f>IF(SUM($N$20:AG20)&lt;$A$229,0,(AG22*$E$229)-SUM($M$229:AF229))</f>
        <v>0</v>
      </c>
      <c r="AH229" s="1057">
        <f>IF(SUM($N$20:AH20)&lt;$A$229,0,(AH22*$E$229)-SUM($M$229:AG229))</f>
        <v>0</v>
      </c>
      <c r="AI229" s="1057">
        <f>IF(SUM($N$20:AI20)&lt;$A$229,0,(AI22*$E$229)-SUM($M$229:AH229))</f>
        <v>0</v>
      </c>
      <c r="AJ229" s="1057">
        <f>IF(SUM($N$20:AJ20)&lt;$A$229,0,(AJ22*$E$229)-SUM($M$229:AI229))</f>
        <v>0</v>
      </c>
      <c r="AK229" s="1057">
        <f>IF(SUM($N$20:AK20)&lt;$A$229,0,(AK22*$E$229)-SUM($M$229:AJ229))</f>
        <v>0</v>
      </c>
      <c r="AL229" s="1057">
        <f>IF(SUM($N$20:AL20)&lt;$A$229,0,(AL22*$E$229)-SUM($M$229:AK229))</f>
        <v>0</v>
      </c>
      <c r="AM229" s="1057">
        <f>IF(SUM($N$20:AM20)&lt;$A$229,0,(AM22*$E$229)-SUM($M$229:AL229))</f>
        <v>0</v>
      </c>
      <c r="AN229" s="1057">
        <f>IF(SUM($N$20:AN20)&lt;$A$229,0,(AN22*$E$229)-SUM($M$229:AM229))</f>
        <v>0</v>
      </c>
      <c r="AO229" s="1057">
        <f>IF(SUM($N$20:AO20)&lt;$A$229,0,(AO22*$E$229)-SUM($M$229:AN229))</f>
        <v>0</v>
      </c>
      <c r="AP229" s="1057">
        <f>IF(SUM($N$20:AP20)&lt;$A$229,0,(AP22*$E$229)-SUM($M$229:AO229))</f>
        <v>0</v>
      </c>
      <c r="AQ229" s="1057">
        <f>IF(SUM($N$20:AQ20)&lt;$A$229,0,(AQ22*$E$229)-SUM($M$229:AP229))</f>
        <v>0</v>
      </c>
      <c r="AR229" s="1057">
        <f>IF(SUM($N$20:AR20)&lt;$A$229,0,(AR22*$E$229)-SUM($M$229:AQ229))</f>
        <v>0</v>
      </c>
      <c r="AS229" s="1057">
        <f>IF(SUM($N$20:AS20)&lt;$A$229,0,(AS22*$E$229)-SUM($M$229:AR229))</f>
        <v>0</v>
      </c>
      <c r="AT229" s="1057">
        <f>IF(SUM($N$20:AT20)&lt;$A$229,0,(AT22*$E$229)-SUM($M$229:AS229))</f>
        <v>0</v>
      </c>
      <c r="AU229" s="1057">
        <f>IF(SUM($N$20:AU20)&lt;$A$229,0,(AU22*$E$229)-SUM($M$229:AT229))</f>
        <v>0</v>
      </c>
      <c r="AV229" s="1057">
        <f>IF(SUM($N$20:AV20)&lt;$A$229,0,(AV22*$E$229)-SUM($M$229:AU229))</f>
        <v>0</v>
      </c>
      <c r="AW229" s="1057">
        <f>IF(SUM($N$20:AW20)&lt;$A$229,0,(AW22*$E$229)-SUM($M$229:AV229))</f>
        <v>0</v>
      </c>
      <c r="AX229" s="1057">
        <f>IF(SUM($N$20:AX20)&lt;$A$229,0,(AX22*$E$229)-SUM($M$229:AW229))</f>
        <v>0</v>
      </c>
      <c r="AY229" s="1057">
        <f>IF(SUM($N$20:AY20)&lt;$A$229,0,(AY22*$E$229)-SUM($M$229:AX229))</f>
        <v>0</v>
      </c>
      <c r="AZ229" s="1057">
        <f>IF(SUM($N$20:AZ20)&lt;$A$229,0,(AZ22*$E$229)-SUM($M$229:AY229))</f>
        <v>0</v>
      </c>
      <c r="BA229" s="1057">
        <f>IF(SUM($N$20:BA20)&lt;$A$229,0,(BA22*$E$229)-SUM($M$229:AZ229))</f>
        <v>0</v>
      </c>
      <c r="BB229" s="1057">
        <f>IF(SUM($N$20:BB20)&lt;$A$229,0,(BB22*$E$229)-SUM($M$229:BA229))</f>
        <v>0</v>
      </c>
      <c r="BC229" s="1057">
        <f>IF(SUM($N$20:BC20)&lt;$A$229,0,(BC22*$E$229)-SUM($M$229:BB229))</f>
        <v>0</v>
      </c>
      <c r="BD229" s="1057">
        <f>IF(SUM($N$20:BD20)&lt;$A$229,0,(BD22*$E$229)-SUM($M$229:BC229))</f>
        <v>0</v>
      </c>
      <c r="BE229" s="1057">
        <f>IF(SUM($N$20:BE20)&lt;$A$229,0,(BE22*$E$229)-SUM($M$229:BD229))</f>
        <v>0</v>
      </c>
      <c r="BF229" s="1057">
        <f>IF(SUM($N$20:BF20)&lt;$A$229,0,(BF22*$E$229)-SUM($M$229:BE229))</f>
        <v>0</v>
      </c>
      <c r="BG229" s="1057">
        <f>IF(SUM($N$20:BG20)&lt;$A$229,0,(BG22*$E$229)-SUM($M$229:BF229))</f>
        <v>0</v>
      </c>
      <c r="BH229" s="1057">
        <f>IF(SUM($N$20:BH20)&lt;$A$229,0,(BH22*$E$229)-SUM($M$229:BG229))</f>
        <v>0</v>
      </c>
      <c r="BI229" s="1057">
        <f>IF(SUM($N$20:BI20)&lt;$A$229,0,(BI22*$E$229)-SUM($M$229:BH229))</f>
        <v>0</v>
      </c>
      <c r="BJ229" s="1057">
        <f>IF(SUM($N$20:BJ20)&lt;$A$229,0,(BJ22*$E$229)-SUM($M$229:BI229))</f>
        <v>0</v>
      </c>
      <c r="BK229" s="1057">
        <f>IF(SUM($N$20:BK20)&lt;$A$229,0,(BK22*$E$229)-SUM($M$229:BJ229))</f>
        <v>0</v>
      </c>
      <c r="BL229" s="1057">
        <f>IF(SUM($N$20:BL20)&lt;$A$229,0,(BL22*$E$229)-SUM($M$229:BK229))</f>
        <v>0</v>
      </c>
      <c r="BM229" s="1057">
        <f>IF(SUM($N$20:BM20)&lt;$A$229,0,(BM22*$E$229)-SUM($M$229:BL229))</f>
        <v>0</v>
      </c>
      <c r="BN229" s="1057">
        <f>IF(SUM($N$20:BN20)&lt;$A$229,0,(BN22*$E$229)-SUM($M$229:BM229))</f>
        <v>0</v>
      </c>
      <c r="BO229" s="1057">
        <f>IF(SUM($N$20:BO20)&lt;$A$229,0,(BO22*$E$229)-SUM($M$229:BN229))</f>
        <v>0</v>
      </c>
      <c r="BP229" s="1057">
        <f>IF(SUM($N$20:BP20)&lt;$A$229,0,(BP22*$E$229)-SUM($M$229:BO229))</f>
        <v>0</v>
      </c>
      <c r="BQ229" s="1057">
        <f>IF(SUM($N$20:BQ20)&lt;$A$229,0,(BQ22*$E$229)-SUM($M$229:BP229))</f>
        <v>0</v>
      </c>
      <c r="BR229" s="1057">
        <f>IF(SUM($N$20:BR20)&lt;$A$229,0,(BR22*$E$229)-SUM($M$229:BQ229))</f>
        <v>0</v>
      </c>
      <c r="BS229" s="1057">
        <f>IF(SUM($N$20:BS20)&lt;$A$229,0,(BS22*$E$229)-SUM($M$229:BR229))</f>
        <v>0</v>
      </c>
      <c r="BT229" s="1057">
        <f>IF(SUM($N$20:BT20)&lt;$A$229,0,(BT22*$E$229)-SUM($M$229:BS229))</f>
        <v>0</v>
      </c>
      <c r="BU229" s="1057">
        <f>IF(SUM($N$20:BU20)&lt;$A$229,0,(BU22*$E$229)-SUM($M$229:BT229))</f>
        <v>0</v>
      </c>
      <c r="BV229" s="1057">
        <f>IF(SUM($N$20:BV20)&lt;$A$229,0,(BV22*$E$229)-SUM($M$229:BU229))</f>
        <v>0</v>
      </c>
      <c r="BW229" s="1057">
        <f>IF(SUM($N$20:BW20)&lt;$A$229,0,(BW22*$E$229)-SUM($M$229:BV229))</f>
        <v>0</v>
      </c>
      <c r="BX229" s="1057">
        <f>IF(SUM($N$20:BX20)&lt;$A$229,0,(BX22*$E$229)-SUM($M$229:BW229))</f>
        <v>0</v>
      </c>
      <c r="BY229" s="1067">
        <f t="shared" si="245"/>
        <v>5</v>
      </c>
      <c r="BZ229" s="1068">
        <f t="shared" si="279"/>
        <v>0</v>
      </c>
      <c r="CA229" s="1069" t="b">
        <f t="shared" si="280"/>
        <v>1</v>
      </c>
      <c r="CB229" s="1084"/>
    </row>
    <row r="230" spans="1:80" s="1082" customFormat="1">
      <c r="A230" s="398">
        <v>21</v>
      </c>
      <c r="B230" s="1067">
        <v>6</v>
      </c>
      <c r="C230" s="1898"/>
      <c r="D230" s="1060">
        <f>IF(B230&lt;Equity!$D$30+1,Equity!$I$9/Equity!$D$30,0)</f>
        <v>9.9999999999999992E-2</v>
      </c>
      <c r="E230" s="1061">
        <f>분양개요!$O$10*D230</f>
        <v>0</v>
      </c>
      <c r="F230" s="1062" t="b">
        <f t="shared" si="276"/>
        <v>1</v>
      </c>
      <c r="G230" s="1056"/>
      <c r="H230" s="1057"/>
      <c r="I230" s="1057"/>
      <c r="J230" s="1057"/>
      <c r="K230" s="1057">
        <f>IF(SUM(K$20:$N20)&lt;$A$230,0,(K22*$E$230)-SUM(J$230:$M230))</f>
        <v>0</v>
      </c>
      <c r="L230" s="1057">
        <f>IF(SUM(L$20:$N20)&lt;$A$230,0,(L22*$E$230)-SUM(K$230:$M230))</f>
        <v>0</v>
      </c>
      <c r="M230" s="1057">
        <f>IF(SUM(M$20:$N20)&lt;$A$230,0,(M22*$E$230)-SUM(L$230:$M230))</f>
        <v>0</v>
      </c>
      <c r="N230" s="1057">
        <f>IF(SUM($N$20:N20)&lt;$A$230,0,(N22*$E$230)-SUM($M$230:M230))</f>
        <v>0</v>
      </c>
      <c r="O230" s="1057">
        <f>IF(SUM($N$20:O20)&lt;$A$230,0,(O22*$E$230)-SUM($M$230:N230))</f>
        <v>0</v>
      </c>
      <c r="P230" s="1057">
        <f>IF(SUM($N$20:P20)&lt;$A$230,0,(P22*$E$230)-SUM($M$230:O230))</f>
        <v>0</v>
      </c>
      <c r="Q230" s="1057">
        <f>IF(SUM($N$20:Q20)&lt;$A$230,0,(Q22*$E$230)-SUM($M$230:P230))</f>
        <v>0</v>
      </c>
      <c r="R230" s="1057">
        <f>IF(SUM($N$20:R20)&lt;$A$230,0,(R22*$E$230)-SUM($M$230:Q230))</f>
        <v>0</v>
      </c>
      <c r="S230" s="1057">
        <f>IF(SUM($N$20:S20)&lt;$A$230,0,(S22*$E$230)-SUM($M$230:R230))</f>
        <v>0</v>
      </c>
      <c r="T230" s="1057">
        <f>IF(SUM($N$20:T20)&lt;$A$230,0,(T22*$E$230)-SUM($M$230:S230))</f>
        <v>0</v>
      </c>
      <c r="U230" s="1057">
        <f>IF(SUM($N$20:U20)&lt;$A$230,0,(U22*$E$230)-SUM($M$230:T230))</f>
        <v>0</v>
      </c>
      <c r="V230" s="1057">
        <f>IF(SUM($N$20:V20)&lt;$A$230,0,(V22*$E$230)-SUM($M$230:U230))</f>
        <v>0</v>
      </c>
      <c r="W230" s="1057">
        <f>IF(SUM($N$20:W20)&lt;$A$230,0,(W22*$E$230)-SUM($M$230:V230))</f>
        <v>0</v>
      </c>
      <c r="X230" s="1057">
        <f>IF(SUM($N$20:X20)&lt;$A$230,0,(X22*$E$230)-SUM($M$230:W230))</f>
        <v>0</v>
      </c>
      <c r="Y230" s="1057">
        <f>IF(SUM($N$20:Y20)&lt;$A$230,0,(Y22*$E$230)-SUM($M$230:X230))</f>
        <v>0</v>
      </c>
      <c r="Z230" s="1057">
        <f>IF(SUM($N$20:Z20)&lt;$A$230,0,(Z22*$E$230)-SUM($M$230:Y230))</f>
        <v>0</v>
      </c>
      <c r="AA230" s="1057">
        <f>IF(SUM($N$20:AA20)&lt;$A$230,0,(AA22*$E$230)-SUM($M$230:Z230))</f>
        <v>0</v>
      </c>
      <c r="AB230" s="1057">
        <f>IF(SUM($N$20:AB20)&lt;$A$230,0,(AB22*$E$230)-SUM($M$230:AA230))</f>
        <v>0</v>
      </c>
      <c r="AC230" s="1057">
        <f>IF(SUM($N$20:AC20)&lt;$A$230,0,(AC22*$E$230)-SUM($M$230:AB230))</f>
        <v>0</v>
      </c>
      <c r="AD230" s="1057">
        <f>IF(SUM($N$20:AD20)&lt;$A$230,0,(AD22*$E$230)-SUM($M$230:AC230))</f>
        <v>0</v>
      </c>
      <c r="AE230" s="1057">
        <f>IF(SUM($N$20:AE20)&lt;$A$230,0,(AE22*$E$230)-SUM($M$230:AD230))</f>
        <v>0</v>
      </c>
      <c r="AF230" s="1057">
        <f>IF(SUM($N$20:AF20)&lt;$A$230,0,(AF22*$E$230)-SUM($M$230:AE230))</f>
        <v>0</v>
      </c>
      <c r="AG230" s="1057">
        <f>IF(SUM($N$20:AG20)&lt;$A$230,0,(AG22*$E$230)-SUM($M$230:AF230))</f>
        <v>0</v>
      </c>
      <c r="AH230" s="1057">
        <f>IF(SUM($N$20:AH20)&lt;$A$230,0,(AH22*$E$230)-SUM($M$230:AG230))</f>
        <v>0</v>
      </c>
      <c r="AI230" s="1057">
        <f>IF(SUM($N$20:AI20)&lt;$A$230,0,(AI22*$E$230)-SUM($M$230:AH230))</f>
        <v>0</v>
      </c>
      <c r="AJ230" s="1057">
        <f>IF(SUM($N$20:AJ20)&lt;$A$230,0,(AJ22*$E$230)-SUM($M$230:AI230))</f>
        <v>0</v>
      </c>
      <c r="AK230" s="1057">
        <f>IF(SUM($N$20:AK20)&lt;$A$230,0,(AK22*$E$230)-SUM($M$230:AJ230))</f>
        <v>0</v>
      </c>
      <c r="AL230" s="1057">
        <f>IF(SUM($N$20:AL20)&lt;$A$230,0,(AL22*$E$230)-SUM($M$230:AK230))</f>
        <v>0</v>
      </c>
      <c r="AM230" s="1057">
        <f>IF(SUM($N$20:AM20)&lt;$A$230,0,(AM22*$E$230)-SUM($M$230:AL230))</f>
        <v>0</v>
      </c>
      <c r="AN230" s="1057">
        <f>IF(SUM($N$20:AN20)&lt;$A$230,0,(AN22*$E$230)-SUM($M$230:AM230))</f>
        <v>0</v>
      </c>
      <c r="AO230" s="1057">
        <f>IF(SUM($N$20:AO20)&lt;$A$230,0,(AO22*$E$230)-SUM($M$230:AN230))</f>
        <v>0</v>
      </c>
      <c r="AP230" s="1057">
        <f>IF(SUM($N$20:AP20)&lt;$A$230,0,(AP22*$E$230)-SUM($M$230:AO230))</f>
        <v>0</v>
      </c>
      <c r="AQ230" s="1057">
        <f>IF(SUM($N$20:AQ20)&lt;$A$230,0,(AQ22*$E$230)-SUM($M$230:AP230))</f>
        <v>0</v>
      </c>
      <c r="AR230" s="1057">
        <f>IF(SUM($N$20:AR20)&lt;$A$230,0,(AR22*$E$230)-SUM($M$230:AQ230))</f>
        <v>0</v>
      </c>
      <c r="AS230" s="1057">
        <f>IF(SUM($N$20:AS20)&lt;$A$230,0,(AS22*$E$230)-SUM($M$230:AR230))</f>
        <v>0</v>
      </c>
      <c r="AT230" s="1057">
        <f>IF(SUM($N$20:AT20)&lt;$A$230,0,(AT22*$E$230)-SUM($M$230:AS230))</f>
        <v>0</v>
      </c>
      <c r="AU230" s="1057">
        <f>IF(SUM($N$20:AU20)&lt;$A$230,0,(AU22*$E$230)-SUM($M$230:AT230))</f>
        <v>0</v>
      </c>
      <c r="AV230" s="1057">
        <f>IF(SUM($N$20:AV20)&lt;$A$230,0,(AV22*$E$230)-SUM($M$230:AU230))</f>
        <v>0</v>
      </c>
      <c r="AW230" s="1057">
        <f>IF(SUM($N$20:AW20)&lt;$A$230,0,(AW22*$E$230)-SUM($M$230:AV230))</f>
        <v>0</v>
      </c>
      <c r="AX230" s="1057">
        <f>IF(SUM($N$20:AX20)&lt;$A$230,0,(AX22*$E$230)-SUM($M$230:AW230))</f>
        <v>0</v>
      </c>
      <c r="AY230" s="1057">
        <f>IF(SUM($N$20:AY20)&lt;$A$230,0,(AY22*$E$230)-SUM($M$230:AX230))</f>
        <v>0</v>
      </c>
      <c r="AZ230" s="1057">
        <f>IF(SUM($N$20:AZ20)&lt;$A$230,0,(AZ22*$E$230)-SUM($M$230:AY230))</f>
        <v>0</v>
      </c>
      <c r="BA230" s="1057">
        <f>IF(SUM($N$20:BA20)&lt;$A$230,0,(BA22*$E$230)-SUM($M$230:AZ230))</f>
        <v>0</v>
      </c>
      <c r="BB230" s="1057">
        <f>IF(SUM($N$20:BB20)&lt;$A$230,0,(BB22*$E$230)-SUM($M$230:BA230))</f>
        <v>0</v>
      </c>
      <c r="BC230" s="1057">
        <f>IF(SUM($N$20:BC20)&lt;$A$230,0,(BC22*$E$230)-SUM($M$230:BB230))</f>
        <v>0</v>
      </c>
      <c r="BD230" s="1057">
        <f>IF(SUM($N$20:BD20)&lt;$A$230,0,(BD22*$E$230)-SUM($M$230:BC230))</f>
        <v>0</v>
      </c>
      <c r="BE230" s="1057">
        <f>IF(SUM($N$20:BE20)&lt;$A$230,0,(BE22*$E$230)-SUM($M$230:BD230))</f>
        <v>0</v>
      </c>
      <c r="BF230" s="1057">
        <f>IF(SUM($N$20:BF20)&lt;$A$230,0,(BF22*$E$230)-SUM($M$230:BE230))</f>
        <v>0</v>
      </c>
      <c r="BG230" s="1057">
        <f>IF(SUM($N$20:BG20)&lt;$A$230,0,(BG22*$E$230)-SUM($M$230:BF230))</f>
        <v>0</v>
      </c>
      <c r="BH230" s="1057">
        <f>IF(SUM($N$20:BH20)&lt;$A$230,0,(BH22*$E$230)-SUM($M$230:BG230))</f>
        <v>0</v>
      </c>
      <c r="BI230" s="1057">
        <f>IF(SUM($N$20:BI20)&lt;$A$230,0,(BI22*$E$230)-SUM($M$230:BH230))</f>
        <v>0</v>
      </c>
      <c r="BJ230" s="1057">
        <f>IF(SUM($N$20:BJ20)&lt;$A$230,0,(BJ22*$E$230)-SUM($M$230:BI230))</f>
        <v>0</v>
      </c>
      <c r="BK230" s="1057">
        <f>IF(SUM($N$20:BK20)&lt;$A$230,0,(BK22*$E$230)-SUM($M$230:BJ230))</f>
        <v>0</v>
      </c>
      <c r="BL230" s="1057">
        <f>IF(SUM($N$20:BL20)&lt;$A$230,0,(BL22*$E$230)-SUM($M$230:BK230))</f>
        <v>0</v>
      </c>
      <c r="BM230" s="1057">
        <f>IF(SUM($N$20:BM20)&lt;$A$230,0,(BM22*$E$230)-SUM($M$230:BL230))</f>
        <v>0</v>
      </c>
      <c r="BN230" s="1057">
        <f>IF(SUM($N$20:BN20)&lt;$A$230,0,(BN22*$E$230)-SUM($M$230:BM230))</f>
        <v>0</v>
      </c>
      <c r="BO230" s="1057">
        <f>IF(SUM($N$20:BO20)&lt;$A$230,0,(BO22*$E$230)-SUM($M$230:BN230))</f>
        <v>0</v>
      </c>
      <c r="BP230" s="1057">
        <f>IF(SUM($N$20:BP20)&lt;$A$230,0,(BP22*$E$230)-SUM($M$230:BO230))</f>
        <v>0</v>
      </c>
      <c r="BQ230" s="1057">
        <f>IF(SUM($N$20:BQ20)&lt;$A$230,0,(BQ22*$E$230)-SUM($M$230:BP230))</f>
        <v>0</v>
      </c>
      <c r="BR230" s="1057">
        <f>IF(SUM($N$20:BR20)&lt;$A$230,0,(BR22*$E$230)-SUM($M$230:BQ230))</f>
        <v>0</v>
      </c>
      <c r="BS230" s="1057">
        <f>IF(SUM($N$20:BS20)&lt;$A$230,0,(BS22*$E$230)-SUM($M$230:BR230))</f>
        <v>0</v>
      </c>
      <c r="BT230" s="1057">
        <f>IF(SUM($N$20:BT20)&lt;$A$230,0,(BT22*$E$230)-SUM($M$230:BS230))</f>
        <v>0</v>
      </c>
      <c r="BU230" s="1057">
        <f>IF(SUM($N$20:BU20)&lt;$A$230,0,(BU22*$E$230)-SUM($M$230:BT230))</f>
        <v>0</v>
      </c>
      <c r="BV230" s="1057">
        <f>IF(SUM($N$20:BV20)&lt;$A$230,0,(BV22*$E$230)-SUM($M$230:BU230))</f>
        <v>0</v>
      </c>
      <c r="BW230" s="1057">
        <f>IF(SUM($N$20:BW20)&lt;$A$230,0,(BW22*$E$230)-SUM($M$230:BV230))</f>
        <v>0</v>
      </c>
      <c r="BX230" s="1057">
        <f>IF(SUM($N$20:BX20)&lt;$A$230,0,(BX22*$E$230)-SUM($M$230:BW230))</f>
        <v>0</v>
      </c>
      <c r="BY230" s="1067">
        <f t="shared" si="245"/>
        <v>6</v>
      </c>
      <c r="BZ230" s="1068">
        <f t="shared" si="279"/>
        <v>0</v>
      </c>
      <c r="CA230" s="1069" t="b">
        <f t="shared" si="280"/>
        <v>1</v>
      </c>
      <c r="CB230" s="1084"/>
    </row>
    <row r="231" spans="1:80" s="1082" customFormat="1">
      <c r="B231" s="1086" t="s">
        <v>1035</v>
      </c>
      <c r="C231" s="1902"/>
      <c r="D231" s="1060">
        <f>Equity!J9</f>
        <v>0.30000000000000004</v>
      </c>
      <c r="E231" s="1061">
        <f>분양개요!$O$10*D231</f>
        <v>0</v>
      </c>
      <c r="F231" s="1062" t="b">
        <f t="shared" si="276"/>
        <v>1</v>
      </c>
      <c r="G231" s="1056"/>
      <c r="H231" s="1057"/>
      <c r="I231" s="1057"/>
      <c r="J231" s="1057"/>
      <c r="K231" s="1057">
        <f t="shared" ref="K231:AP231" si="281">IF(K7&gt;공사기간,$E$231*K223,0)</f>
        <v>0</v>
      </c>
      <c r="L231" s="1057">
        <f t="shared" si="281"/>
        <v>0</v>
      </c>
      <c r="M231" s="1057">
        <f t="shared" si="281"/>
        <v>0</v>
      </c>
      <c r="N231" s="1057">
        <f t="shared" si="281"/>
        <v>0</v>
      </c>
      <c r="O231" s="1057">
        <f t="shared" si="281"/>
        <v>0</v>
      </c>
      <c r="P231" s="1057">
        <f t="shared" si="281"/>
        <v>0</v>
      </c>
      <c r="Q231" s="1057">
        <f t="shared" si="281"/>
        <v>0</v>
      </c>
      <c r="R231" s="1057">
        <f t="shared" si="281"/>
        <v>0</v>
      </c>
      <c r="S231" s="1057">
        <f t="shared" si="281"/>
        <v>0</v>
      </c>
      <c r="T231" s="1057">
        <f t="shared" si="281"/>
        <v>0</v>
      </c>
      <c r="U231" s="1057">
        <f t="shared" si="281"/>
        <v>0</v>
      </c>
      <c r="V231" s="1057">
        <f t="shared" si="281"/>
        <v>0</v>
      </c>
      <c r="W231" s="1057">
        <f t="shared" si="281"/>
        <v>0</v>
      </c>
      <c r="X231" s="1057">
        <f t="shared" si="281"/>
        <v>0</v>
      </c>
      <c r="Y231" s="1057">
        <f t="shared" si="281"/>
        <v>0</v>
      </c>
      <c r="Z231" s="1057">
        <f t="shared" si="281"/>
        <v>0</v>
      </c>
      <c r="AA231" s="1057">
        <f t="shared" si="281"/>
        <v>0</v>
      </c>
      <c r="AB231" s="1057">
        <f t="shared" si="281"/>
        <v>0</v>
      </c>
      <c r="AC231" s="1057">
        <f t="shared" si="281"/>
        <v>0</v>
      </c>
      <c r="AD231" s="1057">
        <f t="shared" si="281"/>
        <v>0</v>
      </c>
      <c r="AE231" s="1057">
        <f t="shared" si="281"/>
        <v>0</v>
      </c>
      <c r="AF231" s="1057">
        <f t="shared" si="281"/>
        <v>0</v>
      </c>
      <c r="AG231" s="1057">
        <f t="shared" si="281"/>
        <v>0</v>
      </c>
      <c r="AH231" s="1057">
        <f t="shared" si="281"/>
        <v>0</v>
      </c>
      <c r="AI231" s="1057">
        <f t="shared" si="281"/>
        <v>0</v>
      </c>
      <c r="AJ231" s="1057">
        <f t="shared" si="281"/>
        <v>0</v>
      </c>
      <c r="AK231" s="1057">
        <f t="shared" si="281"/>
        <v>0</v>
      </c>
      <c r="AL231" s="1057">
        <f t="shared" si="281"/>
        <v>0</v>
      </c>
      <c r="AM231" s="1057">
        <f t="shared" si="281"/>
        <v>0</v>
      </c>
      <c r="AN231" s="1057">
        <f t="shared" si="281"/>
        <v>0</v>
      </c>
      <c r="AO231" s="1057">
        <f t="shared" si="281"/>
        <v>0</v>
      </c>
      <c r="AP231" s="1057">
        <f t="shared" si="281"/>
        <v>0</v>
      </c>
      <c r="AQ231" s="1057">
        <f t="shared" ref="AQ231:BX231" si="282">IF(AQ7&gt;공사기간,$E$231*AQ223,0)</f>
        <v>0</v>
      </c>
      <c r="AR231" s="1057">
        <f t="shared" si="282"/>
        <v>0</v>
      </c>
      <c r="AS231" s="1057">
        <f t="shared" si="282"/>
        <v>0</v>
      </c>
      <c r="AT231" s="1057">
        <f t="shared" si="282"/>
        <v>0</v>
      </c>
      <c r="AU231" s="1057">
        <f t="shared" si="282"/>
        <v>0</v>
      </c>
      <c r="AV231" s="1057">
        <f t="shared" si="282"/>
        <v>0</v>
      </c>
      <c r="AW231" s="1057">
        <f t="shared" si="282"/>
        <v>0</v>
      </c>
      <c r="AX231" s="1057">
        <f t="shared" si="282"/>
        <v>0</v>
      </c>
      <c r="AY231" s="1057">
        <f t="shared" si="282"/>
        <v>0</v>
      </c>
      <c r="AZ231" s="1057">
        <f t="shared" si="282"/>
        <v>0</v>
      </c>
      <c r="BA231" s="1057">
        <f t="shared" si="282"/>
        <v>0</v>
      </c>
      <c r="BB231" s="1057">
        <f t="shared" si="282"/>
        <v>0</v>
      </c>
      <c r="BC231" s="1057">
        <f t="shared" si="282"/>
        <v>0</v>
      </c>
      <c r="BD231" s="1057">
        <f t="shared" si="282"/>
        <v>0</v>
      </c>
      <c r="BE231" s="1057">
        <f t="shared" si="282"/>
        <v>0</v>
      </c>
      <c r="BF231" s="1057">
        <f t="shared" si="282"/>
        <v>0</v>
      </c>
      <c r="BG231" s="1057">
        <f t="shared" si="282"/>
        <v>0</v>
      </c>
      <c r="BH231" s="1057">
        <f t="shared" si="282"/>
        <v>0</v>
      </c>
      <c r="BI231" s="1057">
        <f t="shared" si="282"/>
        <v>0</v>
      </c>
      <c r="BJ231" s="1057">
        <f t="shared" si="282"/>
        <v>0</v>
      </c>
      <c r="BK231" s="1057">
        <f t="shared" si="282"/>
        <v>0</v>
      </c>
      <c r="BL231" s="1057">
        <f t="shared" si="282"/>
        <v>0</v>
      </c>
      <c r="BM231" s="1057">
        <f t="shared" si="282"/>
        <v>0</v>
      </c>
      <c r="BN231" s="1057">
        <f t="shared" si="282"/>
        <v>0</v>
      </c>
      <c r="BO231" s="1057">
        <f t="shared" si="282"/>
        <v>0</v>
      </c>
      <c r="BP231" s="1057">
        <f t="shared" si="282"/>
        <v>0</v>
      </c>
      <c r="BQ231" s="1057">
        <f t="shared" si="282"/>
        <v>0</v>
      </c>
      <c r="BR231" s="1057">
        <f t="shared" si="282"/>
        <v>0</v>
      </c>
      <c r="BS231" s="1057">
        <f t="shared" si="282"/>
        <v>0</v>
      </c>
      <c r="BT231" s="1057">
        <f t="shared" si="282"/>
        <v>0</v>
      </c>
      <c r="BU231" s="1057">
        <f t="shared" si="282"/>
        <v>0</v>
      </c>
      <c r="BV231" s="1057">
        <f t="shared" si="282"/>
        <v>0</v>
      </c>
      <c r="BW231" s="1057">
        <f t="shared" si="282"/>
        <v>0</v>
      </c>
      <c r="BX231" s="1057">
        <f t="shared" si="282"/>
        <v>0</v>
      </c>
      <c r="BY231" s="1074" t="str">
        <f t="shared" si="245"/>
        <v>잔금</v>
      </c>
      <c r="BZ231" s="1068">
        <f t="shared" si="279"/>
        <v>0</v>
      </c>
      <c r="CA231" s="1069" t="b">
        <f t="shared" si="280"/>
        <v>1</v>
      </c>
      <c r="CB231" s="1084"/>
    </row>
    <row r="232" spans="1:80" s="1082" customFormat="1">
      <c r="B232" s="1085" t="s">
        <v>126</v>
      </c>
      <c r="C232" s="1901"/>
      <c r="D232" s="1060">
        <f>SUM(D224:D231)</f>
        <v>1</v>
      </c>
      <c r="E232" s="1061">
        <f>SUM(E224:E231)</f>
        <v>0</v>
      </c>
      <c r="F232" s="1062" t="b">
        <f t="shared" si="276"/>
        <v>1</v>
      </c>
      <c r="G232" s="1056">
        <f>SUM(G224:G231)</f>
        <v>0</v>
      </c>
      <c r="H232" s="1056">
        <f t="shared" ref="H232:BV232" si="283">SUM(H224:H231)</f>
        <v>0</v>
      </c>
      <c r="I232" s="1056">
        <f t="shared" si="283"/>
        <v>0</v>
      </c>
      <c r="J232" s="1056">
        <f t="shared" si="283"/>
        <v>0</v>
      </c>
      <c r="K232" s="1056">
        <f t="shared" ref="K232:BU232" si="284">SUM(K224:K231)</f>
        <v>0</v>
      </c>
      <c r="L232" s="1056">
        <f t="shared" si="284"/>
        <v>0</v>
      </c>
      <c r="M232" s="1056">
        <f t="shared" si="284"/>
        <v>0</v>
      </c>
      <c r="N232" s="1056">
        <f t="shared" si="284"/>
        <v>0</v>
      </c>
      <c r="O232" s="1056">
        <f t="shared" si="284"/>
        <v>0</v>
      </c>
      <c r="P232" s="1056">
        <f t="shared" si="284"/>
        <v>0</v>
      </c>
      <c r="Q232" s="1056">
        <f t="shared" si="284"/>
        <v>0</v>
      </c>
      <c r="R232" s="1056">
        <f t="shared" si="284"/>
        <v>0</v>
      </c>
      <c r="S232" s="1056">
        <f t="shared" si="284"/>
        <v>0</v>
      </c>
      <c r="T232" s="1056">
        <f t="shared" si="284"/>
        <v>0</v>
      </c>
      <c r="U232" s="1056">
        <f t="shared" si="284"/>
        <v>0</v>
      </c>
      <c r="V232" s="1056">
        <f t="shared" si="284"/>
        <v>0</v>
      </c>
      <c r="W232" s="1056">
        <f t="shared" si="284"/>
        <v>0</v>
      </c>
      <c r="X232" s="1056">
        <f t="shared" si="284"/>
        <v>0</v>
      </c>
      <c r="Y232" s="1056">
        <f t="shared" si="284"/>
        <v>0</v>
      </c>
      <c r="Z232" s="1056">
        <f t="shared" si="284"/>
        <v>0</v>
      </c>
      <c r="AA232" s="1056">
        <f t="shared" si="284"/>
        <v>0</v>
      </c>
      <c r="AB232" s="1056">
        <f t="shared" si="284"/>
        <v>0</v>
      </c>
      <c r="AC232" s="1056">
        <f t="shared" si="284"/>
        <v>0</v>
      </c>
      <c r="AD232" s="1056">
        <f t="shared" si="284"/>
        <v>0</v>
      </c>
      <c r="AE232" s="1056">
        <f t="shared" si="284"/>
        <v>0</v>
      </c>
      <c r="AF232" s="1056">
        <f t="shared" si="284"/>
        <v>0</v>
      </c>
      <c r="AG232" s="1056">
        <f t="shared" si="284"/>
        <v>0</v>
      </c>
      <c r="AH232" s="1056">
        <f t="shared" si="284"/>
        <v>0</v>
      </c>
      <c r="AI232" s="1056">
        <f t="shared" si="284"/>
        <v>0</v>
      </c>
      <c r="AJ232" s="1056">
        <f t="shared" si="284"/>
        <v>0</v>
      </c>
      <c r="AK232" s="1056">
        <f t="shared" si="284"/>
        <v>0</v>
      </c>
      <c r="AL232" s="1056">
        <f t="shared" si="284"/>
        <v>0</v>
      </c>
      <c r="AM232" s="1056">
        <f t="shared" si="284"/>
        <v>0</v>
      </c>
      <c r="AN232" s="1056">
        <f t="shared" si="284"/>
        <v>0</v>
      </c>
      <c r="AO232" s="1056">
        <f t="shared" si="284"/>
        <v>0</v>
      </c>
      <c r="AP232" s="1056">
        <f t="shared" si="284"/>
        <v>0</v>
      </c>
      <c r="AQ232" s="1056">
        <f t="shared" si="284"/>
        <v>0</v>
      </c>
      <c r="AR232" s="1056">
        <f t="shared" si="284"/>
        <v>0</v>
      </c>
      <c r="AS232" s="1056">
        <f t="shared" si="284"/>
        <v>0</v>
      </c>
      <c r="AT232" s="1056">
        <f t="shared" si="284"/>
        <v>0</v>
      </c>
      <c r="AU232" s="1056">
        <f t="shared" si="284"/>
        <v>0</v>
      </c>
      <c r="AV232" s="1056">
        <f t="shared" si="284"/>
        <v>0</v>
      </c>
      <c r="AW232" s="1056">
        <f t="shared" si="284"/>
        <v>0</v>
      </c>
      <c r="AX232" s="1056">
        <f t="shared" si="284"/>
        <v>0</v>
      </c>
      <c r="AY232" s="1056">
        <f t="shared" si="284"/>
        <v>0</v>
      </c>
      <c r="AZ232" s="1056">
        <f t="shared" si="284"/>
        <v>0</v>
      </c>
      <c r="BA232" s="1056">
        <f t="shared" si="284"/>
        <v>0</v>
      </c>
      <c r="BB232" s="1056">
        <f t="shared" si="284"/>
        <v>0</v>
      </c>
      <c r="BC232" s="1056">
        <f t="shared" si="284"/>
        <v>0</v>
      </c>
      <c r="BD232" s="1056">
        <f t="shared" si="284"/>
        <v>0</v>
      </c>
      <c r="BE232" s="1056">
        <f t="shared" si="284"/>
        <v>0</v>
      </c>
      <c r="BF232" s="1056">
        <f t="shared" si="284"/>
        <v>0</v>
      </c>
      <c r="BG232" s="1056">
        <f t="shared" si="284"/>
        <v>0</v>
      </c>
      <c r="BH232" s="1056">
        <f t="shared" si="284"/>
        <v>0</v>
      </c>
      <c r="BI232" s="1056">
        <f t="shared" si="284"/>
        <v>0</v>
      </c>
      <c r="BJ232" s="1056">
        <f t="shared" si="284"/>
        <v>0</v>
      </c>
      <c r="BK232" s="1056">
        <f t="shared" si="284"/>
        <v>0</v>
      </c>
      <c r="BL232" s="1056">
        <f t="shared" si="284"/>
        <v>0</v>
      </c>
      <c r="BM232" s="1056">
        <f t="shared" si="284"/>
        <v>0</v>
      </c>
      <c r="BN232" s="1056">
        <f t="shared" si="284"/>
        <v>0</v>
      </c>
      <c r="BO232" s="1056">
        <f t="shared" si="284"/>
        <v>0</v>
      </c>
      <c r="BP232" s="1056">
        <f t="shared" si="284"/>
        <v>0</v>
      </c>
      <c r="BQ232" s="1056">
        <f t="shared" si="284"/>
        <v>0</v>
      </c>
      <c r="BR232" s="1056">
        <f t="shared" si="284"/>
        <v>0</v>
      </c>
      <c r="BS232" s="1056">
        <f t="shared" si="284"/>
        <v>0</v>
      </c>
      <c r="BT232" s="1056">
        <f t="shared" si="284"/>
        <v>0</v>
      </c>
      <c r="BU232" s="1056">
        <f t="shared" si="284"/>
        <v>0</v>
      </c>
      <c r="BV232" s="1056">
        <f t="shared" si="283"/>
        <v>0</v>
      </c>
      <c r="BW232" s="1056">
        <f t="shared" ref="BW232:BX232" si="285">SUM(BW224:BW231)</f>
        <v>0</v>
      </c>
      <c r="BX232" s="1056">
        <f t="shared" si="285"/>
        <v>0</v>
      </c>
      <c r="BY232" s="1079" t="str">
        <f t="shared" si="245"/>
        <v>합계</v>
      </c>
      <c r="BZ232" s="1080">
        <f t="shared" si="279"/>
        <v>0</v>
      </c>
      <c r="CA232" s="1087" t="b">
        <f t="shared" si="280"/>
        <v>1</v>
      </c>
      <c r="CB232" s="1084"/>
    </row>
    <row r="233" spans="1:80" s="1082" customFormat="1">
      <c r="B233" s="2357" t="str">
        <f>Equity!G10</f>
        <v>지식산업센터</v>
      </c>
      <c r="C233" s="2358"/>
      <c r="D233" s="2358"/>
      <c r="E233" s="2359"/>
      <c r="F233" s="1062"/>
      <c r="G233" s="1056"/>
      <c r="H233" s="1057"/>
      <c r="I233" s="1057"/>
      <c r="J233" s="1057"/>
      <c r="K233" s="1057"/>
      <c r="L233" s="1057"/>
      <c r="M233" s="1057"/>
      <c r="N233" s="1057"/>
      <c r="O233" s="1057"/>
      <c r="P233" s="1057"/>
      <c r="Q233" s="1057"/>
      <c r="R233" s="1057"/>
      <c r="S233" s="1057"/>
      <c r="T233" s="1057"/>
      <c r="U233" s="1057"/>
      <c r="V233" s="1057"/>
      <c r="W233" s="1057"/>
      <c r="X233" s="1057"/>
      <c r="Y233" s="1057"/>
      <c r="Z233" s="1057"/>
      <c r="AA233" s="1057"/>
      <c r="AB233" s="1057"/>
      <c r="AC233" s="1057"/>
      <c r="AD233" s="1057"/>
      <c r="AE233" s="1057"/>
      <c r="AF233" s="1057"/>
      <c r="AG233" s="1057"/>
      <c r="AH233" s="1057"/>
      <c r="AI233" s="1057"/>
      <c r="AJ233" s="1057"/>
      <c r="AK233" s="1057"/>
      <c r="AL233" s="1057"/>
      <c r="AM233" s="1057"/>
      <c r="AN233" s="1057"/>
      <c r="AO233" s="1057"/>
      <c r="AP233" s="1057"/>
      <c r="AQ233" s="1057"/>
      <c r="AR233" s="1057"/>
      <c r="AS233" s="1057"/>
      <c r="AT233" s="1057"/>
      <c r="AU233" s="1057"/>
      <c r="AV233" s="1057"/>
      <c r="AW233" s="1057"/>
      <c r="AX233" s="1057"/>
      <c r="AY233" s="1057"/>
      <c r="AZ233" s="1057"/>
      <c r="BA233" s="1057"/>
      <c r="BB233" s="1057"/>
      <c r="BC233" s="1057"/>
      <c r="BD233" s="1057"/>
      <c r="BE233" s="1057"/>
      <c r="BF233" s="1057"/>
      <c r="BG233" s="1057"/>
      <c r="BH233" s="1057"/>
      <c r="BI233" s="1057"/>
      <c r="BJ233" s="1057"/>
      <c r="BK233" s="1057"/>
      <c r="BL233" s="1057"/>
      <c r="BM233" s="1057"/>
      <c r="BN233" s="1057"/>
      <c r="BO233" s="1057"/>
      <c r="BP233" s="1057"/>
      <c r="BQ233" s="1057"/>
      <c r="BR233" s="1057"/>
      <c r="BS233" s="1057"/>
      <c r="BT233" s="1057"/>
      <c r="BU233" s="1057"/>
      <c r="BV233" s="1913">
        <f>비용집행계획!BQ20</f>
        <v>0.1</v>
      </c>
      <c r="BW233" s="1913">
        <f>비용집행계획!BR20</f>
        <v>0.1</v>
      </c>
      <c r="BX233" s="1913">
        <f>비용집행계획!BS20</f>
        <v>0.8</v>
      </c>
      <c r="BY233" s="2357" t="s">
        <v>1233</v>
      </c>
      <c r="BZ233" s="2358"/>
      <c r="CA233" s="1083"/>
      <c r="CB233" s="1084"/>
    </row>
    <row r="234" spans="1:80" s="1082" customFormat="1">
      <c r="B234" s="1085" t="s">
        <v>120</v>
      </c>
      <c r="C234" s="1901"/>
      <c r="D234" s="1060">
        <f>Equity!H10</f>
        <v>0.1</v>
      </c>
      <c r="E234" s="1061">
        <f>분양개요!$O$11*D234</f>
        <v>0</v>
      </c>
      <c r="F234" s="1062" t="b">
        <f t="shared" ref="F234:F242" si="286">CA234</f>
        <v>1</v>
      </c>
      <c r="G234" s="1056"/>
      <c r="H234" s="1057"/>
      <c r="I234" s="1057"/>
      <c r="J234" s="1057"/>
      <c r="K234" s="1057">
        <f t="shared" ref="K234:AP234" si="287">$E$234*K24</f>
        <v>0</v>
      </c>
      <c r="L234" s="1057">
        <f t="shared" si="287"/>
        <v>0</v>
      </c>
      <c r="M234" s="1057">
        <f t="shared" si="287"/>
        <v>0</v>
      </c>
      <c r="N234" s="1057">
        <f t="shared" si="287"/>
        <v>0</v>
      </c>
      <c r="O234" s="1057">
        <f t="shared" si="287"/>
        <v>0</v>
      </c>
      <c r="P234" s="1057">
        <f t="shared" si="287"/>
        <v>0</v>
      </c>
      <c r="Q234" s="1057">
        <f t="shared" si="287"/>
        <v>0</v>
      </c>
      <c r="R234" s="1057">
        <f t="shared" si="287"/>
        <v>0</v>
      </c>
      <c r="S234" s="1057">
        <f t="shared" si="287"/>
        <v>0</v>
      </c>
      <c r="T234" s="1057">
        <f t="shared" si="287"/>
        <v>0</v>
      </c>
      <c r="U234" s="1057">
        <f t="shared" si="287"/>
        <v>0</v>
      </c>
      <c r="V234" s="1057">
        <f t="shared" si="287"/>
        <v>0</v>
      </c>
      <c r="W234" s="1057">
        <f t="shared" si="287"/>
        <v>0</v>
      </c>
      <c r="X234" s="1057">
        <f t="shared" si="287"/>
        <v>0</v>
      </c>
      <c r="Y234" s="1057">
        <f t="shared" si="287"/>
        <v>0</v>
      </c>
      <c r="Z234" s="1057">
        <f t="shared" si="287"/>
        <v>0</v>
      </c>
      <c r="AA234" s="1057">
        <f t="shared" si="287"/>
        <v>0</v>
      </c>
      <c r="AB234" s="1057">
        <f t="shared" si="287"/>
        <v>0</v>
      </c>
      <c r="AC234" s="1057">
        <f t="shared" si="287"/>
        <v>0</v>
      </c>
      <c r="AD234" s="1057">
        <f t="shared" si="287"/>
        <v>0</v>
      </c>
      <c r="AE234" s="1057">
        <f t="shared" si="287"/>
        <v>0</v>
      </c>
      <c r="AF234" s="1057">
        <f t="shared" si="287"/>
        <v>0</v>
      </c>
      <c r="AG234" s="1057">
        <f t="shared" si="287"/>
        <v>0</v>
      </c>
      <c r="AH234" s="1057">
        <f t="shared" si="287"/>
        <v>0</v>
      </c>
      <c r="AI234" s="1057">
        <f t="shared" si="287"/>
        <v>0</v>
      </c>
      <c r="AJ234" s="1057">
        <f t="shared" si="287"/>
        <v>0</v>
      </c>
      <c r="AK234" s="1057">
        <f t="shared" si="287"/>
        <v>0</v>
      </c>
      <c r="AL234" s="1057">
        <f t="shared" si="287"/>
        <v>0</v>
      </c>
      <c r="AM234" s="1057">
        <f t="shared" si="287"/>
        <v>0</v>
      </c>
      <c r="AN234" s="1057">
        <f t="shared" si="287"/>
        <v>0</v>
      </c>
      <c r="AO234" s="1057">
        <f t="shared" si="287"/>
        <v>0</v>
      </c>
      <c r="AP234" s="1057">
        <f t="shared" si="287"/>
        <v>0</v>
      </c>
      <c r="AQ234" s="1057">
        <f t="shared" ref="AQ234:BX234" si="288">$E$234*AQ24</f>
        <v>0</v>
      </c>
      <c r="AR234" s="1057">
        <f t="shared" si="288"/>
        <v>0</v>
      </c>
      <c r="AS234" s="1057">
        <f t="shared" si="288"/>
        <v>0</v>
      </c>
      <c r="AT234" s="1057">
        <f t="shared" si="288"/>
        <v>0</v>
      </c>
      <c r="AU234" s="1057">
        <f t="shared" si="288"/>
        <v>0</v>
      </c>
      <c r="AV234" s="1057">
        <f t="shared" si="288"/>
        <v>0</v>
      </c>
      <c r="AW234" s="1057">
        <f t="shared" si="288"/>
        <v>0</v>
      </c>
      <c r="AX234" s="1057">
        <f t="shared" si="288"/>
        <v>0</v>
      </c>
      <c r="AY234" s="1057">
        <f t="shared" si="288"/>
        <v>0</v>
      </c>
      <c r="AZ234" s="1057">
        <f t="shared" si="288"/>
        <v>0</v>
      </c>
      <c r="BA234" s="1057">
        <f t="shared" si="288"/>
        <v>0</v>
      </c>
      <c r="BB234" s="1057">
        <f t="shared" si="288"/>
        <v>0</v>
      </c>
      <c r="BC234" s="1057">
        <f t="shared" si="288"/>
        <v>0</v>
      </c>
      <c r="BD234" s="1057">
        <f t="shared" si="288"/>
        <v>0</v>
      </c>
      <c r="BE234" s="1057">
        <f t="shared" si="288"/>
        <v>0</v>
      </c>
      <c r="BF234" s="1057">
        <f t="shared" si="288"/>
        <v>0</v>
      </c>
      <c r="BG234" s="1057">
        <f t="shared" si="288"/>
        <v>0</v>
      </c>
      <c r="BH234" s="1057">
        <f t="shared" si="288"/>
        <v>0</v>
      </c>
      <c r="BI234" s="1057">
        <f t="shared" si="288"/>
        <v>0</v>
      </c>
      <c r="BJ234" s="1057">
        <f t="shared" si="288"/>
        <v>0</v>
      </c>
      <c r="BK234" s="1057">
        <f t="shared" si="288"/>
        <v>0</v>
      </c>
      <c r="BL234" s="1057">
        <f t="shared" si="288"/>
        <v>0</v>
      </c>
      <c r="BM234" s="1057">
        <f t="shared" si="288"/>
        <v>0</v>
      </c>
      <c r="BN234" s="1057">
        <f t="shared" si="288"/>
        <v>0</v>
      </c>
      <c r="BO234" s="1057">
        <f t="shared" si="288"/>
        <v>0</v>
      </c>
      <c r="BP234" s="1057">
        <f t="shared" si="288"/>
        <v>0</v>
      </c>
      <c r="BQ234" s="1057">
        <f t="shared" si="288"/>
        <v>0</v>
      </c>
      <c r="BR234" s="1057">
        <f t="shared" si="288"/>
        <v>0</v>
      </c>
      <c r="BS234" s="1057">
        <f t="shared" si="288"/>
        <v>0</v>
      </c>
      <c r="BT234" s="1057">
        <f t="shared" si="288"/>
        <v>0</v>
      </c>
      <c r="BU234" s="1057">
        <f t="shared" si="288"/>
        <v>0</v>
      </c>
      <c r="BV234" s="1057">
        <f t="shared" si="288"/>
        <v>0</v>
      </c>
      <c r="BW234" s="1057">
        <f t="shared" si="288"/>
        <v>0</v>
      </c>
      <c r="BX234" s="1057">
        <f t="shared" si="288"/>
        <v>0</v>
      </c>
      <c r="BY234" s="1064" t="str">
        <f t="shared" ref="BY234:BY277" si="289">B234</f>
        <v>계약금</v>
      </c>
      <c r="BZ234" s="1065">
        <f t="shared" ref="BZ234:BZ242" si="290">SUM(G234:BX234)</f>
        <v>0</v>
      </c>
      <c r="CA234" s="1066" t="b">
        <f t="shared" ref="CA234:CA242" si="291">ROUND(BZ234,0)=ROUND(E234,0)</f>
        <v>1</v>
      </c>
      <c r="CB234" s="1084"/>
    </row>
    <row r="235" spans="1:80" s="1082" customFormat="1">
      <c r="A235">
        <v>1</v>
      </c>
      <c r="B235" s="1067">
        <v>1</v>
      </c>
      <c r="C235" s="1898"/>
      <c r="D235" s="1060">
        <f>IF(B235&lt;Equity!$D$31+1,Equity!$I$10/Equity!$D$31,0)</f>
        <v>0.1</v>
      </c>
      <c r="E235" s="1061">
        <f>분양개요!$O$11*D235</f>
        <v>0</v>
      </c>
      <c r="F235" s="1062" t="b">
        <f t="shared" si="286"/>
        <v>1</v>
      </c>
      <c r="G235" s="1056"/>
      <c r="H235" s="1057"/>
      <c r="I235" s="1057"/>
      <c r="J235" s="1057"/>
      <c r="K235" s="1057">
        <f>IF(SUM(K$23:$O23)&lt;$A$235,0,(K25*$E$235)-SUM(J$235:$M235))</f>
        <v>0</v>
      </c>
      <c r="L235" s="1057">
        <f>IF(SUM(L$23:$O23)&lt;$A$235,0,(L25*$E$235)-SUM(K$235:$M235))</f>
        <v>0</v>
      </c>
      <c r="M235" s="1057">
        <f>IF(SUM(M$23:$O23)&lt;$A$235,0,(M25*$E$235)-SUM(L$235:$M235))</f>
        <v>0</v>
      </c>
      <c r="N235" s="1057">
        <f>IF(SUM(N$23:$O23)&lt;$A$235,0,(N25*$E$235)-SUM($M$235:M235))</f>
        <v>0</v>
      </c>
      <c r="O235" s="1057">
        <f>IF(SUM($O$23:O23)&lt;$A$235,0,(O25*$E$235)-SUM($M$235:N235))</f>
        <v>0</v>
      </c>
      <c r="P235" s="1057">
        <f>IF(SUM($O$23:P23)&lt;$A$235,0,(P25*$E$235)-SUM($M$235:O235))</f>
        <v>0</v>
      </c>
      <c r="Q235" s="1057">
        <f>IF(SUM($O$23:Q23)&lt;$A$235,0,(Q25*$E$235)-SUM($M$235:P235))</f>
        <v>0</v>
      </c>
      <c r="R235" s="1057">
        <f>IF(SUM($O$23:R23)&lt;$A$235,0,(R25*$E$235)-SUM($M$235:Q235))</f>
        <v>0</v>
      </c>
      <c r="S235" s="1057">
        <f>IF(SUM($O$23:S23)&lt;$A$235,0,(S25*$E$235)-SUM($M$235:R235))</f>
        <v>0</v>
      </c>
      <c r="T235" s="1057">
        <f>IF(SUM($O$23:T23)&lt;$A$235,0,(T25*$E$235)-SUM($M$235:S235))</f>
        <v>0</v>
      </c>
      <c r="U235" s="1057">
        <f>IF(SUM($O$23:U23)&lt;$A$235,0,(U25*$E$235)-SUM($M$235:T235))</f>
        <v>0</v>
      </c>
      <c r="V235" s="1057">
        <f>IF(SUM($O$23:V23)&lt;$A$235,0,(V25*$E$235)-SUM($M$235:U235))</f>
        <v>0</v>
      </c>
      <c r="W235" s="1057">
        <f>IF(SUM($O$23:W23)&lt;$A$235,0,(W25*$E$235)-SUM($M$235:V235))</f>
        <v>0</v>
      </c>
      <c r="X235" s="1057">
        <f>IF(SUM($O$23:X23)&lt;$A$235,0,(X25*$E$235)-SUM($M$235:W235))</f>
        <v>0</v>
      </c>
      <c r="Y235" s="1057">
        <f>IF(SUM($O$23:Y23)&lt;$A$235,0,(Y25*$E$235)-SUM($M$235:X235))</f>
        <v>0</v>
      </c>
      <c r="Z235" s="1057">
        <f>IF(SUM($O$23:Z23)&lt;$A$235,0,(Z25*$E$235)-SUM($M$235:Y235))</f>
        <v>0</v>
      </c>
      <c r="AA235" s="1057">
        <f>IF(SUM($O$23:AA23)&lt;$A$235,0,(AA25*$E$235)-SUM($M$235:Z235))</f>
        <v>0</v>
      </c>
      <c r="AB235" s="1057">
        <f>IF(SUM($O$23:AB23)&lt;$A$235,0,(AB25*$E$235)-SUM($M$235:AA235))</f>
        <v>0</v>
      </c>
      <c r="AC235" s="1057">
        <f>IF(SUM($O$23:AC23)&lt;$A$235,0,(AC25*$E$235)-SUM($M$235:AB235))</f>
        <v>0</v>
      </c>
      <c r="AD235" s="1057">
        <f>IF(SUM($O$23:AD23)&lt;$A$235,0,(AD25*$E$235)-SUM($M$235:AC235))</f>
        <v>0</v>
      </c>
      <c r="AE235" s="1057">
        <f>IF(SUM($O$23:AE23)&lt;$A$235,0,(AE25*$E$235)-SUM($M$235:AD235))</f>
        <v>0</v>
      </c>
      <c r="AF235" s="1057">
        <f>IF(SUM($O$23:AF23)&lt;$A$235,0,(AF25*$E$235)-SUM($M$235:AE235))</f>
        <v>0</v>
      </c>
      <c r="AG235" s="1057">
        <f>IF(SUM($O$23:AG23)&lt;$A$235,0,(AG25*$E$235)-SUM($M$235:AF235))</f>
        <v>0</v>
      </c>
      <c r="AH235" s="1057">
        <f>IF(SUM($O$23:AH23)&lt;$A$235,0,(AH25*$E$235)-SUM($M$235:AG235))</f>
        <v>0</v>
      </c>
      <c r="AI235" s="1057">
        <f>IF(SUM($O$23:AI23)&lt;$A$235,0,(AI25*$E$235)-SUM($M$235:AH235))</f>
        <v>0</v>
      </c>
      <c r="AJ235" s="1057">
        <f>IF(SUM($O$23:AJ23)&lt;$A$235,0,(AJ25*$E$235)-SUM($M$235:AI235))</f>
        <v>0</v>
      </c>
      <c r="AK235" s="1057">
        <f>IF(SUM($O$23:AK23)&lt;$A$235,0,(AK25*$E$235)-SUM($M$235:AJ235))</f>
        <v>0</v>
      </c>
      <c r="AL235" s="1057">
        <f>IF(SUM($O$23:AL23)&lt;$A$235,0,(AL25*$E$235)-SUM($M$235:AK235))</f>
        <v>0</v>
      </c>
      <c r="AM235" s="1057">
        <f>IF(SUM($O$23:AM23)&lt;$A$235,0,(AM25*$E$235)-SUM($M$235:AL235))</f>
        <v>0</v>
      </c>
      <c r="AN235" s="1057">
        <f>IF(SUM($O$23:AN23)&lt;$A$235,0,(AN25*$E$235)-SUM($M$235:AM235))</f>
        <v>0</v>
      </c>
      <c r="AO235" s="1057">
        <f>IF(SUM($O$23:AO23)&lt;$A$235,0,(AO25*$E$235)-SUM($M$235:AN235))</f>
        <v>0</v>
      </c>
      <c r="AP235" s="1057">
        <f>IF(SUM($O$23:AP23)&lt;$A$235,0,(AP25*$E$235)-SUM($M$235:AO235))</f>
        <v>0</v>
      </c>
      <c r="AQ235" s="1057">
        <f>IF(SUM($O$23:AQ23)&lt;$A$235,0,(AQ25*$E$235)-SUM($M$235:AP235))</f>
        <v>0</v>
      </c>
      <c r="AR235" s="1057">
        <f>IF(SUM($O$23:AR23)&lt;$A$235,0,(AR25*$E$235)-SUM($M$235:AQ235))</f>
        <v>0</v>
      </c>
      <c r="AS235" s="1057">
        <f>IF(SUM($O$23:AS23)&lt;$A$235,0,(AS25*$E$235)-SUM($M$235:AR235))</f>
        <v>0</v>
      </c>
      <c r="AT235" s="1057">
        <f>IF(SUM($O$23:AT23)&lt;$A$235,0,(AT25*$E$235)-SUM($M$235:AS235))</f>
        <v>0</v>
      </c>
      <c r="AU235" s="1057">
        <f>IF(SUM($O$23:AU23)&lt;$A$235,0,(AU25*$E$235)-SUM($M$235:AT235))</f>
        <v>0</v>
      </c>
      <c r="AV235" s="1057">
        <f>IF(SUM($O$23:AV23)&lt;$A$235,0,(AV25*$E$235)-SUM($M$235:AU235))</f>
        <v>0</v>
      </c>
      <c r="AW235" s="1057">
        <f>IF(SUM($O$23:AW23)&lt;$A$235,0,(AW25*$E$235)-SUM($M$235:AV235))</f>
        <v>0</v>
      </c>
      <c r="AX235" s="1057">
        <f>IF(SUM($O$23:AX23)&lt;$A$235,0,(AX25*$E$235)-SUM($M$235:AW235))</f>
        <v>0</v>
      </c>
      <c r="AY235" s="1057">
        <f>IF(SUM($O$23:AY23)&lt;$A$235,0,(AY25*$E$235)-SUM($M$235:AX235))</f>
        <v>0</v>
      </c>
      <c r="AZ235" s="1057">
        <f>IF(SUM($O$23:AZ23)&lt;$A$235,0,(AZ25*$E$235)-SUM($M$235:AY235))</f>
        <v>0</v>
      </c>
      <c r="BA235" s="1057">
        <f>IF(SUM($O$23:BA23)&lt;$A$235,0,(BA25*$E$235)-SUM($M$235:AZ235))</f>
        <v>0</v>
      </c>
      <c r="BB235" s="1057">
        <f>IF(SUM($O$23:BB23)&lt;$A$235,0,(BB25*$E$235)-SUM($M$235:BA235))</f>
        <v>0</v>
      </c>
      <c r="BC235" s="1057">
        <f>IF(SUM($O$23:BC23)&lt;$A$235,0,(BC25*$E$235)-SUM($M$235:BB235))</f>
        <v>0</v>
      </c>
      <c r="BD235" s="1057">
        <f>IF(SUM($O$23:BD23)&lt;$A$235,0,(BD25*$E$235)-SUM($M$235:BC235))</f>
        <v>0</v>
      </c>
      <c r="BE235" s="1057">
        <f>IF(SUM($O$23:BE23)&lt;$A$235,0,(BE25*$E$235)-SUM($M$235:BD235))</f>
        <v>0</v>
      </c>
      <c r="BF235" s="1057">
        <f>IF(SUM($O$23:BF23)&lt;$A$235,0,(BF25*$E$235)-SUM($M$235:BE235))</f>
        <v>0</v>
      </c>
      <c r="BG235" s="1057">
        <f>IF(SUM($O$23:BG23)&lt;$A$235,0,(BG25*$E$235)-SUM($M$235:BF235))</f>
        <v>0</v>
      </c>
      <c r="BH235" s="1057">
        <f>IF(SUM($O$23:BH23)&lt;$A$235,0,(BH25*$E$235)-SUM($M$235:BG235))</f>
        <v>0</v>
      </c>
      <c r="BI235" s="1057">
        <f>IF(SUM($O$23:BI23)&lt;$A$235,0,(BI25*$E$235)-SUM($M$235:BH235))</f>
        <v>0</v>
      </c>
      <c r="BJ235" s="1057">
        <f>IF(SUM($O$23:BJ23)&lt;$A$235,0,(BJ25*$E$235)-SUM($M$235:BI235))</f>
        <v>0</v>
      </c>
      <c r="BK235" s="1057">
        <f>IF(SUM($O$23:BK23)&lt;$A$235,0,(BK25*$E$235)-SUM($M$235:BJ235))</f>
        <v>0</v>
      </c>
      <c r="BL235" s="1057">
        <f>IF(SUM($O$23:BL23)&lt;$A$235,0,(BL25*$E$235)-SUM($M$235:BK235))</f>
        <v>0</v>
      </c>
      <c r="BM235" s="1057">
        <f>IF(SUM($O$23:BM23)&lt;$A$235,0,(BM25*$E$235)-SUM($M$235:BL235))</f>
        <v>0</v>
      </c>
      <c r="BN235" s="1057">
        <f>IF(SUM($O$23:BN23)&lt;$A$235,0,(BN25*$E$235)-SUM($M$235:BM235))</f>
        <v>0</v>
      </c>
      <c r="BO235" s="1057">
        <f>IF(SUM($O$23:BO23)&lt;$A$235,0,(BO25*$E$235)-SUM($M$235:BN235))</f>
        <v>0</v>
      </c>
      <c r="BP235" s="1057">
        <f>IF(SUM($O$23:BP23)&lt;$A$235,0,(BP25*$E$235)-SUM($M$235:BO235))</f>
        <v>0</v>
      </c>
      <c r="BQ235" s="1057">
        <f>IF(SUM($O$23:BQ23)&lt;$A$235,0,(BQ25*$E$235)-SUM($M$235:BP235))</f>
        <v>0</v>
      </c>
      <c r="BR235" s="1057">
        <f>IF(SUM($O$23:BR23)&lt;$A$235,0,(BR25*$E$235)-SUM($M$235:BQ235))</f>
        <v>0</v>
      </c>
      <c r="BS235" s="1057">
        <f>IF(SUM($O$23:BS23)&lt;$A$235,0,(BS25*$E$235)-SUM($M$235:BR235))</f>
        <v>0</v>
      </c>
      <c r="BT235" s="1057">
        <f>IF(SUM($O$23:BT23)&lt;$A$235,0,(BT25*$E$235)-SUM($M$235:BS235))</f>
        <v>0</v>
      </c>
      <c r="BU235" s="1057">
        <f>IF(SUM($O$23:BU23)&lt;$A$235,0,(BU25*$E$235)-SUM($M$235:BT235))</f>
        <v>0</v>
      </c>
      <c r="BV235" s="1057">
        <f>IF(SUM($O$23:BV23)&lt;$A$235,0,(BV25*$E$235)-SUM($M$235:BU235))</f>
        <v>0</v>
      </c>
      <c r="BW235" s="1057">
        <f>IF(SUM($O$23:BW23)&lt;$A$235,0,(BW25*$E$235)-SUM($M$235:BV235))</f>
        <v>0</v>
      </c>
      <c r="BX235" s="1057">
        <f>IF(SUM($O$23:BX23)&lt;$A$235,0,(BX25*$E$235)-SUM($M$235:BW235))</f>
        <v>0</v>
      </c>
      <c r="BY235" s="1067">
        <f t="shared" si="289"/>
        <v>1</v>
      </c>
      <c r="BZ235" s="1068">
        <f t="shared" si="290"/>
        <v>0</v>
      </c>
      <c r="CA235" s="1069" t="b">
        <f t="shared" si="291"/>
        <v>1</v>
      </c>
      <c r="CB235" s="1084"/>
    </row>
    <row r="236" spans="1:80" s="1082" customFormat="1">
      <c r="A236" s="398">
        <v>3</v>
      </c>
      <c r="B236" s="1067">
        <v>2</v>
      </c>
      <c r="C236" s="1898"/>
      <c r="D236" s="1060">
        <f>IF(B236&lt;Equity!$D$31+1,Equity!$I$10/Equity!$D$31,0)</f>
        <v>0.1</v>
      </c>
      <c r="E236" s="1061">
        <f>분양개요!$O$11*D236</f>
        <v>0</v>
      </c>
      <c r="F236" s="1062" t="b">
        <f t="shared" si="286"/>
        <v>1</v>
      </c>
      <c r="G236" s="1056"/>
      <c r="H236" s="1057"/>
      <c r="I236" s="1057"/>
      <c r="J236" s="1057"/>
      <c r="K236" s="1057">
        <f>IF(SUM(K$23:$O23)&lt;$A$236,0,(K25*$E$236)-SUM(J$236:$M236))</f>
        <v>0</v>
      </c>
      <c r="L236" s="1057">
        <f>IF(SUM(L$23:$O23)&lt;$A$236,0,(L25*$E$236)-SUM(K$236:$M236))</f>
        <v>0</v>
      </c>
      <c r="M236" s="1057">
        <f>IF(SUM(M$23:$O23)&lt;$A$236,0,(M25*$E$236)-SUM(L$236:$M236))</f>
        <v>0</v>
      </c>
      <c r="N236" s="1057">
        <f>IF(SUM(N$23:$O23)&lt;$A$236,0,(N25*$E$236)-SUM($M$236:M236))</f>
        <v>0</v>
      </c>
      <c r="O236" s="1057">
        <f>IF(SUM($O$23:O23)&lt;$A$236,0,(O25*$E$236)-SUM($M$236:N236))</f>
        <v>0</v>
      </c>
      <c r="P236" s="1057">
        <f>IF(SUM($O$23:P23)&lt;$A$236,0,(P25*$E$236)-SUM($M$236:O236))</f>
        <v>0</v>
      </c>
      <c r="Q236" s="1057">
        <f>IF(SUM($O$23:Q23)&lt;$A$236,0,(Q25*$E$236)-SUM($M$236:P236))</f>
        <v>0</v>
      </c>
      <c r="R236" s="1057">
        <f>IF(SUM($O$23:R23)&lt;$A$236,0,(R25*$E$236)-SUM($M$236:Q236))</f>
        <v>0</v>
      </c>
      <c r="S236" s="1057">
        <f>IF(SUM($O$23:S23)&lt;$A$236,0,(S25*$E$236)-SUM($M$236:R236))</f>
        <v>0</v>
      </c>
      <c r="T236" s="1057">
        <f>IF(SUM($O$23:T23)&lt;$A$236,0,(T25*$E$236)-SUM($M$236:S236))</f>
        <v>0</v>
      </c>
      <c r="U236" s="1057">
        <f>IF(SUM($O$23:U23)&lt;$A$236,0,(U25*$E$236)-SUM($M$236:T236))</f>
        <v>0</v>
      </c>
      <c r="V236" s="1057">
        <f>IF(SUM($O$23:V23)&lt;$A$236,0,(V25*$E$236)-SUM($M$236:U236))</f>
        <v>0</v>
      </c>
      <c r="W236" s="1057">
        <f>IF(SUM($O$23:W23)&lt;$A$236,0,(W25*$E$236)-SUM($M$236:V236))</f>
        <v>0</v>
      </c>
      <c r="X236" s="1057">
        <f>IF(SUM($O$23:X23)&lt;$A$236,0,(X25*$E$236)-SUM($M$236:W236))</f>
        <v>0</v>
      </c>
      <c r="Y236" s="1057">
        <f>IF(SUM($O$23:Y23)&lt;$A$236,0,(Y25*$E$236)-SUM($M$236:X236))</f>
        <v>0</v>
      </c>
      <c r="Z236" s="1057">
        <f>IF(SUM($O$23:Z23)&lt;$A$236,0,(Z25*$E$236)-SUM($M$236:Y236))</f>
        <v>0</v>
      </c>
      <c r="AA236" s="1057">
        <f>IF(SUM($O$23:AA23)&lt;$A$236,0,(AA25*$E$236)-SUM($M$236:Z236))</f>
        <v>0</v>
      </c>
      <c r="AB236" s="1057">
        <f>IF(SUM($O$23:AB23)&lt;$A$236,0,(AB25*$E$236)-SUM($M$236:AA236))</f>
        <v>0</v>
      </c>
      <c r="AC236" s="1057">
        <f>IF(SUM($O$23:AC23)&lt;$A$236,0,(AC25*$E$236)-SUM($M$236:AB236))</f>
        <v>0</v>
      </c>
      <c r="AD236" s="1057">
        <f>IF(SUM($O$23:AD23)&lt;$A$236,0,(AD25*$E$236)-SUM($M$236:AC236))</f>
        <v>0</v>
      </c>
      <c r="AE236" s="1057">
        <f>IF(SUM($O$23:AE23)&lt;$A$236,0,(AE25*$E$236)-SUM($M$236:AD236))</f>
        <v>0</v>
      </c>
      <c r="AF236" s="1057">
        <f>IF(SUM($O$23:AF23)&lt;$A$236,0,(AF25*$E$236)-SUM($M$236:AE236))</f>
        <v>0</v>
      </c>
      <c r="AG236" s="1057">
        <f>IF(SUM($O$23:AG23)&lt;$A$236,0,(AG25*$E$236)-SUM($M$236:AF236))</f>
        <v>0</v>
      </c>
      <c r="AH236" s="1057">
        <f>IF(SUM($O$23:AH23)&lt;$A$236,0,(AH25*$E$236)-SUM($M$236:AG236))</f>
        <v>0</v>
      </c>
      <c r="AI236" s="1057">
        <f>IF(SUM($O$23:AI23)&lt;$A$236,0,(AI25*$E$236)-SUM($M$236:AH236))</f>
        <v>0</v>
      </c>
      <c r="AJ236" s="1057">
        <f>IF(SUM($O$23:AJ23)&lt;$A$236,0,(AJ25*$E$236)-SUM($M$236:AI236))</f>
        <v>0</v>
      </c>
      <c r="AK236" s="1057">
        <f>IF(SUM($O$23:AK23)&lt;$A$236,0,(AK25*$E$236)-SUM($M$236:AJ236))</f>
        <v>0</v>
      </c>
      <c r="AL236" s="1057">
        <f>IF(SUM($O$23:AL23)&lt;$A$236,0,(AL25*$E$236)-SUM($M$236:AK236))</f>
        <v>0</v>
      </c>
      <c r="AM236" s="1057">
        <f>IF(SUM($O$23:AM23)&lt;$A$236,0,(AM25*$E$236)-SUM($M$236:AL236))</f>
        <v>0</v>
      </c>
      <c r="AN236" s="1057">
        <f>IF(SUM($O$23:AN23)&lt;$A$236,0,(AN25*$E$236)-SUM($M$236:AM236))</f>
        <v>0</v>
      </c>
      <c r="AO236" s="1057">
        <f>IF(SUM($O$23:AO23)&lt;$A$236,0,(AO25*$E$236)-SUM($M$236:AN236))</f>
        <v>0</v>
      </c>
      <c r="AP236" s="1057">
        <f>IF(SUM($O$23:AP23)&lt;$A$236,0,(AP25*$E$236)-SUM($M$236:AO236))</f>
        <v>0</v>
      </c>
      <c r="AQ236" s="1057">
        <f>IF(SUM($O$23:AQ23)&lt;$A$236,0,(AQ25*$E$236)-SUM($M$236:AP236))</f>
        <v>0</v>
      </c>
      <c r="AR236" s="1057">
        <f>IF(SUM($O$23:AR23)&lt;$A$236,0,(AR25*$E$236)-SUM($M$236:AQ236))</f>
        <v>0</v>
      </c>
      <c r="AS236" s="1057">
        <f>IF(SUM($O$23:AS23)&lt;$A$236,0,(AS25*$E$236)-SUM($M$236:AR236))</f>
        <v>0</v>
      </c>
      <c r="AT236" s="1057">
        <f>IF(SUM($O$23:AT23)&lt;$A$236,0,(AT25*$E$236)-SUM($M$236:AS236))</f>
        <v>0</v>
      </c>
      <c r="AU236" s="1057">
        <f>IF(SUM($O$23:AU23)&lt;$A$236,0,(AU25*$E$236)-SUM($M$236:AT236))</f>
        <v>0</v>
      </c>
      <c r="AV236" s="1057">
        <f>IF(SUM($O$23:AV23)&lt;$A$236,0,(AV25*$E$236)-SUM($M$236:AU236))</f>
        <v>0</v>
      </c>
      <c r="AW236" s="1057">
        <f>IF(SUM($O$23:AW23)&lt;$A$236,0,(AW25*$E$236)-SUM($M$236:AV236))</f>
        <v>0</v>
      </c>
      <c r="AX236" s="1057">
        <f>IF(SUM($O$23:AX23)&lt;$A$236,0,(AX25*$E$236)-SUM($M$236:AW236))</f>
        <v>0</v>
      </c>
      <c r="AY236" s="1057">
        <f>IF(SUM($O$23:AY23)&lt;$A$236,0,(AY25*$E$236)-SUM($M$236:AX236))</f>
        <v>0</v>
      </c>
      <c r="AZ236" s="1057">
        <f>IF(SUM($O$23:AZ23)&lt;$A$236,0,(AZ25*$E$236)-SUM($M$236:AY236))</f>
        <v>0</v>
      </c>
      <c r="BA236" s="1057">
        <f>IF(SUM($O$23:BA23)&lt;$A$236,0,(BA25*$E$236)-SUM($M$236:AZ236))</f>
        <v>0</v>
      </c>
      <c r="BB236" s="1057">
        <f>IF(SUM($O$23:BB23)&lt;$A$236,0,(BB25*$E$236)-SUM($M$236:BA236))</f>
        <v>0</v>
      </c>
      <c r="BC236" s="1057">
        <f>IF(SUM($O$23:BC23)&lt;$A$236,0,(BC25*$E$236)-SUM($M$236:BB236))</f>
        <v>0</v>
      </c>
      <c r="BD236" s="1057">
        <f>IF(SUM($O$23:BD23)&lt;$A$236,0,(BD25*$E$236)-SUM($M$236:BC236))</f>
        <v>0</v>
      </c>
      <c r="BE236" s="1057">
        <f>IF(SUM($O$23:BE23)&lt;$A$236,0,(BE25*$E$236)-SUM($M$236:BD236))</f>
        <v>0</v>
      </c>
      <c r="BF236" s="1057">
        <f>IF(SUM($O$23:BF23)&lt;$A$236,0,(BF25*$E$236)-SUM($M$236:BE236))</f>
        <v>0</v>
      </c>
      <c r="BG236" s="1057">
        <f>IF(SUM($O$23:BG23)&lt;$A$236,0,(BG25*$E$236)-SUM($M$236:BF236))</f>
        <v>0</v>
      </c>
      <c r="BH236" s="1057">
        <f>IF(SUM($O$23:BH23)&lt;$A$236,0,(BH25*$E$236)-SUM($M$236:BG236))</f>
        <v>0</v>
      </c>
      <c r="BI236" s="1057">
        <f>IF(SUM($O$23:BI23)&lt;$A$236,0,(BI25*$E$236)-SUM($M$236:BH236))</f>
        <v>0</v>
      </c>
      <c r="BJ236" s="1057">
        <f>IF(SUM($O$23:BJ23)&lt;$A$236,0,(BJ25*$E$236)-SUM($M$236:BI236))</f>
        <v>0</v>
      </c>
      <c r="BK236" s="1057">
        <f>IF(SUM($O$23:BK23)&lt;$A$236,0,(BK25*$E$236)-SUM($M$236:BJ236))</f>
        <v>0</v>
      </c>
      <c r="BL236" s="1057">
        <f>IF(SUM($O$23:BL23)&lt;$A$236,0,(BL25*$E$236)-SUM($M$236:BK236))</f>
        <v>0</v>
      </c>
      <c r="BM236" s="1057">
        <f>IF(SUM($O$23:BM23)&lt;$A$236,0,(BM25*$E$236)-SUM($M$236:BL236))</f>
        <v>0</v>
      </c>
      <c r="BN236" s="1057">
        <f>IF(SUM($O$23:BN23)&lt;$A$236,0,(BN25*$E$236)-SUM($M$236:BM236))</f>
        <v>0</v>
      </c>
      <c r="BO236" s="1057">
        <f>IF(SUM($O$23:BO23)&lt;$A$236,0,(BO25*$E$236)-SUM($M$236:BN236))</f>
        <v>0</v>
      </c>
      <c r="BP236" s="1057">
        <f>IF(SUM($O$23:BP23)&lt;$A$236,0,(BP25*$E$236)-SUM($M$236:BO236))</f>
        <v>0</v>
      </c>
      <c r="BQ236" s="1057">
        <f>IF(SUM($O$23:BQ23)&lt;$A$236,0,(BQ25*$E$236)-SUM($M$236:BP236))</f>
        <v>0</v>
      </c>
      <c r="BR236" s="1057">
        <f>IF(SUM($O$23:BR23)&lt;$A$236,0,(BR25*$E$236)-SUM($M$236:BQ236))</f>
        <v>0</v>
      </c>
      <c r="BS236" s="1057">
        <f>IF(SUM($O$23:BS23)&lt;$A$236,0,(BS25*$E$236)-SUM($M$236:BR236))</f>
        <v>0</v>
      </c>
      <c r="BT236" s="1057">
        <f>IF(SUM($O$23:BT23)&lt;$A$236,0,(BT25*$E$236)-SUM($M$236:BS236))</f>
        <v>0</v>
      </c>
      <c r="BU236" s="1057">
        <f>IF(SUM($O$23:BU23)&lt;$A$236,0,(BU25*$E$236)-SUM($M$236:BT236))</f>
        <v>0</v>
      </c>
      <c r="BV236" s="1057">
        <f>IF(SUM($O$23:BV23)&lt;$A$236,0,(BV25*$E$236)-SUM($M$236:BU236))</f>
        <v>0</v>
      </c>
      <c r="BW236" s="1057">
        <f>IF(SUM($O$23:BW23)&lt;$A$236,0,(BW25*$E$236)-SUM($M$236:BV236))</f>
        <v>0</v>
      </c>
      <c r="BX236" s="1057">
        <f>IF(SUM($O$23:BX23)&lt;$A$236,0,(BX25*$E$236)-SUM($M$236:BW236))</f>
        <v>0</v>
      </c>
      <c r="BY236" s="1067">
        <f t="shared" si="289"/>
        <v>2</v>
      </c>
      <c r="BZ236" s="1068">
        <f t="shared" si="290"/>
        <v>0</v>
      </c>
      <c r="CA236" s="1069" t="b">
        <f t="shared" si="291"/>
        <v>1</v>
      </c>
      <c r="CB236" s="1084"/>
    </row>
    <row r="237" spans="1:80" s="1082" customFormat="1">
      <c r="A237" s="398">
        <v>6</v>
      </c>
      <c r="B237" s="1067">
        <v>3</v>
      </c>
      <c r="C237" s="1898"/>
      <c r="D237" s="1060">
        <f>IF(B237&lt;Equity!$D$31+1,Equity!$I$10/Equity!$D$31,0)</f>
        <v>0.1</v>
      </c>
      <c r="E237" s="1061">
        <f>분양개요!$O$11*D237</f>
        <v>0</v>
      </c>
      <c r="F237" s="1062" t="b">
        <f t="shared" si="286"/>
        <v>1</v>
      </c>
      <c r="G237" s="1056"/>
      <c r="H237" s="1057"/>
      <c r="I237" s="1057"/>
      <c r="J237" s="1057"/>
      <c r="K237" s="1057">
        <f>IF(SUM(K$23:$O23)&lt;$A$237,0,(K25*$E$237)-SUM(J$237:$M237))</f>
        <v>0</v>
      </c>
      <c r="L237" s="1057">
        <f>IF(SUM(L$23:$O23)&lt;$A$237,0,(L25*$E$237)-SUM(K$237:$M237))</f>
        <v>0</v>
      </c>
      <c r="M237" s="1057">
        <f>IF(SUM(M$23:$O23)&lt;$A$237,0,(M25*$E$237)-SUM(L$237:$M237))</f>
        <v>0</v>
      </c>
      <c r="N237" s="1057">
        <f>IF(SUM(N$23:$O23)&lt;$A$237,0,(N25*$E$237)-SUM($M$237:M237))</f>
        <v>0</v>
      </c>
      <c r="O237" s="1057">
        <f>IF(SUM($O$23:O23)&lt;$A$237,0,(O25*$E$237)-SUM($M$237:N237))</f>
        <v>0</v>
      </c>
      <c r="P237" s="1057">
        <f>IF(SUM($O$23:P23)&lt;$A$237,0,(P25*$E$237)-SUM($M$237:O237))</f>
        <v>0</v>
      </c>
      <c r="Q237" s="1057">
        <f>IF(SUM($O$23:Q23)&lt;$A$237,0,(Q25*$E$237)-SUM($M$237:P237))</f>
        <v>0</v>
      </c>
      <c r="R237" s="1057">
        <f>IF(SUM($O$23:R23)&lt;$A$237,0,(R25*$E$237)-SUM($M$237:Q237))</f>
        <v>0</v>
      </c>
      <c r="S237" s="1057">
        <f>IF(SUM($O$23:S23)&lt;$A$237,0,(S25*$E$237)-SUM($M$237:R237))</f>
        <v>0</v>
      </c>
      <c r="T237" s="1057">
        <f>IF(SUM($O$23:T23)&lt;$A$237,0,(T25*$E$237)-SUM($M$237:S237))</f>
        <v>0</v>
      </c>
      <c r="U237" s="1057">
        <f>IF(SUM($O$23:U23)&lt;$A$237,0,(U25*$E$237)-SUM($M$237:T237))</f>
        <v>0</v>
      </c>
      <c r="V237" s="1057">
        <f>IF(SUM($O$23:V23)&lt;$A$237,0,(V25*$E$237)-SUM($M$237:U237))</f>
        <v>0</v>
      </c>
      <c r="W237" s="1057">
        <f>IF(SUM($O$23:W23)&lt;$A$237,0,(W25*$E$237)-SUM($M$237:V237))</f>
        <v>0</v>
      </c>
      <c r="X237" s="1057">
        <f>IF(SUM($O$23:X23)&lt;$A$237,0,(X25*$E$237)-SUM($M$237:W237))</f>
        <v>0</v>
      </c>
      <c r="Y237" s="1057">
        <f>IF(SUM($O$23:Y23)&lt;$A$237,0,(Y25*$E$237)-SUM($M$237:X237))</f>
        <v>0</v>
      </c>
      <c r="Z237" s="1057">
        <f>IF(SUM($O$23:Z23)&lt;$A$237,0,(Z25*$E$237)-SUM($M$237:Y237))</f>
        <v>0</v>
      </c>
      <c r="AA237" s="1057">
        <f>IF(SUM($O$23:AA23)&lt;$A$237,0,(AA25*$E$237)-SUM($M$237:Z237))</f>
        <v>0</v>
      </c>
      <c r="AB237" s="1057">
        <f>IF(SUM($O$23:AB23)&lt;$A$237,0,(AB25*$E$237)-SUM($M$237:AA237))</f>
        <v>0</v>
      </c>
      <c r="AC237" s="1057">
        <f>IF(SUM($O$23:AC23)&lt;$A$237,0,(AC25*$E$237)-SUM($M$237:AB237))</f>
        <v>0</v>
      </c>
      <c r="AD237" s="1057">
        <f>IF(SUM($O$23:AD23)&lt;$A$237,0,(AD25*$E$237)-SUM($M$237:AC237))</f>
        <v>0</v>
      </c>
      <c r="AE237" s="1057">
        <f>IF(SUM($O$23:AE23)&lt;$A$237,0,(AE25*$E$237)-SUM($M$237:AD237))</f>
        <v>0</v>
      </c>
      <c r="AF237" s="1057">
        <f>IF(SUM($O$23:AF23)&lt;$A$237,0,(AF25*$E$237)-SUM($M$237:AE237))</f>
        <v>0</v>
      </c>
      <c r="AG237" s="1057">
        <f>IF(SUM($O$23:AG23)&lt;$A$237,0,(AG25*$E$237)-SUM($M$237:AF237))</f>
        <v>0</v>
      </c>
      <c r="AH237" s="1057">
        <f>IF(SUM($O$23:AH23)&lt;$A$237,0,(AH25*$E$237)-SUM($M$237:AG237))</f>
        <v>0</v>
      </c>
      <c r="AI237" s="1057">
        <f>IF(SUM($O$23:AI23)&lt;$A$237,0,(AI25*$E$237)-SUM($M$237:AH237))</f>
        <v>0</v>
      </c>
      <c r="AJ237" s="1057">
        <f>IF(SUM($O$23:AJ23)&lt;$A$237,0,(AJ25*$E$237)-SUM($M$237:AI237))</f>
        <v>0</v>
      </c>
      <c r="AK237" s="1057">
        <f>IF(SUM($O$23:AK23)&lt;$A$237,0,(AK25*$E$237)-SUM($M$237:AJ237))</f>
        <v>0</v>
      </c>
      <c r="AL237" s="1057">
        <f>IF(SUM($O$23:AL23)&lt;$A$237,0,(AL25*$E$237)-SUM($M$237:AK237))</f>
        <v>0</v>
      </c>
      <c r="AM237" s="1057">
        <f>IF(SUM($O$23:AM23)&lt;$A$237,0,(AM25*$E$237)-SUM($M$237:AL237))</f>
        <v>0</v>
      </c>
      <c r="AN237" s="1057">
        <f>IF(SUM($O$23:AN23)&lt;$A$237,0,(AN25*$E$237)-SUM($M$237:AM237))</f>
        <v>0</v>
      </c>
      <c r="AO237" s="1057">
        <f>IF(SUM($O$23:AO23)&lt;$A$237,0,(AO25*$E$237)-SUM($M$237:AN237))</f>
        <v>0</v>
      </c>
      <c r="AP237" s="1057">
        <f>IF(SUM($O$23:AP23)&lt;$A$237,0,(AP25*$E$237)-SUM($M$237:AO237))</f>
        <v>0</v>
      </c>
      <c r="AQ237" s="1057">
        <f>IF(SUM($O$23:AQ23)&lt;$A$237,0,(AQ25*$E$237)-SUM($M$237:AP237))</f>
        <v>0</v>
      </c>
      <c r="AR237" s="1057">
        <f>IF(SUM($O$23:AR23)&lt;$A$237,0,(AR25*$E$237)-SUM($M$237:AQ237))</f>
        <v>0</v>
      </c>
      <c r="AS237" s="1057">
        <f>IF(SUM($O$23:AS23)&lt;$A$237,0,(AS25*$E$237)-SUM($M$237:AR237))</f>
        <v>0</v>
      </c>
      <c r="AT237" s="1057">
        <f>IF(SUM($O$23:AT23)&lt;$A$237,0,(AT25*$E$237)-SUM($M$237:AS237))</f>
        <v>0</v>
      </c>
      <c r="AU237" s="1057">
        <f>IF(SUM($O$23:AU23)&lt;$A$237,0,(AU25*$E$237)-SUM($M$237:AT237))</f>
        <v>0</v>
      </c>
      <c r="AV237" s="1057">
        <f>IF(SUM($O$23:AV23)&lt;$A$237,0,(AV25*$E$237)-SUM($M$237:AU237))</f>
        <v>0</v>
      </c>
      <c r="AW237" s="1057">
        <f>IF(SUM($O$23:AW23)&lt;$A$237,0,(AW25*$E$237)-SUM($M$237:AV237))</f>
        <v>0</v>
      </c>
      <c r="AX237" s="1057">
        <f>IF(SUM($O$23:AX23)&lt;$A$237,0,(AX25*$E$237)-SUM($M$237:AW237))</f>
        <v>0</v>
      </c>
      <c r="AY237" s="1057">
        <f>IF(SUM($O$23:AY23)&lt;$A$237,0,(AY25*$E$237)-SUM($M$237:AX237))</f>
        <v>0</v>
      </c>
      <c r="AZ237" s="1057">
        <f>IF(SUM($O$23:AZ23)&lt;$A$237,0,(AZ25*$E$237)-SUM($M$237:AY237))</f>
        <v>0</v>
      </c>
      <c r="BA237" s="1057">
        <f>IF(SUM($O$23:BA23)&lt;$A$237,0,(BA25*$E$237)-SUM($M$237:AZ237))</f>
        <v>0</v>
      </c>
      <c r="BB237" s="1057">
        <f>IF(SUM($O$23:BB23)&lt;$A$237,0,(BB25*$E$237)-SUM($M$237:BA237))</f>
        <v>0</v>
      </c>
      <c r="BC237" s="1057">
        <f>IF(SUM($O$23:BC23)&lt;$A$237,0,(BC25*$E$237)-SUM($M$237:BB237))</f>
        <v>0</v>
      </c>
      <c r="BD237" s="1057">
        <f>IF(SUM($O$23:BD23)&lt;$A$237,0,(BD25*$E$237)-SUM($M$237:BC237))</f>
        <v>0</v>
      </c>
      <c r="BE237" s="1057">
        <f>IF(SUM($O$23:BE23)&lt;$A$237,0,(BE25*$E$237)-SUM($M$237:BD237))</f>
        <v>0</v>
      </c>
      <c r="BF237" s="1057">
        <f>IF(SUM($O$23:BF23)&lt;$A$237,0,(BF25*$E$237)-SUM($M$237:BE237))</f>
        <v>0</v>
      </c>
      <c r="BG237" s="1057">
        <f>IF(SUM($O$23:BG23)&lt;$A$237,0,(BG25*$E$237)-SUM($M$237:BF237))</f>
        <v>0</v>
      </c>
      <c r="BH237" s="1057">
        <f>IF(SUM($O$23:BH23)&lt;$A$237,0,(BH25*$E$237)-SUM($M$237:BG237))</f>
        <v>0</v>
      </c>
      <c r="BI237" s="1057">
        <f>IF(SUM($O$23:BI23)&lt;$A$237,0,(BI25*$E$237)-SUM($M$237:BH237))</f>
        <v>0</v>
      </c>
      <c r="BJ237" s="1057">
        <f>IF(SUM($O$23:BJ23)&lt;$A$237,0,(BJ25*$E$237)-SUM($M$237:BI237))</f>
        <v>0</v>
      </c>
      <c r="BK237" s="1057">
        <f>IF(SUM($O$23:BK23)&lt;$A$237,0,(BK25*$E$237)-SUM($M$237:BJ237))</f>
        <v>0</v>
      </c>
      <c r="BL237" s="1057">
        <f>IF(SUM($O$23:BL23)&lt;$A$237,0,(BL25*$E$237)-SUM($M$237:BK237))</f>
        <v>0</v>
      </c>
      <c r="BM237" s="1057">
        <f>IF(SUM($O$23:BM23)&lt;$A$237,0,(BM25*$E$237)-SUM($M$237:BL237))</f>
        <v>0</v>
      </c>
      <c r="BN237" s="1057">
        <f>IF(SUM($O$23:BN23)&lt;$A$237,0,(BN25*$E$237)-SUM($M$237:BM237))</f>
        <v>0</v>
      </c>
      <c r="BO237" s="1057">
        <f>IF(SUM($O$23:BO23)&lt;$A$237,0,(BO25*$E$237)-SUM($M$237:BN237))</f>
        <v>0</v>
      </c>
      <c r="BP237" s="1057">
        <f>IF(SUM($O$23:BP23)&lt;$A$237,0,(BP25*$E$237)-SUM($M$237:BO237))</f>
        <v>0</v>
      </c>
      <c r="BQ237" s="1057">
        <f>IF(SUM($O$23:BQ23)&lt;$A$237,0,(BQ25*$E$237)-SUM($M$237:BP237))</f>
        <v>0</v>
      </c>
      <c r="BR237" s="1057">
        <f>IF(SUM($O$23:BR23)&lt;$A$237,0,(BR25*$E$237)-SUM($M$237:BQ237))</f>
        <v>0</v>
      </c>
      <c r="BS237" s="1057">
        <f>IF(SUM($O$23:BS23)&lt;$A$237,0,(BS25*$E$237)-SUM($M$237:BR237))</f>
        <v>0</v>
      </c>
      <c r="BT237" s="1057">
        <f>IF(SUM($O$23:BT23)&lt;$A$237,0,(BT25*$E$237)-SUM($M$237:BS237))</f>
        <v>0</v>
      </c>
      <c r="BU237" s="1057">
        <f>IF(SUM($O$23:BU23)&lt;$A$237,0,(BU25*$E$237)-SUM($M$237:BT237))</f>
        <v>0</v>
      </c>
      <c r="BV237" s="1057">
        <f>IF(SUM($O$23:BV23)&lt;$A$237,0,(BV25*$E$237)-SUM($M$237:BU237))</f>
        <v>0</v>
      </c>
      <c r="BW237" s="1057">
        <f>IF(SUM($O$23:BW23)&lt;$A$237,0,(BW25*$E$237)-SUM($M$237:BV237))</f>
        <v>0</v>
      </c>
      <c r="BX237" s="1057">
        <f>IF(SUM($O$23:BX23)&lt;$A$237,0,(BX25*$E$237)-SUM($M$237:BW237))</f>
        <v>0</v>
      </c>
      <c r="BY237" s="1067">
        <f t="shared" si="289"/>
        <v>3</v>
      </c>
      <c r="BZ237" s="1068">
        <f t="shared" si="290"/>
        <v>0</v>
      </c>
      <c r="CA237" s="1069" t="b">
        <f t="shared" si="291"/>
        <v>1</v>
      </c>
      <c r="CB237" s="1084"/>
    </row>
    <row r="238" spans="1:80" s="1082" customFormat="1">
      <c r="A238" s="398">
        <v>10</v>
      </c>
      <c r="B238" s="1067">
        <v>4</v>
      </c>
      <c r="C238" s="1898"/>
      <c r="D238" s="1060">
        <f>IF(B238&lt;Equity!$D$31+1,Equity!$I$10/Equity!$D$31,0)</f>
        <v>0.1</v>
      </c>
      <c r="E238" s="1061">
        <f>분양개요!$O$11*D238</f>
        <v>0</v>
      </c>
      <c r="F238" s="1062" t="b">
        <f t="shared" si="286"/>
        <v>1</v>
      </c>
      <c r="G238" s="1056"/>
      <c r="H238" s="1057"/>
      <c r="I238" s="1057"/>
      <c r="J238" s="1057"/>
      <c r="K238" s="1057">
        <f>IF(SUM(K$23:$O23)&lt;$A$238,0,(K25*$E$238)-SUM(J$238:$M238))</f>
        <v>0</v>
      </c>
      <c r="L238" s="1057">
        <f>IF(SUM(L$23:$O23)&lt;$A$238,0,(L25*$E$238)-SUM(K$238:$M238))</f>
        <v>0</v>
      </c>
      <c r="M238" s="1057">
        <f>IF(SUM(M$23:$O23)&lt;$A$238,0,(M25*$E$238)-SUM(L$238:$M238))</f>
        <v>0</v>
      </c>
      <c r="N238" s="1057">
        <f>IF(SUM(N$23:$O23)&lt;$A$238,0,(N25*$E$238)-SUM($M$238:M238))</f>
        <v>0</v>
      </c>
      <c r="O238" s="1057">
        <f>IF(SUM($O$23:O23)&lt;$A$238,0,(O25*$E$238)-SUM($M$238:N238))</f>
        <v>0</v>
      </c>
      <c r="P238" s="1057">
        <f>IF(SUM($O$23:P23)&lt;$A$238,0,(P25*$E$238)-SUM($M$238:O238))</f>
        <v>0</v>
      </c>
      <c r="Q238" s="1057">
        <f>IF(SUM($O$23:Q23)&lt;$A$238,0,(Q25*$E$238)-SUM($M$238:P238))</f>
        <v>0</v>
      </c>
      <c r="R238" s="1057">
        <f>IF(SUM($O$23:R23)&lt;$A$238,0,(R25*$E$238)-SUM($M$238:Q238))</f>
        <v>0</v>
      </c>
      <c r="S238" s="1057">
        <f>IF(SUM($O$23:S23)&lt;$A$238,0,(S25*$E$238)-SUM($M$238:R238))</f>
        <v>0</v>
      </c>
      <c r="T238" s="1057">
        <f>IF(SUM($O$23:T23)&lt;$A$238,0,(T25*$E$238)-SUM($M$238:S238))</f>
        <v>0</v>
      </c>
      <c r="U238" s="1057">
        <f>IF(SUM($O$23:U23)&lt;$A$238,0,(U25*$E$238)-SUM($M$238:T238))</f>
        <v>0</v>
      </c>
      <c r="V238" s="1057">
        <f>IF(SUM($O$23:V23)&lt;$A$238,0,(V25*$E$238)-SUM($M$238:U238))</f>
        <v>0</v>
      </c>
      <c r="W238" s="1057">
        <f>IF(SUM($O$23:W23)&lt;$A$238,0,(W25*$E$238)-SUM($M$238:V238))</f>
        <v>0</v>
      </c>
      <c r="X238" s="1057">
        <f>IF(SUM($O$23:X23)&lt;$A$238,0,(X25*$E$238)-SUM($M$238:W238))</f>
        <v>0</v>
      </c>
      <c r="Y238" s="1057">
        <f>IF(SUM($O$23:Y23)&lt;$A$238,0,(Y25*$E$238)-SUM($M$238:X238))</f>
        <v>0</v>
      </c>
      <c r="Z238" s="1057">
        <f>IF(SUM($O$23:Z23)&lt;$A$238,0,(Z25*$E$238)-SUM($M$238:Y238))</f>
        <v>0</v>
      </c>
      <c r="AA238" s="1057">
        <f>IF(SUM($O$23:AA23)&lt;$A$238,0,(AA25*$E$238)-SUM($M$238:Z238))</f>
        <v>0</v>
      </c>
      <c r="AB238" s="1057">
        <f>IF(SUM($O$23:AB23)&lt;$A$238,0,(AB25*$E$238)-SUM($M$238:AA238))</f>
        <v>0</v>
      </c>
      <c r="AC238" s="1057">
        <f>IF(SUM($O$23:AC23)&lt;$A$238,0,(AC25*$E$238)-SUM($M$238:AB238))</f>
        <v>0</v>
      </c>
      <c r="AD238" s="1057">
        <f>IF(SUM($O$23:AD23)&lt;$A$238,0,(AD25*$E$238)-SUM($M$238:AC238))</f>
        <v>0</v>
      </c>
      <c r="AE238" s="1057">
        <f>IF(SUM($O$23:AE23)&lt;$A$238,0,(AE25*$E$238)-SUM($M$238:AD238))</f>
        <v>0</v>
      </c>
      <c r="AF238" s="1057">
        <f>IF(SUM($O$23:AF23)&lt;$A$238,0,(AF25*$E$238)-SUM($M$238:AE238))</f>
        <v>0</v>
      </c>
      <c r="AG238" s="1057">
        <f>IF(SUM($O$23:AG23)&lt;$A$238,0,(AG25*$E$238)-SUM($M$238:AF238))</f>
        <v>0</v>
      </c>
      <c r="AH238" s="1057">
        <f>IF(SUM($O$23:AH23)&lt;$A$238,0,(AH25*$E$238)-SUM($M$238:AG238))</f>
        <v>0</v>
      </c>
      <c r="AI238" s="1057">
        <f>IF(SUM($O$23:AI23)&lt;$A$238,0,(AI25*$E$238)-SUM($M$238:AH238))</f>
        <v>0</v>
      </c>
      <c r="AJ238" s="1057">
        <f>IF(SUM($O$23:AJ23)&lt;$A$238,0,(AJ25*$E$238)-SUM($M$238:AI238))</f>
        <v>0</v>
      </c>
      <c r="AK238" s="1057">
        <f>IF(SUM($O$23:AK23)&lt;$A$238,0,(AK25*$E$238)-SUM($M$238:AJ238))</f>
        <v>0</v>
      </c>
      <c r="AL238" s="1057">
        <f>IF(SUM($O$23:AL23)&lt;$A$238,0,(AL25*$E$238)-SUM($M$238:AK238))</f>
        <v>0</v>
      </c>
      <c r="AM238" s="1057">
        <f>IF(SUM($O$23:AM23)&lt;$A$238,0,(AM25*$E$238)-SUM($M$238:AL238))</f>
        <v>0</v>
      </c>
      <c r="AN238" s="1057">
        <f>IF(SUM($O$23:AN23)&lt;$A$238,0,(AN25*$E$238)-SUM($M$238:AM238))</f>
        <v>0</v>
      </c>
      <c r="AO238" s="1057">
        <f>IF(SUM($O$23:AO23)&lt;$A$238,0,(AO25*$E$238)-SUM($M$238:AN238))</f>
        <v>0</v>
      </c>
      <c r="AP238" s="1057">
        <f>IF(SUM($O$23:AP23)&lt;$A$238,0,(AP25*$E$238)-SUM($M$238:AO238))</f>
        <v>0</v>
      </c>
      <c r="AQ238" s="1057">
        <f>IF(SUM($O$23:AQ23)&lt;$A$238,0,(AQ25*$E$238)-SUM($M$238:AP238))</f>
        <v>0</v>
      </c>
      <c r="AR238" s="1057">
        <f>IF(SUM($O$23:AR23)&lt;$A$238,0,(AR25*$E$238)-SUM($M$238:AQ238))</f>
        <v>0</v>
      </c>
      <c r="AS238" s="1057">
        <f>IF(SUM($O$23:AS23)&lt;$A$238,0,(AS25*$E$238)-SUM($M$238:AR238))</f>
        <v>0</v>
      </c>
      <c r="AT238" s="1057">
        <f>IF(SUM($O$23:AT23)&lt;$A$238,0,(AT25*$E$238)-SUM($M$238:AS238))</f>
        <v>0</v>
      </c>
      <c r="AU238" s="1057">
        <f>IF(SUM($O$23:AU23)&lt;$A$238,0,(AU25*$E$238)-SUM($M$238:AT238))</f>
        <v>0</v>
      </c>
      <c r="AV238" s="1057">
        <f>IF(SUM($O$23:AV23)&lt;$A$238,0,(AV25*$E$238)-SUM($M$238:AU238))</f>
        <v>0</v>
      </c>
      <c r="AW238" s="1057">
        <f>IF(SUM($O$23:AW23)&lt;$A$238,0,(AW25*$E$238)-SUM($M$238:AV238))</f>
        <v>0</v>
      </c>
      <c r="AX238" s="1057">
        <f>IF(SUM($O$23:AX23)&lt;$A$238,0,(AX25*$E$238)-SUM($M$238:AW238))</f>
        <v>0</v>
      </c>
      <c r="AY238" s="1057">
        <f>IF(SUM($O$23:AY23)&lt;$A$238,0,(AY25*$E$238)-SUM($M$238:AX238))</f>
        <v>0</v>
      </c>
      <c r="AZ238" s="1057">
        <f>IF(SUM($O$23:AZ23)&lt;$A$238,0,(AZ25*$E$238)-SUM($M$238:AY238))</f>
        <v>0</v>
      </c>
      <c r="BA238" s="1057">
        <f>IF(SUM($O$23:BA23)&lt;$A$238,0,(BA25*$E$238)-SUM($M$238:AZ238))</f>
        <v>0</v>
      </c>
      <c r="BB238" s="1057">
        <f>IF(SUM($O$23:BB23)&lt;$A$238,0,(BB25*$E$238)-SUM($M$238:BA238))</f>
        <v>0</v>
      </c>
      <c r="BC238" s="1057">
        <f>IF(SUM($O$23:BC23)&lt;$A$238,0,(BC25*$E$238)-SUM($M$238:BB238))</f>
        <v>0</v>
      </c>
      <c r="BD238" s="1057">
        <f>IF(SUM($O$23:BD23)&lt;$A$238,0,(BD25*$E$238)-SUM($M$238:BC238))</f>
        <v>0</v>
      </c>
      <c r="BE238" s="1057">
        <f>IF(SUM($O$23:BE23)&lt;$A$238,0,(BE25*$E$238)-SUM($M$238:BD238))</f>
        <v>0</v>
      </c>
      <c r="BF238" s="1057">
        <f>IF(SUM($O$23:BF23)&lt;$A$238,0,(BF25*$E$238)-SUM($M$238:BE238))</f>
        <v>0</v>
      </c>
      <c r="BG238" s="1057">
        <f>IF(SUM($O$23:BG23)&lt;$A$238,0,(BG25*$E$238)-SUM($M$238:BF238))</f>
        <v>0</v>
      </c>
      <c r="BH238" s="1057">
        <f>IF(SUM($O$23:BH23)&lt;$A$238,0,(BH25*$E$238)-SUM($M$238:BG238))</f>
        <v>0</v>
      </c>
      <c r="BI238" s="1057">
        <f>IF(SUM($O$23:BI23)&lt;$A$238,0,(BI25*$E$238)-SUM($M$238:BH238))</f>
        <v>0</v>
      </c>
      <c r="BJ238" s="1057">
        <f>IF(SUM($O$23:BJ23)&lt;$A$238,0,(BJ25*$E$238)-SUM($M$238:BI238))</f>
        <v>0</v>
      </c>
      <c r="BK238" s="1057">
        <f>IF(SUM($O$23:BK23)&lt;$A$238,0,(BK25*$E$238)-SUM($M$238:BJ238))</f>
        <v>0</v>
      </c>
      <c r="BL238" s="1057">
        <f>IF(SUM($O$23:BL23)&lt;$A$238,0,(BL25*$E$238)-SUM($M$238:BK238))</f>
        <v>0</v>
      </c>
      <c r="BM238" s="1057">
        <f>IF(SUM($O$23:BM23)&lt;$A$238,0,(BM25*$E$238)-SUM($M$238:BL238))</f>
        <v>0</v>
      </c>
      <c r="BN238" s="1057">
        <f>IF(SUM($O$23:BN23)&lt;$A$238,0,(BN25*$E$238)-SUM($M$238:BM238))</f>
        <v>0</v>
      </c>
      <c r="BO238" s="1057">
        <f>IF(SUM($O$23:BO23)&lt;$A$238,0,(BO25*$E$238)-SUM($M$238:BN238))</f>
        <v>0</v>
      </c>
      <c r="BP238" s="1057">
        <f>IF(SUM($O$23:BP23)&lt;$A$238,0,(BP25*$E$238)-SUM($M$238:BO238))</f>
        <v>0</v>
      </c>
      <c r="BQ238" s="1057">
        <f>IF(SUM($O$23:BQ23)&lt;$A$238,0,(BQ25*$E$238)-SUM($M$238:BP238))</f>
        <v>0</v>
      </c>
      <c r="BR238" s="1057">
        <f>IF(SUM($O$23:BR23)&lt;$A$238,0,(BR25*$E$238)-SUM($M$238:BQ238))</f>
        <v>0</v>
      </c>
      <c r="BS238" s="1057">
        <f>IF(SUM($O$23:BS23)&lt;$A$238,0,(BS25*$E$238)-SUM($M$238:BR238))</f>
        <v>0</v>
      </c>
      <c r="BT238" s="1057">
        <f>IF(SUM($O$23:BT23)&lt;$A$238,0,(BT25*$E$238)-SUM($M$238:BS238))</f>
        <v>0</v>
      </c>
      <c r="BU238" s="1057">
        <f>IF(SUM($O$23:BU23)&lt;$A$238,0,(BU25*$E$238)-SUM($M$238:BT238))</f>
        <v>0</v>
      </c>
      <c r="BV238" s="1057">
        <f>IF(SUM($O$23:BV23)&lt;$A$238,0,(BV25*$E$238)-SUM($M$238:BU238))</f>
        <v>0</v>
      </c>
      <c r="BW238" s="1057">
        <f>IF(SUM($O$23:BW23)&lt;$A$238,0,(BW25*$E$238)-SUM($M$238:BV238))</f>
        <v>0</v>
      </c>
      <c r="BX238" s="1057">
        <f>IF(SUM($O$23:BX23)&lt;$A$238,0,(BX25*$E$238)-SUM($M$238:BW238))</f>
        <v>0</v>
      </c>
      <c r="BY238" s="1067">
        <f t="shared" si="289"/>
        <v>4</v>
      </c>
      <c r="BZ238" s="1068">
        <f t="shared" si="290"/>
        <v>0</v>
      </c>
      <c r="CA238" s="1069" t="b">
        <f t="shared" si="291"/>
        <v>1</v>
      </c>
      <c r="CB238" s="1084"/>
    </row>
    <row r="239" spans="1:80" s="1082" customFormat="1">
      <c r="A239" s="398">
        <v>15</v>
      </c>
      <c r="B239" s="1067">
        <v>5</v>
      </c>
      <c r="C239" s="1898"/>
      <c r="D239" s="1060">
        <f>IF(B239&lt;Equity!$D$31+1,Equity!$I$10/Equity!$D$31,0)</f>
        <v>0.1</v>
      </c>
      <c r="E239" s="1061">
        <f>분양개요!$O$11*D239</f>
        <v>0</v>
      </c>
      <c r="F239" s="1062" t="b">
        <f t="shared" si="286"/>
        <v>1</v>
      </c>
      <c r="G239" s="1056"/>
      <c r="H239" s="1057"/>
      <c r="I239" s="1057"/>
      <c r="J239" s="1057"/>
      <c r="K239" s="1057">
        <f>IF(SUM(K$23:$O23)&lt;$A$239,0,(K25*$E$239)-SUM(J$239:$M239))</f>
        <v>0</v>
      </c>
      <c r="L239" s="1057">
        <f>IF(SUM(L$23:$O23)&lt;$A$239,0,(L25*$E$239)-SUM(K$239:$M239))</f>
        <v>0</v>
      </c>
      <c r="M239" s="1057">
        <f>IF(SUM(M$23:$O23)&lt;$A$239,0,(M25*$E$239)-SUM(L$239:$M239))</f>
        <v>0</v>
      </c>
      <c r="N239" s="1057">
        <f>IF(SUM(N$23:$O23)&lt;$A$239,0,(N25*$E$239)-SUM($M$239:M239))</f>
        <v>0</v>
      </c>
      <c r="O239" s="1057">
        <f>IF(SUM($O$23:O23)&lt;$A$239,0,(O25*$E$239)-SUM($M$239:N239))</f>
        <v>0</v>
      </c>
      <c r="P239" s="1057">
        <f>IF(SUM($O$23:P23)&lt;$A$239,0,(P25*$E$239)-SUM($M$239:O239))</f>
        <v>0</v>
      </c>
      <c r="Q239" s="1057">
        <f>IF(SUM($O$23:Q23)&lt;$A$239,0,(Q25*$E$239)-SUM($M$239:P239))</f>
        <v>0</v>
      </c>
      <c r="R239" s="1057">
        <f>IF(SUM($O$23:R23)&lt;$A$239,0,(R25*$E$239)-SUM($M$239:Q239))</f>
        <v>0</v>
      </c>
      <c r="S239" s="1057">
        <f>IF(SUM($O$23:S23)&lt;$A$239,0,(S25*$E$239)-SUM($M$239:R239))</f>
        <v>0</v>
      </c>
      <c r="T239" s="1057">
        <f>IF(SUM($O$23:T23)&lt;$A$239,0,(T25*$E$239)-SUM($M$239:S239))</f>
        <v>0</v>
      </c>
      <c r="U239" s="1057">
        <f>IF(SUM($O$23:U23)&lt;$A$239,0,(U25*$E$239)-SUM($M$239:T239))</f>
        <v>0</v>
      </c>
      <c r="V239" s="1057">
        <f>IF(SUM($O$23:V23)&lt;$A$239,0,(V25*$E$239)-SUM($M$239:U239))</f>
        <v>0</v>
      </c>
      <c r="W239" s="1057">
        <f>IF(SUM($O$23:W23)&lt;$A$239,0,(W25*$E$239)-SUM($M$239:V239))</f>
        <v>0</v>
      </c>
      <c r="X239" s="1057">
        <f>IF(SUM($O$23:X23)&lt;$A$239,0,(X25*$E$239)-SUM($M$239:W239))</f>
        <v>0</v>
      </c>
      <c r="Y239" s="1057">
        <f>IF(SUM($O$23:Y23)&lt;$A$239,0,(Y25*$E$239)-SUM($M$239:X239))</f>
        <v>0</v>
      </c>
      <c r="Z239" s="1057">
        <f>IF(SUM($O$23:Z23)&lt;$A$239,0,(Z25*$E$239)-SUM($M$239:Y239))</f>
        <v>0</v>
      </c>
      <c r="AA239" s="1057">
        <f>IF(SUM($O$23:AA23)&lt;$A$239,0,(AA25*$E$239)-SUM($M$239:Z239))</f>
        <v>0</v>
      </c>
      <c r="AB239" s="1057">
        <f>IF(SUM($O$23:AB23)&lt;$A$239,0,(AB25*$E$239)-SUM($M$239:AA239))</f>
        <v>0</v>
      </c>
      <c r="AC239" s="1057">
        <f>IF(SUM($O$23:AC23)&lt;$A$239,0,(AC25*$E$239)-SUM($M$239:AB239))</f>
        <v>0</v>
      </c>
      <c r="AD239" s="1057">
        <f>IF(SUM($O$23:AD23)&lt;$A$239,0,(AD25*$E$239)-SUM($M$239:AC239))</f>
        <v>0</v>
      </c>
      <c r="AE239" s="1057">
        <f>IF(SUM($O$23:AE23)&lt;$A$239,0,(AE25*$E$239)-SUM($M$239:AD239))</f>
        <v>0</v>
      </c>
      <c r="AF239" s="1057">
        <f>IF(SUM($O$23:AF23)&lt;$A$239,0,(AF25*$E$239)-SUM($M$239:AE239))</f>
        <v>0</v>
      </c>
      <c r="AG239" s="1057">
        <f>IF(SUM($O$23:AG23)&lt;$A$239,0,(AG25*$E$239)-SUM($M$239:AF239))</f>
        <v>0</v>
      </c>
      <c r="AH239" s="1057">
        <f>IF(SUM($O$23:AH23)&lt;$A$239,0,(AH25*$E$239)-SUM($M$239:AG239))</f>
        <v>0</v>
      </c>
      <c r="AI239" s="1057">
        <f>IF(SUM($O$23:AI23)&lt;$A$239,0,(AI25*$E$239)-SUM($M$239:AH239))</f>
        <v>0</v>
      </c>
      <c r="AJ239" s="1057">
        <f>IF(SUM($O$23:AJ23)&lt;$A$239,0,(AJ25*$E$239)-SUM($M$239:AI239))</f>
        <v>0</v>
      </c>
      <c r="AK239" s="1057">
        <f>IF(SUM($O$23:AK23)&lt;$A$239,0,(AK25*$E$239)-SUM($M$239:AJ239))</f>
        <v>0</v>
      </c>
      <c r="AL239" s="1057">
        <f>IF(SUM($O$23:AL23)&lt;$A$239,0,(AL25*$E$239)-SUM($M$239:AK239))</f>
        <v>0</v>
      </c>
      <c r="AM239" s="1057">
        <f>IF(SUM($O$23:AM23)&lt;$A$239,0,(AM25*$E$239)-SUM($M$239:AL239))</f>
        <v>0</v>
      </c>
      <c r="AN239" s="1057">
        <f>IF(SUM($O$23:AN23)&lt;$A$239,0,(AN25*$E$239)-SUM($M$239:AM239))</f>
        <v>0</v>
      </c>
      <c r="AO239" s="1057">
        <f>IF(SUM($O$23:AO23)&lt;$A$239,0,(AO25*$E$239)-SUM($M$239:AN239))</f>
        <v>0</v>
      </c>
      <c r="AP239" s="1057">
        <f>IF(SUM($O$23:AP23)&lt;$A$239,0,(AP25*$E$239)-SUM($M$239:AO239))</f>
        <v>0</v>
      </c>
      <c r="AQ239" s="1057">
        <f>IF(SUM($O$23:AQ23)&lt;$A$239,0,(AQ25*$E$239)-SUM($M$239:AP239))</f>
        <v>0</v>
      </c>
      <c r="AR239" s="1057">
        <f>IF(SUM($O$23:AR23)&lt;$A$239,0,(AR25*$E$239)-SUM($M$239:AQ239))</f>
        <v>0</v>
      </c>
      <c r="AS239" s="1057">
        <f>IF(SUM($O$23:AS23)&lt;$A$239,0,(AS25*$E$239)-SUM($M$239:AR239))</f>
        <v>0</v>
      </c>
      <c r="AT239" s="1057">
        <f>IF(SUM($O$23:AT23)&lt;$A$239,0,(AT25*$E$239)-SUM($M$239:AS239))</f>
        <v>0</v>
      </c>
      <c r="AU239" s="1057">
        <f>IF(SUM($O$23:AU23)&lt;$A$239,0,(AU25*$E$239)-SUM($M$239:AT239))</f>
        <v>0</v>
      </c>
      <c r="AV239" s="1057">
        <f>IF(SUM($O$23:AV23)&lt;$A$239,0,(AV25*$E$239)-SUM($M$239:AU239))</f>
        <v>0</v>
      </c>
      <c r="AW239" s="1057">
        <f>IF(SUM($O$23:AW23)&lt;$A$239,0,(AW25*$E$239)-SUM($M$239:AV239))</f>
        <v>0</v>
      </c>
      <c r="AX239" s="1057">
        <f>IF(SUM($O$23:AX23)&lt;$A$239,0,(AX25*$E$239)-SUM($M$239:AW239))</f>
        <v>0</v>
      </c>
      <c r="AY239" s="1057">
        <f>IF(SUM($O$23:AY23)&lt;$A$239,0,(AY25*$E$239)-SUM($M$239:AX239))</f>
        <v>0</v>
      </c>
      <c r="AZ239" s="1057">
        <f>IF(SUM($O$23:AZ23)&lt;$A$239,0,(AZ25*$E$239)-SUM($M$239:AY239))</f>
        <v>0</v>
      </c>
      <c r="BA239" s="1057">
        <f>IF(SUM($O$23:BA23)&lt;$A$239,0,(BA25*$E$239)-SUM($M$239:AZ239))</f>
        <v>0</v>
      </c>
      <c r="BB239" s="1057">
        <f>IF(SUM($O$23:BB23)&lt;$A$239,0,(BB25*$E$239)-SUM($M$239:BA239))</f>
        <v>0</v>
      </c>
      <c r="BC239" s="1057">
        <f>IF(SUM($O$23:BC23)&lt;$A$239,0,(BC25*$E$239)-SUM($M$239:BB239))</f>
        <v>0</v>
      </c>
      <c r="BD239" s="1057">
        <f>IF(SUM($O$23:BD23)&lt;$A$239,0,(BD25*$E$239)-SUM($M$239:BC239))</f>
        <v>0</v>
      </c>
      <c r="BE239" s="1057">
        <f>IF(SUM($O$23:BE23)&lt;$A$239,0,(BE25*$E$239)-SUM($M$239:BD239))</f>
        <v>0</v>
      </c>
      <c r="BF239" s="1057">
        <f>IF(SUM($O$23:BF23)&lt;$A$239,0,(BF25*$E$239)-SUM($M$239:BE239))</f>
        <v>0</v>
      </c>
      <c r="BG239" s="1057">
        <f>IF(SUM($O$23:BG23)&lt;$A$239,0,(BG25*$E$239)-SUM($M$239:BF239))</f>
        <v>0</v>
      </c>
      <c r="BH239" s="1057">
        <f>IF(SUM($O$23:BH23)&lt;$A$239,0,(BH25*$E$239)-SUM($M$239:BG239))</f>
        <v>0</v>
      </c>
      <c r="BI239" s="1057">
        <f>IF(SUM($O$23:BI23)&lt;$A$239,0,(BI25*$E$239)-SUM($M$239:BH239))</f>
        <v>0</v>
      </c>
      <c r="BJ239" s="1057">
        <f>IF(SUM($O$23:BJ23)&lt;$A$239,0,(BJ25*$E$239)-SUM($M$239:BI239))</f>
        <v>0</v>
      </c>
      <c r="BK239" s="1057">
        <f>IF(SUM($O$23:BK23)&lt;$A$239,0,(BK25*$E$239)-SUM($M$239:BJ239))</f>
        <v>0</v>
      </c>
      <c r="BL239" s="1057">
        <f>IF(SUM($O$23:BL23)&lt;$A$239,0,(BL25*$E$239)-SUM($M$239:BK239))</f>
        <v>0</v>
      </c>
      <c r="BM239" s="1057">
        <f>IF(SUM($O$23:BM23)&lt;$A$239,0,(BM25*$E$239)-SUM($M$239:BL239))</f>
        <v>0</v>
      </c>
      <c r="BN239" s="1057">
        <f>IF(SUM($O$23:BN23)&lt;$A$239,0,(BN25*$E$239)-SUM($M$239:BM239))</f>
        <v>0</v>
      </c>
      <c r="BO239" s="1057">
        <f>IF(SUM($O$23:BO23)&lt;$A$239,0,(BO25*$E$239)-SUM($M$239:BN239))</f>
        <v>0</v>
      </c>
      <c r="BP239" s="1057">
        <f>IF(SUM($O$23:BP23)&lt;$A$239,0,(BP25*$E$239)-SUM($M$239:BO239))</f>
        <v>0</v>
      </c>
      <c r="BQ239" s="1057">
        <f>IF(SUM($O$23:BQ23)&lt;$A$239,0,(BQ25*$E$239)-SUM($M$239:BP239))</f>
        <v>0</v>
      </c>
      <c r="BR239" s="1057">
        <f>IF(SUM($O$23:BR23)&lt;$A$239,0,(BR25*$E$239)-SUM($M$239:BQ239))</f>
        <v>0</v>
      </c>
      <c r="BS239" s="1057">
        <f>IF(SUM($O$23:BS23)&lt;$A$239,0,(BS25*$E$239)-SUM($M$239:BR239))</f>
        <v>0</v>
      </c>
      <c r="BT239" s="1057">
        <f>IF(SUM($O$23:BT23)&lt;$A$239,0,(BT25*$E$239)-SUM($M$239:BS239))</f>
        <v>0</v>
      </c>
      <c r="BU239" s="1057">
        <f>IF(SUM($O$23:BU23)&lt;$A$239,0,(BU25*$E$239)-SUM($M$239:BT239))</f>
        <v>0</v>
      </c>
      <c r="BV239" s="1057">
        <f>IF(SUM($O$23:BV23)&lt;$A$239,0,(BV25*$E$239)-SUM($M$239:BU239))</f>
        <v>0</v>
      </c>
      <c r="BW239" s="1057">
        <f>IF(SUM($O$23:BW23)&lt;$A$239,0,(BW25*$E$239)-SUM($M$239:BV239))</f>
        <v>0</v>
      </c>
      <c r="BX239" s="1057">
        <f>IF(SUM($O$23:BX23)&lt;$A$239,0,(BX25*$E$239)-SUM($M$239:BW239))</f>
        <v>0</v>
      </c>
      <c r="BY239" s="1067">
        <f t="shared" si="289"/>
        <v>5</v>
      </c>
      <c r="BZ239" s="1068">
        <f t="shared" si="290"/>
        <v>0</v>
      </c>
      <c r="CA239" s="1069" t="b">
        <f t="shared" si="291"/>
        <v>1</v>
      </c>
      <c r="CB239" s="1084"/>
    </row>
    <row r="240" spans="1:80" s="1082" customFormat="1">
      <c r="A240" s="398">
        <v>21</v>
      </c>
      <c r="B240" s="1067">
        <v>6</v>
      </c>
      <c r="C240" s="1898"/>
      <c r="D240" s="1060">
        <f>IF(B240&lt;Equity!$D$31+1,Equity!$I$10/Equity!$D$31,0)</f>
        <v>0</v>
      </c>
      <c r="E240" s="1061">
        <f>분양개요!$O$11*D240</f>
        <v>0</v>
      </c>
      <c r="F240" s="1062" t="b">
        <f t="shared" si="286"/>
        <v>1</v>
      </c>
      <c r="G240" s="1056"/>
      <c r="H240" s="1057"/>
      <c r="I240" s="1057"/>
      <c r="J240" s="1057"/>
      <c r="K240" s="1057">
        <f>IF(SUM(K$23:$O23)&lt;$A$240,0,(K25*$E$240)-SUM(J$240:$M240))</f>
        <v>0</v>
      </c>
      <c r="L240" s="1057">
        <f>IF(SUM(L$23:$O23)&lt;$A$240,0,(L25*$E$240)-SUM(K$240:$M240))</f>
        <v>0</v>
      </c>
      <c r="M240" s="1057">
        <f>IF(SUM(M$23:$O23)&lt;$A$240,0,(M25*$E$240)-SUM(L$240:$M240))</f>
        <v>0</v>
      </c>
      <c r="N240" s="1057">
        <f>IF(SUM(N$23:$O23)&lt;$A$240,0,(N25*$E$240)-SUM($M$240:M240))</f>
        <v>0</v>
      </c>
      <c r="O240" s="1057">
        <f>IF(SUM($O$23:O23)&lt;$A$240,0,(O25*$E$240)-SUM($M$240:N240))</f>
        <v>0</v>
      </c>
      <c r="P240" s="1057">
        <f>IF(SUM($O$23:P23)&lt;$A$240,0,(P25*$E$240)-SUM($M$240:O240))</f>
        <v>0</v>
      </c>
      <c r="Q240" s="1057">
        <f>IF(SUM($O$23:Q23)&lt;$A$240,0,(Q25*$E$240)-SUM($M$240:P240))</f>
        <v>0</v>
      </c>
      <c r="R240" s="1057">
        <f>IF(SUM($O$23:R23)&lt;$A$240,0,(R25*$E$240)-SUM($M$240:Q240))</f>
        <v>0</v>
      </c>
      <c r="S240" s="1057">
        <f>IF(SUM($O$23:S23)&lt;$A$240,0,(S25*$E$240)-SUM($M$240:R240))</f>
        <v>0</v>
      </c>
      <c r="T240" s="1057">
        <f>IF(SUM($O$23:T23)&lt;$A$240,0,(T25*$E$240)-SUM($M$240:S240))</f>
        <v>0</v>
      </c>
      <c r="U240" s="1057">
        <f>IF(SUM($O$23:U23)&lt;$A$240,0,(U25*$E$240)-SUM($M$240:T240))</f>
        <v>0</v>
      </c>
      <c r="V240" s="1057">
        <f>IF(SUM($O$23:V23)&lt;$A$240,0,(V25*$E$240)-SUM($M$240:U240))</f>
        <v>0</v>
      </c>
      <c r="W240" s="1057">
        <f>IF(SUM($O$23:W23)&lt;$A$240,0,(W25*$E$240)-SUM($M$240:V240))</f>
        <v>0</v>
      </c>
      <c r="X240" s="1057">
        <f>IF(SUM($O$23:X23)&lt;$A$240,0,(X25*$E$240)-SUM($M$240:W240))</f>
        <v>0</v>
      </c>
      <c r="Y240" s="1057">
        <f>IF(SUM($O$23:Y23)&lt;$A$240,0,(Y25*$E$240)-SUM($M$240:X240))</f>
        <v>0</v>
      </c>
      <c r="Z240" s="1057">
        <f>IF(SUM($O$23:Z23)&lt;$A$240,0,(Z25*$E$240)-SUM($M$240:Y240))</f>
        <v>0</v>
      </c>
      <c r="AA240" s="1057">
        <f>IF(SUM($O$23:AA23)&lt;$A$240,0,(AA25*$E$240)-SUM($M$240:Z240))</f>
        <v>0</v>
      </c>
      <c r="AB240" s="1057">
        <f>IF(SUM($O$23:AB23)&lt;$A$240,0,(AB25*$E$240)-SUM($M$240:AA240))</f>
        <v>0</v>
      </c>
      <c r="AC240" s="1057">
        <f>IF(SUM($O$23:AC23)&lt;$A$240,0,(AC25*$E$240)-SUM($M$240:AB240))</f>
        <v>0</v>
      </c>
      <c r="AD240" s="1057">
        <f>IF(SUM($O$23:AD23)&lt;$A$240,0,(AD25*$E$240)-SUM($M$240:AC240))</f>
        <v>0</v>
      </c>
      <c r="AE240" s="1057">
        <f>IF(SUM($O$23:AE23)&lt;$A$240,0,(AE25*$E$240)-SUM($M$240:AD240))</f>
        <v>0</v>
      </c>
      <c r="AF240" s="1057">
        <f>IF(SUM($O$23:AF23)&lt;$A$240,0,(AF25*$E$240)-SUM($M$240:AE240))</f>
        <v>0</v>
      </c>
      <c r="AG240" s="1057">
        <f>IF(SUM($O$23:AG23)&lt;$A$240,0,(AG25*$E$240)-SUM($M$240:AF240))</f>
        <v>0</v>
      </c>
      <c r="AH240" s="1057">
        <f>IF(SUM($O$23:AH23)&lt;$A$240,0,(AH25*$E$240)-SUM($M$240:AG240))</f>
        <v>0</v>
      </c>
      <c r="AI240" s="1057">
        <f>IF(SUM($O$23:AI23)&lt;$A$240,0,(AI25*$E$240)-SUM($M$240:AH240))</f>
        <v>0</v>
      </c>
      <c r="AJ240" s="1057">
        <f>IF(SUM($O$23:AJ23)&lt;$A$240,0,(AJ25*$E$240)-SUM($M$240:AI240))</f>
        <v>0</v>
      </c>
      <c r="AK240" s="1057">
        <f>IF(SUM($O$23:AK23)&lt;$A$240,0,(AK25*$E$240)-SUM($M$240:AJ240))</f>
        <v>0</v>
      </c>
      <c r="AL240" s="1057">
        <f>IF(SUM($O$23:AL23)&lt;$A$240,0,(AL25*$E$240)-SUM($M$240:AK240))</f>
        <v>0</v>
      </c>
      <c r="AM240" s="1057">
        <f>IF(SUM($O$23:AM23)&lt;$A$240,0,(AM25*$E$240)-SUM($M$240:AL240))</f>
        <v>0</v>
      </c>
      <c r="AN240" s="1057">
        <f>IF(SUM($O$23:AN23)&lt;$A$240,0,(AN25*$E$240)-SUM($M$240:AM240))</f>
        <v>0</v>
      </c>
      <c r="AO240" s="1057">
        <f>IF(SUM($O$23:AO23)&lt;$A$240,0,(AO25*$E$240)-SUM($M$240:AN240))</f>
        <v>0</v>
      </c>
      <c r="AP240" s="1057">
        <f>IF(SUM($O$23:AP23)&lt;$A$240,0,(AP25*$E$240)-SUM($M$240:AO240))</f>
        <v>0</v>
      </c>
      <c r="AQ240" s="1057">
        <f>IF(SUM($O$23:AQ23)&lt;$A$240,0,(AQ25*$E$240)-SUM($M$240:AP240))</f>
        <v>0</v>
      </c>
      <c r="AR240" s="1057">
        <f>IF(SUM($O$23:AR23)&lt;$A$240,0,(AR25*$E$240)-SUM($M$240:AQ240))</f>
        <v>0</v>
      </c>
      <c r="AS240" s="1057">
        <f>IF(SUM($O$23:AS23)&lt;$A$240,0,(AS25*$E$240)-SUM($M$240:AR240))</f>
        <v>0</v>
      </c>
      <c r="AT240" s="1057">
        <f>IF(SUM($O$23:AT23)&lt;$A$240,0,(AT25*$E$240)-SUM($M$240:AS240))</f>
        <v>0</v>
      </c>
      <c r="AU240" s="1057">
        <f>IF(SUM($O$23:AU23)&lt;$A$240,0,(AU25*$E$240)-SUM($M$240:AT240))</f>
        <v>0</v>
      </c>
      <c r="AV240" s="1057">
        <f>IF(SUM($O$23:AV23)&lt;$A$240,0,(AV25*$E$240)-SUM($M$240:AU240))</f>
        <v>0</v>
      </c>
      <c r="AW240" s="1057">
        <f>IF(SUM($O$23:AW23)&lt;$A$240,0,(AW25*$E$240)-SUM($M$240:AV240))</f>
        <v>0</v>
      </c>
      <c r="AX240" s="1057">
        <f>IF(SUM($O$23:AX23)&lt;$A$240,0,(AX25*$E$240)-SUM($M$240:AW240))</f>
        <v>0</v>
      </c>
      <c r="AY240" s="1057">
        <f>IF(SUM($O$23:AY23)&lt;$A$240,0,(AY25*$E$240)-SUM($M$240:AX240))</f>
        <v>0</v>
      </c>
      <c r="AZ240" s="1057">
        <f>IF(SUM($O$23:AZ23)&lt;$A$240,0,(AZ25*$E$240)-SUM($M$240:AY240))</f>
        <v>0</v>
      </c>
      <c r="BA240" s="1057">
        <f>IF(SUM($O$23:BA23)&lt;$A$240,0,(BA25*$E$240)-SUM($M$240:AZ240))</f>
        <v>0</v>
      </c>
      <c r="BB240" s="1057">
        <f>IF(SUM($O$23:BB23)&lt;$A$240,0,(BB25*$E$240)-SUM($M$240:BA240))</f>
        <v>0</v>
      </c>
      <c r="BC240" s="1057">
        <f>IF(SUM($O$23:BC23)&lt;$A$240,0,(BC25*$E$240)-SUM($M$240:BB240))</f>
        <v>0</v>
      </c>
      <c r="BD240" s="1057">
        <f>IF(SUM($O$23:BD23)&lt;$A$240,0,(BD25*$E$240)-SUM($M$240:BC240))</f>
        <v>0</v>
      </c>
      <c r="BE240" s="1057">
        <f>IF(SUM($O$23:BE23)&lt;$A$240,0,(BE25*$E$240)-SUM($M$240:BD240))</f>
        <v>0</v>
      </c>
      <c r="BF240" s="1057">
        <f>IF(SUM($O$23:BF23)&lt;$A$240,0,(BF25*$E$240)-SUM($M$240:BE240))</f>
        <v>0</v>
      </c>
      <c r="BG240" s="1057">
        <f>IF(SUM($O$23:BG23)&lt;$A$240,0,(BG25*$E$240)-SUM($M$240:BF240))</f>
        <v>0</v>
      </c>
      <c r="BH240" s="1057">
        <f>IF(SUM($O$23:BH23)&lt;$A$240,0,(BH25*$E$240)-SUM($M$240:BG240))</f>
        <v>0</v>
      </c>
      <c r="BI240" s="1057">
        <f>IF(SUM($O$23:BI23)&lt;$A$240,0,(BI25*$E$240)-SUM($M$240:BH240))</f>
        <v>0</v>
      </c>
      <c r="BJ240" s="1057">
        <f>IF(SUM($O$23:BJ23)&lt;$A$240,0,(BJ25*$E$240)-SUM($M$240:BI240))</f>
        <v>0</v>
      </c>
      <c r="BK240" s="1057">
        <f>IF(SUM($O$23:BK23)&lt;$A$240,0,(BK25*$E$240)-SUM($M$240:BJ240))</f>
        <v>0</v>
      </c>
      <c r="BL240" s="1057">
        <f>IF(SUM($O$23:BL23)&lt;$A$240,0,(BL25*$E$240)-SUM($M$240:BK240))</f>
        <v>0</v>
      </c>
      <c r="BM240" s="1057">
        <f>IF(SUM($O$23:BM23)&lt;$A$240,0,(BM25*$E$240)-SUM($M$240:BL240))</f>
        <v>0</v>
      </c>
      <c r="BN240" s="1057">
        <f>IF(SUM($O$23:BN23)&lt;$A$240,0,(BN25*$E$240)-SUM($M$240:BM240))</f>
        <v>0</v>
      </c>
      <c r="BO240" s="1057">
        <f>IF(SUM($O$23:BO23)&lt;$A$240,0,(BO25*$E$240)-SUM($M$240:BN240))</f>
        <v>0</v>
      </c>
      <c r="BP240" s="1057">
        <f>IF(SUM($O$23:BP23)&lt;$A$240,0,(BP25*$E$240)-SUM($M$240:BO240))</f>
        <v>0</v>
      </c>
      <c r="BQ240" s="1057">
        <f>IF(SUM($O$23:BQ23)&lt;$A$240,0,(BQ25*$E$240)-SUM($M$240:BP240))</f>
        <v>0</v>
      </c>
      <c r="BR240" s="1057">
        <f>IF(SUM($O$23:BR23)&lt;$A$240,0,(BR25*$E$240)-SUM($M$240:BQ240))</f>
        <v>0</v>
      </c>
      <c r="BS240" s="1057">
        <f>IF(SUM($O$23:BS23)&lt;$A$240,0,(BS25*$E$240)-SUM($M$240:BR240))</f>
        <v>0</v>
      </c>
      <c r="BT240" s="1057">
        <f>IF(SUM($O$23:BT23)&lt;$A$240,0,(BT25*$E$240)-SUM($M$240:BS240))</f>
        <v>0</v>
      </c>
      <c r="BU240" s="1057">
        <f>IF(SUM($O$23:BU23)&lt;$A$240,0,(BU25*$E$240)-SUM($M$240:BT240))</f>
        <v>0</v>
      </c>
      <c r="BV240" s="1057">
        <f>IF(SUM($O$23:BV23)&lt;$A$240,0,(BV25*$E$240)-SUM($M$240:BU240))</f>
        <v>0</v>
      </c>
      <c r="BW240" s="1057">
        <f>IF(SUM($O$23:BW23)&lt;$A$240,0,(BW25*$E$240)-SUM($M$240:BV240))</f>
        <v>0</v>
      </c>
      <c r="BX240" s="1057">
        <f>IF(SUM($O$23:BX23)&lt;$A$240,0,(BX25*$E$240)-SUM($M$240:BW240))</f>
        <v>0</v>
      </c>
      <c r="BY240" s="1067">
        <f t="shared" si="289"/>
        <v>6</v>
      </c>
      <c r="BZ240" s="1068">
        <f t="shared" si="290"/>
        <v>0</v>
      </c>
      <c r="CA240" s="1069" t="b">
        <f t="shared" si="291"/>
        <v>1</v>
      </c>
      <c r="CB240" s="1084"/>
    </row>
    <row r="241" spans="1:80" s="1082" customFormat="1">
      <c r="B241" s="1086" t="s">
        <v>1035</v>
      </c>
      <c r="C241" s="1902"/>
      <c r="D241" s="1060">
        <f>Equity!J10</f>
        <v>0.4</v>
      </c>
      <c r="E241" s="1061">
        <f>분양개요!$O$11*D241</f>
        <v>0</v>
      </c>
      <c r="F241" s="1062" t="b">
        <f t="shared" si="286"/>
        <v>1</v>
      </c>
      <c r="G241" s="1056"/>
      <c r="H241" s="1057"/>
      <c r="I241" s="1057"/>
      <c r="J241" s="1057"/>
      <c r="K241" s="1057">
        <f t="shared" ref="K241:AP241" si="292">IF(K7&gt;공사기간,$E$241*K233,0)</f>
        <v>0</v>
      </c>
      <c r="L241" s="1057">
        <f t="shared" si="292"/>
        <v>0</v>
      </c>
      <c r="M241" s="1057">
        <f t="shared" si="292"/>
        <v>0</v>
      </c>
      <c r="N241" s="1057">
        <f t="shared" si="292"/>
        <v>0</v>
      </c>
      <c r="O241" s="1057">
        <f t="shared" si="292"/>
        <v>0</v>
      </c>
      <c r="P241" s="1057">
        <f t="shared" si="292"/>
        <v>0</v>
      </c>
      <c r="Q241" s="1057">
        <f t="shared" si="292"/>
        <v>0</v>
      </c>
      <c r="R241" s="1057">
        <f t="shared" si="292"/>
        <v>0</v>
      </c>
      <c r="S241" s="1057">
        <f t="shared" si="292"/>
        <v>0</v>
      </c>
      <c r="T241" s="1057">
        <f t="shared" si="292"/>
        <v>0</v>
      </c>
      <c r="U241" s="1057">
        <f t="shared" si="292"/>
        <v>0</v>
      </c>
      <c r="V241" s="1057">
        <f t="shared" si="292"/>
        <v>0</v>
      </c>
      <c r="W241" s="1057">
        <f t="shared" si="292"/>
        <v>0</v>
      </c>
      <c r="X241" s="1057">
        <f t="shared" si="292"/>
        <v>0</v>
      </c>
      <c r="Y241" s="1057">
        <f t="shared" si="292"/>
        <v>0</v>
      </c>
      <c r="Z241" s="1057">
        <f t="shared" si="292"/>
        <v>0</v>
      </c>
      <c r="AA241" s="1057">
        <f t="shared" si="292"/>
        <v>0</v>
      </c>
      <c r="AB241" s="1057">
        <f t="shared" si="292"/>
        <v>0</v>
      </c>
      <c r="AC241" s="1057">
        <f t="shared" si="292"/>
        <v>0</v>
      </c>
      <c r="AD241" s="1057">
        <f t="shared" si="292"/>
        <v>0</v>
      </c>
      <c r="AE241" s="1057">
        <f t="shared" si="292"/>
        <v>0</v>
      </c>
      <c r="AF241" s="1057">
        <f t="shared" si="292"/>
        <v>0</v>
      </c>
      <c r="AG241" s="1057">
        <f t="shared" si="292"/>
        <v>0</v>
      </c>
      <c r="AH241" s="1057">
        <f t="shared" si="292"/>
        <v>0</v>
      </c>
      <c r="AI241" s="1057">
        <f t="shared" si="292"/>
        <v>0</v>
      </c>
      <c r="AJ241" s="1057">
        <f t="shared" si="292"/>
        <v>0</v>
      </c>
      <c r="AK241" s="1057">
        <f t="shared" si="292"/>
        <v>0</v>
      </c>
      <c r="AL241" s="1057">
        <f t="shared" si="292"/>
        <v>0</v>
      </c>
      <c r="AM241" s="1057">
        <f t="shared" si="292"/>
        <v>0</v>
      </c>
      <c r="AN241" s="1057">
        <f t="shared" si="292"/>
        <v>0</v>
      </c>
      <c r="AO241" s="1057">
        <f t="shared" si="292"/>
        <v>0</v>
      </c>
      <c r="AP241" s="1057">
        <f t="shared" si="292"/>
        <v>0</v>
      </c>
      <c r="AQ241" s="1057">
        <f t="shared" ref="AQ241:BX241" si="293">IF(AQ7&gt;공사기간,$E$241*AQ233,0)</f>
        <v>0</v>
      </c>
      <c r="AR241" s="1057">
        <f t="shared" si="293"/>
        <v>0</v>
      </c>
      <c r="AS241" s="1057">
        <f t="shared" si="293"/>
        <v>0</v>
      </c>
      <c r="AT241" s="1057">
        <f t="shared" si="293"/>
        <v>0</v>
      </c>
      <c r="AU241" s="1057">
        <f t="shared" si="293"/>
        <v>0</v>
      </c>
      <c r="AV241" s="1057">
        <f t="shared" si="293"/>
        <v>0</v>
      </c>
      <c r="AW241" s="1057">
        <f t="shared" si="293"/>
        <v>0</v>
      </c>
      <c r="AX241" s="1057">
        <f t="shared" si="293"/>
        <v>0</v>
      </c>
      <c r="AY241" s="1057">
        <f t="shared" si="293"/>
        <v>0</v>
      </c>
      <c r="AZ241" s="1057">
        <f t="shared" si="293"/>
        <v>0</v>
      </c>
      <c r="BA241" s="1057">
        <f t="shared" si="293"/>
        <v>0</v>
      </c>
      <c r="BB241" s="1057">
        <f t="shared" si="293"/>
        <v>0</v>
      </c>
      <c r="BC241" s="1057">
        <f t="shared" si="293"/>
        <v>0</v>
      </c>
      <c r="BD241" s="1057">
        <f t="shared" si="293"/>
        <v>0</v>
      </c>
      <c r="BE241" s="1057">
        <f t="shared" si="293"/>
        <v>0</v>
      </c>
      <c r="BF241" s="1057">
        <f t="shared" si="293"/>
        <v>0</v>
      </c>
      <c r="BG241" s="1057">
        <f t="shared" si="293"/>
        <v>0</v>
      </c>
      <c r="BH241" s="1057">
        <f t="shared" si="293"/>
        <v>0</v>
      </c>
      <c r="BI241" s="1057">
        <f t="shared" si="293"/>
        <v>0</v>
      </c>
      <c r="BJ241" s="1057">
        <f t="shared" si="293"/>
        <v>0</v>
      </c>
      <c r="BK241" s="1057">
        <f t="shared" si="293"/>
        <v>0</v>
      </c>
      <c r="BL241" s="1057">
        <f t="shared" si="293"/>
        <v>0</v>
      </c>
      <c r="BM241" s="1057">
        <f t="shared" si="293"/>
        <v>0</v>
      </c>
      <c r="BN241" s="1057">
        <f t="shared" si="293"/>
        <v>0</v>
      </c>
      <c r="BO241" s="1057">
        <f t="shared" si="293"/>
        <v>0</v>
      </c>
      <c r="BP241" s="1057">
        <f t="shared" si="293"/>
        <v>0</v>
      </c>
      <c r="BQ241" s="1057">
        <f t="shared" si="293"/>
        <v>0</v>
      </c>
      <c r="BR241" s="1057">
        <f t="shared" si="293"/>
        <v>0</v>
      </c>
      <c r="BS241" s="1057">
        <f t="shared" si="293"/>
        <v>0</v>
      </c>
      <c r="BT241" s="1057">
        <f t="shared" si="293"/>
        <v>0</v>
      </c>
      <c r="BU241" s="1057">
        <f t="shared" si="293"/>
        <v>0</v>
      </c>
      <c r="BV241" s="1057">
        <f t="shared" si="293"/>
        <v>0</v>
      </c>
      <c r="BW241" s="1057">
        <f t="shared" si="293"/>
        <v>0</v>
      </c>
      <c r="BX241" s="1057">
        <f t="shared" si="293"/>
        <v>0</v>
      </c>
      <c r="BY241" s="1074" t="str">
        <f t="shared" si="289"/>
        <v>잔금</v>
      </c>
      <c r="BZ241" s="1068">
        <f t="shared" si="290"/>
        <v>0</v>
      </c>
      <c r="CA241" s="1069" t="b">
        <f t="shared" si="291"/>
        <v>1</v>
      </c>
      <c r="CB241" s="1084"/>
    </row>
    <row r="242" spans="1:80" s="1082" customFormat="1">
      <c r="B242" s="1085" t="s">
        <v>126</v>
      </c>
      <c r="C242" s="1901"/>
      <c r="D242" s="1060">
        <f>SUM(D234:D241)</f>
        <v>1</v>
      </c>
      <c r="E242" s="1061">
        <f>SUM(E234:E241)</f>
        <v>0</v>
      </c>
      <c r="F242" s="1062" t="b">
        <f t="shared" si="286"/>
        <v>1</v>
      </c>
      <c r="G242" s="1056">
        <f t="shared" ref="G242:BR242" si="294">SUM(G234:G241)</f>
        <v>0</v>
      </c>
      <c r="H242" s="1056">
        <f t="shared" si="294"/>
        <v>0</v>
      </c>
      <c r="I242" s="1056">
        <f t="shared" si="294"/>
        <v>0</v>
      </c>
      <c r="J242" s="1056">
        <f t="shared" si="294"/>
        <v>0</v>
      </c>
      <c r="K242" s="1056">
        <f t="shared" si="294"/>
        <v>0</v>
      </c>
      <c r="L242" s="1056">
        <f t="shared" si="294"/>
        <v>0</v>
      </c>
      <c r="M242" s="1056">
        <f t="shared" si="294"/>
        <v>0</v>
      </c>
      <c r="N242" s="1056">
        <f t="shared" si="294"/>
        <v>0</v>
      </c>
      <c r="O242" s="1056">
        <f t="shared" si="294"/>
        <v>0</v>
      </c>
      <c r="P242" s="1056">
        <f t="shared" si="294"/>
        <v>0</v>
      </c>
      <c r="Q242" s="1056">
        <f t="shared" si="294"/>
        <v>0</v>
      </c>
      <c r="R242" s="1056">
        <f t="shared" si="294"/>
        <v>0</v>
      </c>
      <c r="S242" s="1056">
        <f t="shared" si="294"/>
        <v>0</v>
      </c>
      <c r="T242" s="1056">
        <f t="shared" si="294"/>
        <v>0</v>
      </c>
      <c r="U242" s="1056">
        <f t="shared" si="294"/>
        <v>0</v>
      </c>
      <c r="V242" s="1056">
        <f t="shared" si="294"/>
        <v>0</v>
      </c>
      <c r="W242" s="1056">
        <f t="shared" si="294"/>
        <v>0</v>
      </c>
      <c r="X242" s="1056">
        <f t="shared" si="294"/>
        <v>0</v>
      </c>
      <c r="Y242" s="1056">
        <f t="shared" si="294"/>
        <v>0</v>
      </c>
      <c r="Z242" s="1056">
        <f t="shared" si="294"/>
        <v>0</v>
      </c>
      <c r="AA242" s="1056">
        <f t="shared" si="294"/>
        <v>0</v>
      </c>
      <c r="AB242" s="1056">
        <f t="shared" si="294"/>
        <v>0</v>
      </c>
      <c r="AC242" s="1056">
        <f t="shared" si="294"/>
        <v>0</v>
      </c>
      <c r="AD242" s="1056">
        <f t="shared" si="294"/>
        <v>0</v>
      </c>
      <c r="AE242" s="1056">
        <f t="shared" si="294"/>
        <v>0</v>
      </c>
      <c r="AF242" s="1056">
        <f t="shared" si="294"/>
        <v>0</v>
      </c>
      <c r="AG242" s="1056">
        <f t="shared" si="294"/>
        <v>0</v>
      </c>
      <c r="AH242" s="1056">
        <f t="shared" si="294"/>
        <v>0</v>
      </c>
      <c r="AI242" s="1056">
        <f t="shared" si="294"/>
        <v>0</v>
      </c>
      <c r="AJ242" s="1056">
        <f t="shared" si="294"/>
        <v>0</v>
      </c>
      <c r="AK242" s="1056">
        <f t="shared" si="294"/>
        <v>0</v>
      </c>
      <c r="AL242" s="1056">
        <f t="shared" si="294"/>
        <v>0</v>
      </c>
      <c r="AM242" s="1056">
        <f t="shared" si="294"/>
        <v>0</v>
      </c>
      <c r="AN242" s="1056">
        <f t="shared" si="294"/>
        <v>0</v>
      </c>
      <c r="AO242" s="1056">
        <f t="shared" si="294"/>
        <v>0</v>
      </c>
      <c r="AP242" s="1056">
        <f t="shared" si="294"/>
        <v>0</v>
      </c>
      <c r="AQ242" s="1056">
        <f t="shared" si="294"/>
        <v>0</v>
      </c>
      <c r="AR242" s="1056">
        <f t="shared" si="294"/>
        <v>0</v>
      </c>
      <c r="AS242" s="1056">
        <f t="shared" si="294"/>
        <v>0</v>
      </c>
      <c r="AT242" s="1056">
        <f t="shared" si="294"/>
        <v>0</v>
      </c>
      <c r="AU242" s="1056">
        <f t="shared" si="294"/>
        <v>0</v>
      </c>
      <c r="AV242" s="1056">
        <f t="shared" si="294"/>
        <v>0</v>
      </c>
      <c r="AW242" s="1056">
        <f t="shared" si="294"/>
        <v>0</v>
      </c>
      <c r="AX242" s="1056">
        <f t="shared" si="294"/>
        <v>0</v>
      </c>
      <c r="AY242" s="1056">
        <f t="shared" si="294"/>
        <v>0</v>
      </c>
      <c r="AZ242" s="1056">
        <f t="shared" si="294"/>
        <v>0</v>
      </c>
      <c r="BA242" s="1056">
        <f t="shared" si="294"/>
        <v>0</v>
      </c>
      <c r="BB242" s="1056">
        <f t="shared" si="294"/>
        <v>0</v>
      </c>
      <c r="BC242" s="1056">
        <f t="shared" si="294"/>
        <v>0</v>
      </c>
      <c r="BD242" s="1056">
        <f t="shared" si="294"/>
        <v>0</v>
      </c>
      <c r="BE242" s="1056">
        <f t="shared" si="294"/>
        <v>0</v>
      </c>
      <c r="BF242" s="1056">
        <f t="shared" si="294"/>
        <v>0</v>
      </c>
      <c r="BG242" s="1056">
        <f t="shared" si="294"/>
        <v>0</v>
      </c>
      <c r="BH242" s="1056">
        <f t="shared" si="294"/>
        <v>0</v>
      </c>
      <c r="BI242" s="1056">
        <f t="shared" si="294"/>
        <v>0</v>
      </c>
      <c r="BJ242" s="1056">
        <f t="shared" si="294"/>
        <v>0</v>
      </c>
      <c r="BK242" s="1056">
        <f t="shared" si="294"/>
        <v>0</v>
      </c>
      <c r="BL242" s="1056">
        <f t="shared" si="294"/>
        <v>0</v>
      </c>
      <c r="BM242" s="1056">
        <f t="shared" si="294"/>
        <v>0</v>
      </c>
      <c r="BN242" s="1056">
        <f t="shared" si="294"/>
        <v>0</v>
      </c>
      <c r="BO242" s="1056">
        <f t="shared" si="294"/>
        <v>0</v>
      </c>
      <c r="BP242" s="1056">
        <f t="shared" si="294"/>
        <v>0</v>
      </c>
      <c r="BQ242" s="1056">
        <f t="shared" si="294"/>
        <v>0</v>
      </c>
      <c r="BR242" s="1056">
        <f t="shared" si="294"/>
        <v>0</v>
      </c>
      <c r="BS242" s="1056">
        <f t="shared" ref="BS242:BU242" si="295">SUM(BS234:BS241)</f>
        <v>0</v>
      </c>
      <c r="BT242" s="1056">
        <f t="shared" si="295"/>
        <v>0</v>
      </c>
      <c r="BU242" s="1056">
        <f t="shared" si="295"/>
        <v>0</v>
      </c>
      <c r="BV242" s="1056">
        <f t="shared" ref="BV242" si="296">SUM(BV234:BV241)</f>
        <v>0</v>
      </c>
      <c r="BW242" s="1056">
        <f t="shared" ref="BW242:BX242" si="297">SUM(BW234:BW241)</f>
        <v>0</v>
      </c>
      <c r="BX242" s="1056">
        <f t="shared" si="297"/>
        <v>0</v>
      </c>
      <c r="BY242" s="1079" t="str">
        <f t="shared" si="289"/>
        <v>합계</v>
      </c>
      <c r="BZ242" s="1080">
        <f t="shared" si="290"/>
        <v>0</v>
      </c>
      <c r="CA242" s="1087" t="b">
        <f t="shared" si="291"/>
        <v>1</v>
      </c>
      <c r="CB242" s="1084"/>
    </row>
    <row r="243" spans="1:80" s="1082" customFormat="1">
      <c r="B243" s="2349" t="str">
        <f>Equity!G11</f>
        <v>물류센터</v>
      </c>
      <c r="C243" s="2350"/>
      <c r="D243" s="2350"/>
      <c r="E243" s="2351"/>
      <c r="F243" s="1062"/>
      <c r="G243" s="1056"/>
      <c r="H243" s="1057"/>
      <c r="I243" s="1057"/>
      <c r="J243" s="1057"/>
      <c r="K243" s="1057"/>
      <c r="L243" s="1057"/>
      <c r="M243" s="1057"/>
      <c r="N243" s="1057"/>
      <c r="O243" s="1057"/>
      <c r="P243" s="1057"/>
      <c r="Q243" s="1057"/>
      <c r="R243" s="1057"/>
      <c r="S243" s="1057"/>
      <c r="T243" s="1057"/>
      <c r="U243" s="1057"/>
      <c r="V243" s="1057"/>
      <c r="W243" s="1057"/>
      <c r="X243" s="1057"/>
      <c r="Y243" s="1057"/>
      <c r="Z243" s="1057"/>
      <c r="AA243" s="1057"/>
      <c r="AB243" s="1057"/>
      <c r="AC243" s="1057"/>
      <c r="AD243" s="1057"/>
      <c r="AE243" s="1057"/>
      <c r="AF243" s="1057"/>
      <c r="AG243" s="1057"/>
      <c r="AH243" s="1057"/>
      <c r="AI243" s="1057"/>
      <c r="AJ243" s="1057"/>
      <c r="AK243" s="1057"/>
      <c r="AL243" s="1057"/>
      <c r="AM243" s="1057"/>
      <c r="AN243" s="1057"/>
      <c r="AO243" s="1057"/>
      <c r="AP243" s="1057"/>
      <c r="AQ243" s="1057"/>
      <c r="AR243" s="1057"/>
      <c r="AS243" s="1057"/>
      <c r="AT243" s="1057"/>
      <c r="AU243" s="1057"/>
      <c r="AV243" s="1057"/>
      <c r="AW243" s="1057"/>
      <c r="AX243" s="1057"/>
      <c r="AY243" s="1057"/>
      <c r="AZ243" s="1057"/>
      <c r="BA243" s="1057"/>
      <c r="BB243" s="1057"/>
      <c r="BC243" s="1057"/>
      <c r="BD243" s="1057"/>
      <c r="BE243" s="1057"/>
      <c r="BF243" s="1057"/>
      <c r="BG243" s="1057"/>
      <c r="BH243" s="1057"/>
      <c r="BI243" s="1057"/>
      <c r="BJ243" s="1057"/>
      <c r="BK243" s="1057"/>
      <c r="BL243" s="1057"/>
      <c r="BM243" s="1057"/>
      <c r="BN243" s="1057"/>
      <c r="BO243" s="1057"/>
      <c r="BP243" s="1057"/>
      <c r="BQ243" s="1057"/>
      <c r="BR243" s="1057"/>
      <c r="BS243" s="1057"/>
      <c r="BT243" s="1057"/>
      <c r="BU243" s="1057"/>
      <c r="BV243" s="1914">
        <f>비용집행계획!BQ23</f>
        <v>1</v>
      </c>
      <c r="BW243" s="1914">
        <f>비용집행계획!BR23</f>
        <v>0</v>
      </c>
      <c r="BX243" s="1914">
        <f>비용집행계획!BS23</f>
        <v>0</v>
      </c>
      <c r="BY243" s="2352" t="str">
        <f t="shared" si="289"/>
        <v>물류센터</v>
      </c>
      <c r="BZ243" s="2353"/>
      <c r="CA243" s="1083"/>
      <c r="CB243" s="1084"/>
    </row>
    <row r="244" spans="1:80" s="1082" customFormat="1">
      <c r="B244" s="1085" t="s">
        <v>120</v>
      </c>
      <c r="C244" s="1901"/>
      <c r="D244" s="1060">
        <f>Equity!H11</f>
        <v>0.1</v>
      </c>
      <c r="E244" s="1061">
        <f>분양개요!$O$12*D244</f>
        <v>0</v>
      </c>
      <c r="F244" s="1062" t="b">
        <f t="shared" ref="F244:F252" si="298">CA244</f>
        <v>1</v>
      </c>
      <c r="G244" s="1056"/>
      <c r="H244" s="1057"/>
      <c r="I244" s="1057"/>
      <c r="J244" s="1057"/>
      <c r="K244" s="1057">
        <f t="shared" ref="K244:AP244" si="299">$E$244*K27</f>
        <v>0</v>
      </c>
      <c r="L244" s="1057">
        <f t="shared" si="299"/>
        <v>0</v>
      </c>
      <c r="M244" s="1057">
        <f t="shared" si="299"/>
        <v>0</v>
      </c>
      <c r="N244" s="1057">
        <f t="shared" si="299"/>
        <v>0</v>
      </c>
      <c r="O244" s="1057">
        <f t="shared" si="299"/>
        <v>0</v>
      </c>
      <c r="P244" s="1057">
        <f t="shared" si="299"/>
        <v>0</v>
      </c>
      <c r="Q244" s="1057">
        <f t="shared" si="299"/>
        <v>0</v>
      </c>
      <c r="R244" s="1057">
        <f t="shared" si="299"/>
        <v>0</v>
      </c>
      <c r="S244" s="1057">
        <f t="shared" si="299"/>
        <v>0</v>
      </c>
      <c r="T244" s="1057">
        <f t="shared" si="299"/>
        <v>0</v>
      </c>
      <c r="U244" s="1057">
        <f t="shared" si="299"/>
        <v>0</v>
      </c>
      <c r="V244" s="1057">
        <f t="shared" si="299"/>
        <v>0</v>
      </c>
      <c r="W244" s="1057">
        <f t="shared" si="299"/>
        <v>0</v>
      </c>
      <c r="X244" s="1057">
        <f t="shared" si="299"/>
        <v>0</v>
      </c>
      <c r="Y244" s="1057">
        <f t="shared" si="299"/>
        <v>0</v>
      </c>
      <c r="Z244" s="1057">
        <f t="shared" si="299"/>
        <v>0</v>
      </c>
      <c r="AA244" s="1057">
        <f t="shared" si="299"/>
        <v>0</v>
      </c>
      <c r="AB244" s="1057">
        <f t="shared" si="299"/>
        <v>0</v>
      </c>
      <c r="AC244" s="1057">
        <f t="shared" si="299"/>
        <v>0</v>
      </c>
      <c r="AD244" s="1057">
        <f t="shared" si="299"/>
        <v>0</v>
      </c>
      <c r="AE244" s="1057">
        <f t="shared" si="299"/>
        <v>0</v>
      </c>
      <c r="AF244" s="1057">
        <f t="shared" si="299"/>
        <v>0</v>
      </c>
      <c r="AG244" s="1057">
        <f t="shared" si="299"/>
        <v>0</v>
      </c>
      <c r="AH244" s="1057">
        <f t="shared" si="299"/>
        <v>0</v>
      </c>
      <c r="AI244" s="1057">
        <f t="shared" si="299"/>
        <v>0</v>
      </c>
      <c r="AJ244" s="1057">
        <f t="shared" si="299"/>
        <v>0</v>
      </c>
      <c r="AK244" s="1057">
        <f t="shared" si="299"/>
        <v>0</v>
      </c>
      <c r="AL244" s="1057">
        <f t="shared" si="299"/>
        <v>0</v>
      </c>
      <c r="AM244" s="1057">
        <f t="shared" si="299"/>
        <v>0</v>
      </c>
      <c r="AN244" s="1057">
        <f t="shared" si="299"/>
        <v>0</v>
      </c>
      <c r="AO244" s="1057">
        <f t="shared" si="299"/>
        <v>0</v>
      </c>
      <c r="AP244" s="1057">
        <f t="shared" si="299"/>
        <v>0</v>
      </c>
      <c r="AQ244" s="1057">
        <f t="shared" ref="AQ244:BX244" si="300">$E$244*AQ27</f>
        <v>0</v>
      </c>
      <c r="AR244" s="1057">
        <f t="shared" si="300"/>
        <v>0</v>
      </c>
      <c r="AS244" s="1057">
        <f t="shared" si="300"/>
        <v>0</v>
      </c>
      <c r="AT244" s="1057">
        <f t="shared" si="300"/>
        <v>0</v>
      </c>
      <c r="AU244" s="1057">
        <f t="shared" si="300"/>
        <v>0</v>
      </c>
      <c r="AV244" s="1057">
        <f t="shared" si="300"/>
        <v>0</v>
      </c>
      <c r="AW244" s="1057">
        <f t="shared" si="300"/>
        <v>0</v>
      </c>
      <c r="AX244" s="1057">
        <f t="shared" si="300"/>
        <v>0</v>
      </c>
      <c r="AY244" s="1057">
        <f t="shared" si="300"/>
        <v>0</v>
      </c>
      <c r="AZ244" s="1057">
        <f t="shared" si="300"/>
        <v>0</v>
      </c>
      <c r="BA244" s="1057">
        <f t="shared" si="300"/>
        <v>0</v>
      </c>
      <c r="BB244" s="1057">
        <f t="shared" si="300"/>
        <v>0</v>
      </c>
      <c r="BC244" s="1057">
        <f t="shared" si="300"/>
        <v>0</v>
      </c>
      <c r="BD244" s="1057">
        <f t="shared" si="300"/>
        <v>0</v>
      </c>
      <c r="BE244" s="1057">
        <f t="shared" si="300"/>
        <v>0</v>
      </c>
      <c r="BF244" s="1057">
        <f t="shared" si="300"/>
        <v>0</v>
      </c>
      <c r="BG244" s="1057">
        <f t="shared" si="300"/>
        <v>0</v>
      </c>
      <c r="BH244" s="1057">
        <f t="shared" si="300"/>
        <v>0</v>
      </c>
      <c r="BI244" s="1057">
        <f t="shared" si="300"/>
        <v>0</v>
      </c>
      <c r="BJ244" s="1057">
        <f t="shared" si="300"/>
        <v>0</v>
      </c>
      <c r="BK244" s="1057">
        <f t="shared" si="300"/>
        <v>0</v>
      </c>
      <c r="BL244" s="1057">
        <f t="shared" si="300"/>
        <v>0</v>
      </c>
      <c r="BM244" s="1057">
        <f t="shared" si="300"/>
        <v>0</v>
      </c>
      <c r="BN244" s="1057">
        <f t="shared" si="300"/>
        <v>0</v>
      </c>
      <c r="BO244" s="1057">
        <f t="shared" si="300"/>
        <v>0</v>
      </c>
      <c r="BP244" s="1057">
        <f t="shared" si="300"/>
        <v>0</v>
      </c>
      <c r="BQ244" s="1057">
        <f t="shared" si="300"/>
        <v>0</v>
      </c>
      <c r="BR244" s="1057">
        <f t="shared" si="300"/>
        <v>0</v>
      </c>
      <c r="BS244" s="1057">
        <f t="shared" si="300"/>
        <v>0</v>
      </c>
      <c r="BT244" s="1057">
        <f t="shared" si="300"/>
        <v>0</v>
      </c>
      <c r="BU244" s="1057">
        <f t="shared" si="300"/>
        <v>0</v>
      </c>
      <c r="BV244" s="1057">
        <f t="shared" si="300"/>
        <v>0</v>
      </c>
      <c r="BW244" s="1057">
        <f t="shared" si="300"/>
        <v>0</v>
      </c>
      <c r="BX244" s="1057">
        <f t="shared" si="300"/>
        <v>0</v>
      </c>
      <c r="BY244" s="1064" t="str">
        <f t="shared" si="289"/>
        <v>계약금</v>
      </c>
      <c r="BZ244" s="1065">
        <f t="shared" ref="BZ244:BZ252" si="301">SUM(G244:BX244)</f>
        <v>0</v>
      </c>
      <c r="CA244" s="1066" t="b">
        <f t="shared" ref="CA244:CA252" si="302">ROUND(BZ244,0)=ROUND(E244,0)</f>
        <v>1</v>
      </c>
      <c r="CB244" s="1084"/>
    </row>
    <row r="245" spans="1:80" s="1082" customFormat="1">
      <c r="A245">
        <v>1</v>
      </c>
      <c r="B245" s="1067">
        <v>1</v>
      </c>
      <c r="C245" s="1898"/>
      <c r="D245" s="1060">
        <f>IF(B245&lt;Equity!$D$32+1,Equity!$I$10/Equity!$D$32,0)</f>
        <v>0</v>
      </c>
      <c r="E245" s="1061">
        <f>분양개요!$O$12*D245</f>
        <v>0</v>
      </c>
      <c r="F245" s="1062" t="b">
        <f t="shared" si="298"/>
        <v>1</v>
      </c>
      <c r="G245" s="1056"/>
      <c r="H245" s="1057"/>
      <c r="I245" s="1057"/>
      <c r="J245" s="1057"/>
      <c r="K245" s="1057">
        <f>IF(SUM(K$26:$N26)&lt;$A$245,0,(K28*$E$245)-SUM(J$245:$M245))</f>
        <v>0</v>
      </c>
      <c r="L245" s="1057">
        <f>IF(SUM(L$26:$N26)&lt;$A$245,0,(L28*$E$245)-SUM(K$245:$M245))</f>
        <v>0</v>
      </c>
      <c r="M245" s="1057">
        <f>IF(SUM(M$26:$N26)&lt;$A$245,0,(M28*$E$245)-SUM(L$245:$M245))</f>
        <v>0</v>
      </c>
      <c r="N245" s="1057">
        <f>IF(SUM($N$26:N26)&lt;$A$245,0,(N28*$E$245)-SUM($M$245:M245))</f>
        <v>0</v>
      </c>
      <c r="O245" s="1057">
        <f>IF(SUM($N$26:O26)&lt;$A$245,0,(O28*$E$245)-SUM($M$245:N245))</f>
        <v>0</v>
      </c>
      <c r="P245" s="1057">
        <f>IF(SUM($N$26:P26)&lt;$A$245,0,(P28*$E$245)-SUM($M$245:O245))</f>
        <v>0</v>
      </c>
      <c r="Q245" s="1057">
        <f>IF(SUM($N$26:Q26)&lt;$A$245,0,(Q28*$E$245)-SUM($M$245:P245))</f>
        <v>0</v>
      </c>
      <c r="R245" s="1057">
        <f>IF(SUM($N$26:R26)&lt;$A$245,0,(R28*$E$245)-SUM($M$245:Q245))</f>
        <v>0</v>
      </c>
      <c r="S245" s="1057">
        <f>IF(SUM($N$26:S26)&lt;$A$245,0,(S28*$E$245)-SUM($M$245:R245))</f>
        <v>0</v>
      </c>
      <c r="T245" s="1057">
        <f>IF(SUM($N$26:T26)&lt;$A$245,0,(T28*$E$245)-SUM($M$245:S245))</f>
        <v>0</v>
      </c>
      <c r="U245" s="1057">
        <f>IF(SUM($N$26:U26)&lt;$A$245,0,(U28*$E$245)-SUM($M$245:T245))</f>
        <v>0</v>
      </c>
      <c r="V245" s="1057">
        <f>IF(SUM($N$26:V26)&lt;$A$245,0,(V28*$E$245)-SUM($M$245:U245))</f>
        <v>0</v>
      </c>
      <c r="W245" s="1057">
        <f>IF(SUM($N$26:W26)&lt;$A$245,0,(W28*$E$245)-SUM($M$245:V245))</f>
        <v>0</v>
      </c>
      <c r="X245" s="1057">
        <f>IF(SUM($N$26:X26)&lt;$A$245,0,(X28*$E$245)-SUM($M$245:W245))</f>
        <v>0</v>
      </c>
      <c r="Y245" s="1057">
        <f>IF(SUM($N$26:Y26)&lt;$A$245,0,(Y28*$E$245)-SUM($M$245:X245))</f>
        <v>0</v>
      </c>
      <c r="Z245" s="1057">
        <f>IF(SUM($N$26:Z26)&lt;$A$245,0,(Z28*$E$245)-SUM($M$245:Y245))</f>
        <v>0</v>
      </c>
      <c r="AA245" s="1057">
        <f>IF(SUM($N$26:AA26)&lt;$A$245,0,(AA28*$E$245)-SUM($M$245:Z245))</f>
        <v>0</v>
      </c>
      <c r="AB245" s="1057">
        <f>IF(SUM($N$26:AB26)&lt;$A$245,0,(AB28*$E$245)-SUM($M$245:AA245))</f>
        <v>0</v>
      </c>
      <c r="AC245" s="1057">
        <f>IF(SUM($N$26:AC26)&lt;$A$245,0,(AC28*$E$245)-SUM($M$245:AB245))</f>
        <v>0</v>
      </c>
      <c r="AD245" s="1057">
        <f>IF(SUM($N$26:AD26)&lt;$A$245,0,(AD28*$E$245)-SUM($M$245:AC245))</f>
        <v>0</v>
      </c>
      <c r="AE245" s="1057">
        <f>IF(SUM($N$26:AE26)&lt;$A$245,0,(AE28*$E$245)-SUM($M$245:AD245))</f>
        <v>0</v>
      </c>
      <c r="AF245" s="1057">
        <f>IF(SUM($N$26:AF26)&lt;$A$245,0,(AF28*$E$245)-SUM($M$245:AE245))</f>
        <v>0</v>
      </c>
      <c r="AG245" s="1057">
        <f>IF(SUM($N$26:AG26)&lt;$A$245,0,(AG28*$E$245)-SUM($M$245:AF245))</f>
        <v>0</v>
      </c>
      <c r="AH245" s="1057">
        <f>IF(SUM($N$26:AH26)&lt;$A$245,0,(AH28*$E$245)-SUM($M$245:AG245))</f>
        <v>0</v>
      </c>
      <c r="AI245" s="1057">
        <f>IF(SUM($N$26:AI26)&lt;$A$245,0,(AI28*$E$245)-SUM($M$245:AH245))</f>
        <v>0</v>
      </c>
      <c r="AJ245" s="1057">
        <f>IF(SUM($N$26:AJ26)&lt;$A$245,0,(AJ28*$E$245)-SUM($M$245:AI245))</f>
        <v>0</v>
      </c>
      <c r="AK245" s="1057">
        <f>IF(SUM($N$26:AK26)&lt;$A$245,0,(AK28*$E$245)-SUM($M$245:AJ245))</f>
        <v>0</v>
      </c>
      <c r="AL245" s="1057">
        <f>IF(SUM($N$26:AL26)&lt;$A$245,0,(AL28*$E$245)-SUM($M$245:AK245))</f>
        <v>0</v>
      </c>
      <c r="AM245" s="1057">
        <f>IF(SUM($N$26:AM26)&lt;$A$245,0,(AM28*$E$245)-SUM($M$245:AL245))</f>
        <v>0</v>
      </c>
      <c r="AN245" s="1057">
        <f>IF(SUM($N$26:AN26)&lt;$A$245,0,(AN28*$E$245)-SUM($M$245:AM245))</f>
        <v>0</v>
      </c>
      <c r="AO245" s="1057">
        <f>IF(SUM($N$26:AO26)&lt;$A$245,0,(AO28*$E$245)-SUM($M$245:AN245))</f>
        <v>0</v>
      </c>
      <c r="AP245" s="1057">
        <f>IF(SUM($N$26:AP26)&lt;$A$245,0,(AP28*$E$245)-SUM($M$245:AO245))</f>
        <v>0</v>
      </c>
      <c r="AQ245" s="1057">
        <f>IF(SUM($N$26:AQ26)&lt;$A$245,0,(AQ28*$E$245)-SUM($M$245:AP245))</f>
        <v>0</v>
      </c>
      <c r="AR245" s="1057">
        <f>IF(SUM($N$26:AR26)&lt;$A$245,0,(AR28*$E$245)-SUM($M$245:AQ245))</f>
        <v>0</v>
      </c>
      <c r="AS245" s="1057">
        <f>IF(SUM($N$26:AS26)&lt;$A$245,0,(AS28*$E$245)-SUM($M$245:AR245))</f>
        <v>0</v>
      </c>
      <c r="AT245" s="1057">
        <f>IF(SUM($N$26:AT26)&lt;$A$245,0,(AT28*$E$245)-SUM($M$245:AS245))</f>
        <v>0</v>
      </c>
      <c r="AU245" s="1057">
        <f>IF(SUM($N$26:AU26)&lt;$A$245,0,(AU28*$E$245)-SUM($M$245:AT245))</f>
        <v>0</v>
      </c>
      <c r="AV245" s="1057">
        <f>IF(SUM($N$26:AV26)&lt;$A$245,0,(AV28*$E$245)-SUM($M$245:AU245))</f>
        <v>0</v>
      </c>
      <c r="AW245" s="1057">
        <f>IF(SUM($N$26:AW26)&lt;$A$245,0,(AW28*$E$245)-SUM($M$245:AV245))</f>
        <v>0</v>
      </c>
      <c r="AX245" s="1057">
        <f>IF(SUM($N$26:AX26)&lt;$A$245,0,(AX28*$E$245)-SUM($M$245:AW245))</f>
        <v>0</v>
      </c>
      <c r="AY245" s="1057">
        <f>IF(SUM($N$26:AY26)&lt;$A$245,0,(AY28*$E$245)-SUM($M$245:AX245))</f>
        <v>0</v>
      </c>
      <c r="AZ245" s="1057">
        <f>IF(SUM($N$26:AZ26)&lt;$A$245,0,(AZ28*$E$245)-SUM($M$245:AY245))</f>
        <v>0</v>
      </c>
      <c r="BA245" s="1057">
        <f>IF(SUM($N$26:BA26)&lt;$A$245,0,(BA28*$E$245)-SUM($M$245:AZ245))</f>
        <v>0</v>
      </c>
      <c r="BB245" s="1057">
        <f>IF(SUM($N$26:BB26)&lt;$A$245,0,(BB28*$E$245)-SUM($M$245:BA245))</f>
        <v>0</v>
      </c>
      <c r="BC245" s="1057">
        <f>IF(SUM($N$26:BC26)&lt;$A$245,0,(BC28*$E$245)-SUM($M$245:BB245))</f>
        <v>0</v>
      </c>
      <c r="BD245" s="1057">
        <f>IF(SUM($N$26:BD26)&lt;$A$245,0,(BD28*$E$245)-SUM($M$245:BC245))</f>
        <v>0</v>
      </c>
      <c r="BE245" s="1057">
        <f>IF(SUM($N$26:BE26)&lt;$A$245,0,(BE28*$E$245)-SUM($M$245:BD245))</f>
        <v>0</v>
      </c>
      <c r="BF245" s="1057">
        <f>IF(SUM($N$26:BF26)&lt;$A$245,0,(BF28*$E$245)-SUM($M$245:BE245))</f>
        <v>0</v>
      </c>
      <c r="BG245" s="1057">
        <f>IF(SUM($N$26:BG26)&lt;$A$245,0,(BG28*$E$245)-SUM($M$245:BF245))</f>
        <v>0</v>
      </c>
      <c r="BH245" s="1057">
        <f>IF(SUM($N$26:BH26)&lt;$A$245,0,(BH28*$E$245)-SUM($M$245:BG245))</f>
        <v>0</v>
      </c>
      <c r="BI245" s="1057">
        <f>IF(SUM($N$26:BI26)&lt;$A$245,0,(BI28*$E$245)-SUM($M$245:BH245))</f>
        <v>0</v>
      </c>
      <c r="BJ245" s="1057">
        <f>IF(SUM($N$26:BJ26)&lt;$A$245,0,(BJ28*$E$245)-SUM($M$245:BI245))</f>
        <v>0</v>
      </c>
      <c r="BK245" s="1057">
        <f>IF(SUM($N$26:BK26)&lt;$A$245,0,(BK28*$E$245)-SUM($M$245:BJ245))</f>
        <v>0</v>
      </c>
      <c r="BL245" s="1057">
        <f>IF(SUM($N$26:BL26)&lt;$A$245,0,(BL28*$E$245)-SUM($M$245:BK245))</f>
        <v>0</v>
      </c>
      <c r="BM245" s="1057">
        <f>IF(SUM($N$26:BM26)&lt;$A$245,0,(BM28*$E$245)-SUM($M$245:BL245))</f>
        <v>0</v>
      </c>
      <c r="BN245" s="1057">
        <f>IF(SUM($N$26:BN26)&lt;$A$245,0,(BN28*$E$245)-SUM($M$245:BM245))</f>
        <v>0</v>
      </c>
      <c r="BO245" s="1057">
        <f>IF(SUM($N$26:BO26)&lt;$A$245,0,(BO28*$E$245)-SUM($M$245:BN245))</f>
        <v>0</v>
      </c>
      <c r="BP245" s="1057">
        <f>IF(SUM($N$26:BP26)&lt;$A$245,0,(BP28*$E$245)-SUM($M$245:BO245))</f>
        <v>0</v>
      </c>
      <c r="BQ245" s="1057">
        <f>IF(SUM($N$26:BQ26)&lt;$A$245,0,(BQ28*$E$245)-SUM($M$245:BP245))</f>
        <v>0</v>
      </c>
      <c r="BR245" s="1057">
        <f>IF(SUM($N$26:BR26)&lt;$A$245,0,(BR28*$E$245)-SUM($M$245:BQ245))</f>
        <v>0</v>
      </c>
      <c r="BS245" s="1057">
        <f>IF(SUM($N$26:BS26)&lt;$A$245,0,(BS28*$E$245)-SUM($M$245:BR245))</f>
        <v>0</v>
      </c>
      <c r="BT245" s="1057">
        <f>IF(SUM($N$26:BT26)&lt;$A$245,0,(BT28*$E$245)-SUM($M$245:BS245))</f>
        <v>0</v>
      </c>
      <c r="BU245" s="1057">
        <f>IF(SUM($N$26:BU26)&lt;$A$245,0,(BU28*$E$245)-SUM($M$245:BT245))</f>
        <v>0</v>
      </c>
      <c r="BV245" s="1057">
        <f>IF(SUM($N$26:BV26)&lt;$A$245,0,(BV28*$E$245)-SUM($M$245:BU245))</f>
        <v>0</v>
      </c>
      <c r="BW245" s="1057">
        <f>IF(SUM($N$26:BW26)&lt;$A$245,0,(BW28*$E$245)-SUM($M$245:BV245))</f>
        <v>0</v>
      </c>
      <c r="BX245" s="1057">
        <f>IF(SUM($N$26:BX26)&lt;$A$245,0,(BX28*$E$245)-SUM($M$245:BW245))</f>
        <v>0</v>
      </c>
      <c r="BY245" s="1067">
        <f t="shared" si="289"/>
        <v>1</v>
      </c>
      <c r="BZ245" s="1068">
        <f t="shared" si="301"/>
        <v>0</v>
      </c>
      <c r="CA245" s="1069" t="b">
        <f t="shared" si="302"/>
        <v>1</v>
      </c>
      <c r="CB245" s="1084"/>
    </row>
    <row r="246" spans="1:80" s="1082" customFormat="1">
      <c r="A246" s="398">
        <v>3</v>
      </c>
      <c r="B246" s="1067">
        <v>2</v>
      </c>
      <c r="C246" s="1898"/>
      <c r="D246" s="1060">
        <f>IF(B246&lt;Equity!$D$32+1,Equity!$I$10/Equity!$D$32,0)</f>
        <v>0</v>
      </c>
      <c r="E246" s="1061">
        <f>분양개요!$O$12*D246</f>
        <v>0</v>
      </c>
      <c r="F246" s="1062" t="b">
        <f t="shared" si="298"/>
        <v>1</v>
      </c>
      <c r="G246" s="1056"/>
      <c r="H246" s="1057"/>
      <c r="I246" s="1057"/>
      <c r="J246" s="1057"/>
      <c r="K246" s="1057">
        <f>IF(SUM(K$26:$N26)&lt;$A$246,0,(K28*$E$246)-SUM(J$246:$M246))</f>
        <v>0</v>
      </c>
      <c r="L246" s="1057">
        <f>IF(SUM(L$26:$N26)&lt;$A$246,0,(L28*$E$246)-SUM(K$246:$M246))</f>
        <v>0</v>
      </c>
      <c r="M246" s="1057">
        <f>IF(SUM(M$26:$N26)&lt;$A$246,0,(M28*$E$246)-SUM(L$246:$M246))</f>
        <v>0</v>
      </c>
      <c r="N246" s="1057">
        <f>IF(SUM($N$26:N26)&lt;$A$246,0,(N28*$E$246)-SUM($M$246:M246))</f>
        <v>0</v>
      </c>
      <c r="O246" s="1057">
        <f>IF(SUM($N$26:O26)&lt;$A$246,0,(O28*$E$246)-SUM($M$246:N246))</f>
        <v>0</v>
      </c>
      <c r="P246" s="1057">
        <f>IF(SUM($N$26:P26)&lt;$A$246,0,(P28*$E$246)-SUM($M$246:O246))</f>
        <v>0</v>
      </c>
      <c r="Q246" s="1057">
        <f>IF(SUM($N$26:Q26)&lt;$A$246,0,(Q28*$E$246)-SUM($M$246:P246))</f>
        <v>0</v>
      </c>
      <c r="R246" s="1057">
        <f>IF(SUM($N$26:R26)&lt;$A$246,0,(R28*$E$246)-SUM($M$246:Q246))</f>
        <v>0</v>
      </c>
      <c r="S246" s="1057">
        <f>IF(SUM($N$26:S26)&lt;$A$246,0,(S28*$E$246)-SUM($M$246:R246))</f>
        <v>0</v>
      </c>
      <c r="T246" s="1057">
        <f>IF(SUM($N$26:T26)&lt;$A$246,0,(T28*$E$246)-SUM($M$246:S246))</f>
        <v>0</v>
      </c>
      <c r="U246" s="1057">
        <f>IF(SUM($N$26:U26)&lt;$A$246,0,(U28*$E$246)-SUM($M$246:T246))</f>
        <v>0</v>
      </c>
      <c r="V246" s="1057">
        <f>IF(SUM($N$26:V26)&lt;$A$246,0,(V28*$E$246)-SUM($M$246:U246))</f>
        <v>0</v>
      </c>
      <c r="W246" s="1057">
        <f>IF(SUM($N$26:W26)&lt;$A$246,0,(W28*$E$246)-SUM($M$246:V246))</f>
        <v>0</v>
      </c>
      <c r="X246" s="1057">
        <f>IF(SUM($N$26:X26)&lt;$A$246,0,(X28*$E$246)-SUM($M$246:W246))</f>
        <v>0</v>
      </c>
      <c r="Y246" s="1057">
        <f>IF(SUM($N$26:Y26)&lt;$A$246,0,(Y28*$E$246)-SUM($M$246:X246))</f>
        <v>0</v>
      </c>
      <c r="Z246" s="1057">
        <f>IF(SUM($N$26:Z26)&lt;$A$246,0,(Z28*$E$246)-SUM($M$246:Y246))</f>
        <v>0</v>
      </c>
      <c r="AA246" s="1057">
        <f>IF(SUM($N$26:AA26)&lt;$A$246,0,(AA28*$E$246)-SUM($M$246:Z246))</f>
        <v>0</v>
      </c>
      <c r="AB246" s="1057">
        <f>IF(SUM($N$26:AB26)&lt;$A$246,0,(AB28*$E$246)-SUM($M$246:AA246))</f>
        <v>0</v>
      </c>
      <c r="AC246" s="1057">
        <f>IF(SUM($N$26:AC26)&lt;$A$246,0,(AC28*$E$246)-SUM($M$246:AB246))</f>
        <v>0</v>
      </c>
      <c r="AD246" s="1057">
        <f>IF(SUM($N$26:AD26)&lt;$A$246,0,(AD28*$E$246)-SUM($M$246:AC246))</f>
        <v>0</v>
      </c>
      <c r="AE246" s="1057">
        <f>IF(SUM($N$26:AE26)&lt;$A$246,0,(AE28*$E$246)-SUM($M$246:AD246))</f>
        <v>0</v>
      </c>
      <c r="AF246" s="1057">
        <f>IF(SUM($N$26:AF26)&lt;$A$246,0,(AF28*$E$246)-SUM($M$246:AE246))</f>
        <v>0</v>
      </c>
      <c r="AG246" s="1057">
        <f>IF(SUM($N$26:AG26)&lt;$A$246,0,(AG28*$E$246)-SUM($M$246:AF246))</f>
        <v>0</v>
      </c>
      <c r="AH246" s="1057">
        <f>IF(SUM($N$26:AH26)&lt;$A$246,0,(AH28*$E$246)-SUM($M$246:AG246))</f>
        <v>0</v>
      </c>
      <c r="AI246" s="1057">
        <f>IF(SUM($N$26:AI26)&lt;$A$246,0,(AI28*$E$246)-SUM($M$246:AH246))</f>
        <v>0</v>
      </c>
      <c r="AJ246" s="1057">
        <f>IF(SUM($N$26:AJ26)&lt;$A$246,0,(AJ28*$E$246)-SUM($M$246:AI246))</f>
        <v>0</v>
      </c>
      <c r="AK246" s="1057">
        <f>IF(SUM($N$26:AK26)&lt;$A$246,0,(AK28*$E$246)-SUM($M$246:AJ246))</f>
        <v>0</v>
      </c>
      <c r="AL246" s="1057">
        <f>IF(SUM($N$26:AL26)&lt;$A$246,0,(AL28*$E$246)-SUM($M$246:AK246))</f>
        <v>0</v>
      </c>
      <c r="AM246" s="1057">
        <f>IF(SUM($N$26:AM26)&lt;$A$246,0,(AM28*$E$246)-SUM($M$246:AL246))</f>
        <v>0</v>
      </c>
      <c r="AN246" s="1057">
        <f>IF(SUM($N$26:AN26)&lt;$A$246,0,(AN28*$E$246)-SUM($M$246:AM246))</f>
        <v>0</v>
      </c>
      <c r="AO246" s="1057">
        <f>IF(SUM($N$26:AO26)&lt;$A$246,0,(AO28*$E$246)-SUM($M$246:AN246))</f>
        <v>0</v>
      </c>
      <c r="AP246" s="1057">
        <f>IF(SUM($N$26:AP26)&lt;$A$246,0,(AP28*$E$246)-SUM($M$246:AO246))</f>
        <v>0</v>
      </c>
      <c r="AQ246" s="1057">
        <f>IF(SUM($N$26:AQ26)&lt;$A$246,0,(AQ28*$E$246)-SUM($M$246:AP246))</f>
        <v>0</v>
      </c>
      <c r="AR246" s="1057">
        <f>IF(SUM($N$26:AR26)&lt;$A$246,0,(AR28*$E$246)-SUM($M$246:AQ246))</f>
        <v>0</v>
      </c>
      <c r="AS246" s="1057">
        <f>IF(SUM($N$26:AS26)&lt;$A$246,0,(AS28*$E$246)-SUM($M$246:AR246))</f>
        <v>0</v>
      </c>
      <c r="AT246" s="1057">
        <f>IF(SUM($N$26:AT26)&lt;$A$246,0,(AT28*$E$246)-SUM($M$246:AS246))</f>
        <v>0</v>
      </c>
      <c r="AU246" s="1057">
        <f>IF(SUM($N$26:AU26)&lt;$A$246,0,(AU28*$E$246)-SUM($M$246:AT246))</f>
        <v>0</v>
      </c>
      <c r="AV246" s="1057">
        <f>IF(SUM($N$26:AV26)&lt;$A$246,0,(AV28*$E$246)-SUM($M$246:AU246))</f>
        <v>0</v>
      </c>
      <c r="AW246" s="1057">
        <f>IF(SUM($N$26:AW26)&lt;$A$246,0,(AW28*$E$246)-SUM($M$246:AV246))</f>
        <v>0</v>
      </c>
      <c r="AX246" s="1057">
        <f>IF(SUM($N$26:AX26)&lt;$A$246,0,(AX28*$E$246)-SUM($M$246:AW246))</f>
        <v>0</v>
      </c>
      <c r="AY246" s="1057">
        <f>IF(SUM($N$26:AY26)&lt;$A$246,0,(AY28*$E$246)-SUM($M$246:AX246))</f>
        <v>0</v>
      </c>
      <c r="AZ246" s="1057">
        <f>IF(SUM($N$26:AZ26)&lt;$A$246,0,(AZ28*$E$246)-SUM($M$246:AY246))</f>
        <v>0</v>
      </c>
      <c r="BA246" s="1057">
        <f>IF(SUM($N$26:BA26)&lt;$A$246,0,(BA28*$E$246)-SUM($M$246:AZ246))</f>
        <v>0</v>
      </c>
      <c r="BB246" s="1057">
        <f>IF(SUM($N$26:BB26)&lt;$A$246,0,(BB28*$E$246)-SUM($M$246:BA246))</f>
        <v>0</v>
      </c>
      <c r="BC246" s="1057">
        <f>IF(SUM($N$26:BC26)&lt;$A$246,0,(BC28*$E$246)-SUM($M$246:BB246))</f>
        <v>0</v>
      </c>
      <c r="BD246" s="1057">
        <f>IF(SUM($N$26:BD26)&lt;$A$246,0,(BD28*$E$246)-SUM($M$246:BC246))</f>
        <v>0</v>
      </c>
      <c r="BE246" s="1057">
        <f>IF(SUM($N$26:BE26)&lt;$A$246,0,(BE28*$E$246)-SUM($M$246:BD246))</f>
        <v>0</v>
      </c>
      <c r="BF246" s="1057">
        <f>IF(SUM($N$26:BF26)&lt;$A$246,0,(BF28*$E$246)-SUM($M$246:BE246))</f>
        <v>0</v>
      </c>
      <c r="BG246" s="1057">
        <f>IF(SUM($N$26:BG26)&lt;$A$246,0,(BG28*$E$246)-SUM($M$246:BF246))</f>
        <v>0</v>
      </c>
      <c r="BH246" s="1057">
        <f>IF(SUM($N$26:BH26)&lt;$A$246,0,(BH28*$E$246)-SUM($M$246:BG246))</f>
        <v>0</v>
      </c>
      <c r="BI246" s="1057">
        <f>IF(SUM($N$26:BI26)&lt;$A$246,0,(BI28*$E$246)-SUM($M$246:BH246))</f>
        <v>0</v>
      </c>
      <c r="BJ246" s="1057">
        <f>IF(SUM($N$26:BJ26)&lt;$A$246,0,(BJ28*$E$246)-SUM($M$246:BI246))</f>
        <v>0</v>
      </c>
      <c r="BK246" s="1057">
        <f>IF(SUM($N$26:BK26)&lt;$A$246,0,(BK28*$E$246)-SUM($M$246:BJ246))</f>
        <v>0</v>
      </c>
      <c r="BL246" s="1057">
        <f>IF(SUM($N$26:BL26)&lt;$A$246,0,(BL28*$E$246)-SUM($M$246:BK246))</f>
        <v>0</v>
      </c>
      <c r="BM246" s="1057">
        <f>IF(SUM($N$26:BM26)&lt;$A$246,0,(BM28*$E$246)-SUM($M$246:BL246))</f>
        <v>0</v>
      </c>
      <c r="BN246" s="1057">
        <f>IF(SUM($N$26:BN26)&lt;$A$246,0,(BN28*$E$246)-SUM($M$246:BM246))</f>
        <v>0</v>
      </c>
      <c r="BO246" s="1057">
        <f>IF(SUM($N$26:BO26)&lt;$A$246,0,(BO28*$E$246)-SUM($M$246:BN246))</f>
        <v>0</v>
      </c>
      <c r="BP246" s="1057">
        <f>IF(SUM($N$26:BP26)&lt;$A$246,0,(BP28*$E$246)-SUM($M$246:BO246))</f>
        <v>0</v>
      </c>
      <c r="BQ246" s="1057">
        <f>IF(SUM($N$26:BQ26)&lt;$A$246,0,(BQ28*$E$246)-SUM($M$246:BP246))</f>
        <v>0</v>
      </c>
      <c r="BR246" s="1057">
        <f>IF(SUM($N$26:BR26)&lt;$A$246,0,(BR28*$E$246)-SUM($M$246:BQ246))</f>
        <v>0</v>
      </c>
      <c r="BS246" s="1057">
        <f>IF(SUM($N$26:BS26)&lt;$A$246,0,(BS28*$E$246)-SUM($M$246:BR246))</f>
        <v>0</v>
      </c>
      <c r="BT246" s="1057">
        <f>IF(SUM($N$26:BT26)&lt;$A$246,0,(BT28*$E$246)-SUM($M$246:BS246))</f>
        <v>0</v>
      </c>
      <c r="BU246" s="1057">
        <f>IF(SUM($N$26:BU26)&lt;$A$246,0,(BU28*$E$246)-SUM($M$246:BT246))</f>
        <v>0</v>
      </c>
      <c r="BV246" s="1057">
        <f>IF(SUM($N$26:BV26)&lt;$A$246,0,(BV28*$E$246)-SUM($M$246:BU246))</f>
        <v>0</v>
      </c>
      <c r="BW246" s="1057">
        <f>IF(SUM($N$26:BW26)&lt;$A$246,0,(BW28*$E$246)-SUM($M$246:BV246))</f>
        <v>0</v>
      </c>
      <c r="BX246" s="1057">
        <f>IF(SUM($N$26:BX26)&lt;$A$246,0,(BX28*$E$246)-SUM($M$246:BW246))</f>
        <v>0</v>
      </c>
      <c r="BY246" s="1067">
        <f t="shared" si="289"/>
        <v>2</v>
      </c>
      <c r="BZ246" s="1068">
        <f t="shared" si="301"/>
        <v>0</v>
      </c>
      <c r="CA246" s="1069" t="b">
        <f t="shared" si="302"/>
        <v>1</v>
      </c>
      <c r="CB246" s="1084"/>
    </row>
    <row r="247" spans="1:80" s="1082" customFormat="1">
      <c r="A247" s="398">
        <v>6</v>
      </c>
      <c r="B247" s="1067">
        <v>3</v>
      </c>
      <c r="C247" s="1898"/>
      <c r="D247" s="1060">
        <f>IF(B247&lt;Equity!$D$32+1,Equity!$I$10/Equity!$D$32,0)</f>
        <v>0</v>
      </c>
      <c r="E247" s="1061">
        <f>분양개요!$O$12*D247</f>
        <v>0</v>
      </c>
      <c r="F247" s="1062" t="b">
        <f t="shared" si="298"/>
        <v>1</v>
      </c>
      <c r="G247" s="1056"/>
      <c r="H247" s="1057"/>
      <c r="I247" s="1057"/>
      <c r="J247" s="1057"/>
      <c r="K247" s="1057">
        <f>IF(SUM(K$26:$N26)&lt;$A$247,0,(K28*$E$247)-SUM(J$247:$M247))</f>
        <v>0</v>
      </c>
      <c r="L247" s="1057">
        <f>IF(SUM(L$26:$N26)&lt;$A$247,0,(L28*$E$247)-SUM(K$247:$M247))</f>
        <v>0</v>
      </c>
      <c r="M247" s="1057">
        <f>IF(SUM(M$26:$N26)&lt;$A$247,0,(M28*$E$247)-SUM(L$247:$M247))</f>
        <v>0</v>
      </c>
      <c r="N247" s="1057">
        <f>IF(SUM($N$26:N26)&lt;$A$247,0,(N28*$E$247)-SUM($M$247:M247))</f>
        <v>0</v>
      </c>
      <c r="O247" s="1057">
        <f>IF(SUM($N$26:O26)&lt;$A$247,0,(O28*$E$247)-SUM($M$247:N247))</f>
        <v>0</v>
      </c>
      <c r="P247" s="1057">
        <f>IF(SUM($N$26:P26)&lt;$A$247,0,(P28*$E$247)-SUM($M$247:O247))</f>
        <v>0</v>
      </c>
      <c r="Q247" s="1057">
        <f>IF(SUM($N$26:Q26)&lt;$A$247,0,(Q28*$E$247)-SUM($M$247:P247))</f>
        <v>0</v>
      </c>
      <c r="R247" s="1057">
        <f>IF(SUM($N$26:R26)&lt;$A$247,0,(R28*$E$247)-SUM($M$247:Q247))</f>
        <v>0</v>
      </c>
      <c r="S247" s="1057">
        <f>IF(SUM($N$26:S26)&lt;$A$247,0,(S28*$E$247)-SUM($M$247:R247))</f>
        <v>0</v>
      </c>
      <c r="T247" s="1057">
        <f>IF(SUM($N$26:T26)&lt;$A$247,0,(T28*$E$247)-SUM($M$247:S247))</f>
        <v>0</v>
      </c>
      <c r="U247" s="1057">
        <f>IF(SUM($N$26:U26)&lt;$A$247,0,(U28*$E$247)-SUM($M$247:T247))</f>
        <v>0</v>
      </c>
      <c r="V247" s="1057">
        <f>IF(SUM($N$26:V26)&lt;$A$247,0,(V28*$E$247)-SUM($M$247:U247))</f>
        <v>0</v>
      </c>
      <c r="W247" s="1057">
        <f>IF(SUM($N$26:W26)&lt;$A$247,0,(W28*$E$247)-SUM($M$247:V247))</f>
        <v>0</v>
      </c>
      <c r="X247" s="1057">
        <f>IF(SUM($N$26:X26)&lt;$A$247,0,(X28*$E$247)-SUM($M$247:W247))</f>
        <v>0</v>
      </c>
      <c r="Y247" s="1057">
        <f>IF(SUM($N$26:Y26)&lt;$A$247,0,(Y28*$E$247)-SUM($M$247:X247))</f>
        <v>0</v>
      </c>
      <c r="Z247" s="1057">
        <f>IF(SUM($N$26:Z26)&lt;$A$247,0,(Z28*$E$247)-SUM($M$247:Y247))</f>
        <v>0</v>
      </c>
      <c r="AA247" s="1057">
        <f>IF(SUM($N$26:AA26)&lt;$A$247,0,(AA28*$E$247)-SUM($M$247:Z247))</f>
        <v>0</v>
      </c>
      <c r="AB247" s="1057">
        <f>IF(SUM($N$26:AB26)&lt;$A$247,0,(AB28*$E$247)-SUM($M$247:AA247))</f>
        <v>0</v>
      </c>
      <c r="AC247" s="1057">
        <f>IF(SUM($N$26:AC26)&lt;$A$247,0,(AC28*$E$247)-SUM($M$247:AB247))</f>
        <v>0</v>
      </c>
      <c r="AD247" s="1057">
        <f>IF(SUM($N$26:AD26)&lt;$A$247,0,(AD28*$E$247)-SUM($M$247:AC247))</f>
        <v>0</v>
      </c>
      <c r="AE247" s="1057">
        <f>IF(SUM($N$26:AE26)&lt;$A$247,0,(AE28*$E$247)-SUM($M$247:AD247))</f>
        <v>0</v>
      </c>
      <c r="AF247" s="1057">
        <f>IF(SUM($N$26:AF26)&lt;$A$247,0,(AF28*$E$247)-SUM($M$247:AE247))</f>
        <v>0</v>
      </c>
      <c r="AG247" s="1057">
        <f>IF(SUM($N$26:AG26)&lt;$A$247,0,(AG28*$E$247)-SUM($M$247:AF247))</f>
        <v>0</v>
      </c>
      <c r="AH247" s="1057">
        <f>IF(SUM($N$26:AH26)&lt;$A$247,0,(AH28*$E$247)-SUM($M$247:AG247))</f>
        <v>0</v>
      </c>
      <c r="AI247" s="1057">
        <f>IF(SUM($N$26:AI26)&lt;$A$247,0,(AI28*$E$247)-SUM($M$247:AH247))</f>
        <v>0</v>
      </c>
      <c r="AJ247" s="1057">
        <f>IF(SUM($N$26:AJ26)&lt;$A$247,0,(AJ28*$E$247)-SUM($M$247:AI247))</f>
        <v>0</v>
      </c>
      <c r="AK247" s="1057">
        <f>IF(SUM($N$26:AK26)&lt;$A$247,0,(AK28*$E$247)-SUM($M$247:AJ247))</f>
        <v>0</v>
      </c>
      <c r="AL247" s="1057">
        <f>IF(SUM($N$26:AL26)&lt;$A$247,0,(AL28*$E$247)-SUM($M$247:AK247))</f>
        <v>0</v>
      </c>
      <c r="AM247" s="1057">
        <f>IF(SUM($N$26:AM26)&lt;$A$247,0,(AM28*$E$247)-SUM($M$247:AL247))</f>
        <v>0</v>
      </c>
      <c r="AN247" s="1057">
        <f>IF(SUM($N$26:AN26)&lt;$A$247,0,(AN28*$E$247)-SUM($M$247:AM247))</f>
        <v>0</v>
      </c>
      <c r="AO247" s="1057">
        <f>IF(SUM($N$26:AO26)&lt;$A$247,0,(AO28*$E$247)-SUM($M$247:AN247))</f>
        <v>0</v>
      </c>
      <c r="AP247" s="1057">
        <f>IF(SUM($N$26:AP26)&lt;$A$247,0,(AP28*$E$247)-SUM($M$247:AO247))</f>
        <v>0</v>
      </c>
      <c r="AQ247" s="1057">
        <f>IF(SUM($N$26:AQ26)&lt;$A$247,0,(AQ28*$E$247)-SUM($M$247:AP247))</f>
        <v>0</v>
      </c>
      <c r="AR247" s="1057">
        <f>IF(SUM($N$26:AR26)&lt;$A$247,0,(AR28*$E$247)-SUM($M$247:AQ247))</f>
        <v>0</v>
      </c>
      <c r="AS247" s="1057">
        <f>IF(SUM($N$26:AS26)&lt;$A$247,0,(AS28*$E$247)-SUM($M$247:AR247))</f>
        <v>0</v>
      </c>
      <c r="AT247" s="1057">
        <f>IF(SUM($N$26:AT26)&lt;$A$247,0,(AT28*$E$247)-SUM($M$247:AS247))</f>
        <v>0</v>
      </c>
      <c r="AU247" s="1057">
        <f>IF(SUM($N$26:AU26)&lt;$A$247,0,(AU28*$E$247)-SUM($M$247:AT247))</f>
        <v>0</v>
      </c>
      <c r="AV247" s="1057">
        <f>IF(SUM($N$26:AV26)&lt;$A$247,0,(AV28*$E$247)-SUM($M$247:AU247))</f>
        <v>0</v>
      </c>
      <c r="AW247" s="1057">
        <f>IF(SUM($N$26:AW26)&lt;$A$247,0,(AW28*$E$247)-SUM($M$247:AV247))</f>
        <v>0</v>
      </c>
      <c r="AX247" s="1057">
        <f>IF(SUM($N$26:AX26)&lt;$A$247,0,(AX28*$E$247)-SUM($M$247:AW247))</f>
        <v>0</v>
      </c>
      <c r="AY247" s="1057">
        <f>IF(SUM($N$26:AY26)&lt;$A$247,0,(AY28*$E$247)-SUM($M$247:AX247))</f>
        <v>0</v>
      </c>
      <c r="AZ247" s="1057">
        <f>IF(SUM($N$26:AZ26)&lt;$A$247,0,(AZ28*$E$247)-SUM($M$247:AY247))</f>
        <v>0</v>
      </c>
      <c r="BA247" s="1057">
        <f>IF(SUM($N$26:BA26)&lt;$A$247,0,(BA28*$E$247)-SUM($M$247:AZ247))</f>
        <v>0</v>
      </c>
      <c r="BB247" s="1057">
        <f>IF(SUM($N$26:BB26)&lt;$A$247,0,(BB28*$E$247)-SUM($M$247:BA247))</f>
        <v>0</v>
      </c>
      <c r="BC247" s="1057">
        <f>IF(SUM($N$26:BC26)&lt;$A$247,0,(BC28*$E$247)-SUM($M$247:BB247))</f>
        <v>0</v>
      </c>
      <c r="BD247" s="1057">
        <f>IF(SUM($N$26:BD26)&lt;$A$247,0,(BD28*$E$247)-SUM($M$247:BC247))</f>
        <v>0</v>
      </c>
      <c r="BE247" s="1057">
        <f>IF(SUM($N$26:BE26)&lt;$A$247,0,(BE28*$E$247)-SUM($M$247:BD247))</f>
        <v>0</v>
      </c>
      <c r="BF247" s="1057">
        <f>IF(SUM($N$26:BF26)&lt;$A$247,0,(BF28*$E$247)-SUM($M$247:BE247))</f>
        <v>0</v>
      </c>
      <c r="BG247" s="1057">
        <f>IF(SUM($N$26:BG26)&lt;$A$247,0,(BG28*$E$247)-SUM($M$247:BF247))</f>
        <v>0</v>
      </c>
      <c r="BH247" s="1057">
        <f>IF(SUM($N$26:BH26)&lt;$A$247,0,(BH28*$E$247)-SUM($M$247:BG247))</f>
        <v>0</v>
      </c>
      <c r="BI247" s="1057">
        <f>IF(SUM($N$26:BI26)&lt;$A$247,0,(BI28*$E$247)-SUM($M$247:BH247))</f>
        <v>0</v>
      </c>
      <c r="BJ247" s="1057">
        <f>IF(SUM($N$26:BJ26)&lt;$A$247,0,(BJ28*$E$247)-SUM($M$247:BI247))</f>
        <v>0</v>
      </c>
      <c r="BK247" s="1057">
        <f>IF(SUM($N$26:BK26)&lt;$A$247,0,(BK28*$E$247)-SUM($M$247:BJ247))</f>
        <v>0</v>
      </c>
      <c r="BL247" s="1057">
        <f>IF(SUM($N$26:BL26)&lt;$A$247,0,(BL28*$E$247)-SUM($M$247:BK247))</f>
        <v>0</v>
      </c>
      <c r="BM247" s="1057">
        <f>IF(SUM($N$26:BM26)&lt;$A$247,0,(BM28*$E$247)-SUM($M$247:BL247))</f>
        <v>0</v>
      </c>
      <c r="BN247" s="1057">
        <f>IF(SUM($N$26:BN26)&lt;$A$247,0,(BN28*$E$247)-SUM($M$247:BM247))</f>
        <v>0</v>
      </c>
      <c r="BO247" s="1057">
        <f>IF(SUM($N$26:BO26)&lt;$A$247,0,(BO28*$E$247)-SUM($M$247:BN247))</f>
        <v>0</v>
      </c>
      <c r="BP247" s="1057">
        <f>IF(SUM($N$26:BP26)&lt;$A$247,0,(BP28*$E$247)-SUM($M$247:BO247))</f>
        <v>0</v>
      </c>
      <c r="BQ247" s="1057">
        <f>IF(SUM($N$26:BQ26)&lt;$A$247,0,(BQ28*$E$247)-SUM($M$247:BP247))</f>
        <v>0</v>
      </c>
      <c r="BR247" s="1057">
        <f>IF(SUM($N$26:BR26)&lt;$A$247,0,(BR28*$E$247)-SUM($M$247:BQ247))</f>
        <v>0</v>
      </c>
      <c r="BS247" s="1057">
        <f>IF(SUM($N$26:BS26)&lt;$A$247,0,(BS28*$E$247)-SUM($M$247:BR247))</f>
        <v>0</v>
      </c>
      <c r="BT247" s="1057">
        <f>IF(SUM($N$26:BT26)&lt;$A$247,0,(BT28*$E$247)-SUM($M$247:BS247))</f>
        <v>0</v>
      </c>
      <c r="BU247" s="1057">
        <f>IF(SUM($N$26:BU26)&lt;$A$247,0,(BU28*$E$247)-SUM($M$247:BT247))</f>
        <v>0</v>
      </c>
      <c r="BV247" s="1057">
        <f>IF(SUM($N$26:BV26)&lt;$A$247,0,(BV28*$E$247)-SUM($M$247:BU247))</f>
        <v>0</v>
      </c>
      <c r="BW247" s="1057">
        <f>IF(SUM($N$26:BW26)&lt;$A$247,0,(BW28*$E$247)-SUM($M$247:BV247))</f>
        <v>0</v>
      </c>
      <c r="BX247" s="1057">
        <f>IF(SUM($N$26:BX26)&lt;$A$247,0,(BX28*$E$247)-SUM($M$247:BW247))</f>
        <v>0</v>
      </c>
      <c r="BY247" s="1067">
        <f t="shared" si="289"/>
        <v>3</v>
      </c>
      <c r="BZ247" s="1068">
        <f t="shared" si="301"/>
        <v>0</v>
      </c>
      <c r="CA247" s="1069" t="b">
        <f t="shared" si="302"/>
        <v>1</v>
      </c>
      <c r="CB247" s="1084"/>
    </row>
    <row r="248" spans="1:80" s="1082" customFormat="1">
      <c r="A248" s="398">
        <v>10</v>
      </c>
      <c r="B248" s="1067">
        <v>4</v>
      </c>
      <c r="C248" s="1898"/>
      <c r="D248" s="1060">
        <f>IF(B248&lt;Equity!$D$32+1,Equity!$I$10/Equity!$D$32,0)</f>
        <v>0</v>
      </c>
      <c r="E248" s="1061">
        <f>분양개요!$O$12*D248</f>
        <v>0</v>
      </c>
      <c r="F248" s="1062" t="b">
        <f t="shared" si="298"/>
        <v>1</v>
      </c>
      <c r="G248" s="1056"/>
      <c r="H248" s="1057"/>
      <c r="I248" s="1057"/>
      <c r="J248" s="1057"/>
      <c r="K248" s="1057">
        <f>IF(SUM(K$26:$N26)&lt;$A$248,0,(K28*$E$248)-SUM(J$248:$M248))</f>
        <v>0</v>
      </c>
      <c r="L248" s="1057">
        <f>IF(SUM(L$26:$N26)&lt;$A$248,0,(L28*$E$248)-SUM(K$248:$M248))</f>
        <v>0</v>
      </c>
      <c r="M248" s="1057">
        <f>IF(SUM(M$26:$N26)&lt;$A$248,0,(M28*$E$248)-SUM(L$248:$M248))</f>
        <v>0</v>
      </c>
      <c r="N248" s="1057">
        <f>IF(SUM($N$26:N26)&lt;$A$248,0,(N28*$E$248)-SUM($M$248:M248))</f>
        <v>0</v>
      </c>
      <c r="O248" s="1057">
        <f>IF(SUM($N$26:O26)&lt;$A$248,0,(O28*$E$248)-SUM($M$248:N248))</f>
        <v>0</v>
      </c>
      <c r="P248" s="1057">
        <f>IF(SUM($N$26:P26)&lt;$A$248,0,(P28*$E$248)-SUM($M$248:O248))</f>
        <v>0</v>
      </c>
      <c r="Q248" s="1057">
        <f>IF(SUM($N$26:Q26)&lt;$A$248,0,(Q28*$E$248)-SUM($M$248:P248))</f>
        <v>0</v>
      </c>
      <c r="R248" s="1057">
        <f>IF(SUM($N$26:R26)&lt;$A$248,0,(R28*$E$248)-SUM($M$248:Q248))</f>
        <v>0</v>
      </c>
      <c r="S248" s="1057">
        <f>IF(SUM($N$26:S26)&lt;$A$248,0,(S28*$E$248)-SUM($M$248:R248))</f>
        <v>0</v>
      </c>
      <c r="T248" s="1057">
        <f>IF(SUM($N$26:T26)&lt;$A$248,0,(T28*$E$248)-SUM($M$248:S248))</f>
        <v>0</v>
      </c>
      <c r="U248" s="1057">
        <f>IF(SUM($N$26:U26)&lt;$A$248,0,(U28*$E$248)-SUM($M$248:T248))</f>
        <v>0</v>
      </c>
      <c r="V248" s="1057">
        <f>IF(SUM($N$26:V26)&lt;$A$248,0,(V28*$E$248)-SUM($M$248:U248))</f>
        <v>0</v>
      </c>
      <c r="W248" s="1057">
        <f>IF(SUM($N$26:W26)&lt;$A$248,0,(W28*$E$248)-SUM($M$248:V248))</f>
        <v>0</v>
      </c>
      <c r="X248" s="1057">
        <f>IF(SUM($N$26:X26)&lt;$A$248,0,(X28*$E$248)-SUM($M$248:W248))</f>
        <v>0</v>
      </c>
      <c r="Y248" s="1057">
        <f>IF(SUM($N$26:Y26)&lt;$A$248,0,(Y28*$E$248)-SUM($M$248:X248))</f>
        <v>0</v>
      </c>
      <c r="Z248" s="1057">
        <f>IF(SUM($N$26:Z26)&lt;$A$248,0,(Z28*$E$248)-SUM($M$248:Y248))</f>
        <v>0</v>
      </c>
      <c r="AA248" s="1057">
        <f>IF(SUM($N$26:AA26)&lt;$A$248,0,(AA28*$E$248)-SUM($M$248:Z248))</f>
        <v>0</v>
      </c>
      <c r="AB248" s="1057">
        <f>IF(SUM($N$26:AB26)&lt;$A$248,0,(AB28*$E$248)-SUM($M$248:AA248))</f>
        <v>0</v>
      </c>
      <c r="AC248" s="1057">
        <f>IF(SUM($N$26:AC26)&lt;$A$248,0,(AC28*$E$248)-SUM($M$248:AB248))</f>
        <v>0</v>
      </c>
      <c r="AD248" s="1057">
        <f>IF(SUM($N$26:AD26)&lt;$A$248,0,(AD28*$E$248)-SUM($M$248:AC248))</f>
        <v>0</v>
      </c>
      <c r="AE248" s="1057">
        <f>IF(SUM($N$26:AE26)&lt;$A$248,0,(AE28*$E$248)-SUM($M$248:AD248))</f>
        <v>0</v>
      </c>
      <c r="AF248" s="1057">
        <f>IF(SUM($N$26:AF26)&lt;$A$248,0,(AF28*$E$248)-SUM($M$248:AE248))</f>
        <v>0</v>
      </c>
      <c r="AG248" s="1057">
        <f>IF(SUM($N$26:AG26)&lt;$A$248,0,(AG28*$E$248)-SUM($M$248:AF248))</f>
        <v>0</v>
      </c>
      <c r="AH248" s="1057">
        <f>IF(SUM($N$26:AH26)&lt;$A$248,0,(AH28*$E$248)-SUM($M$248:AG248))</f>
        <v>0</v>
      </c>
      <c r="AI248" s="1057">
        <f>IF(SUM($N$26:AI26)&lt;$A$248,0,(AI28*$E$248)-SUM($M$248:AH248))</f>
        <v>0</v>
      </c>
      <c r="AJ248" s="1057">
        <f>IF(SUM($N$26:AJ26)&lt;$A$248,0,(AJ28*$E$248)-SUM($M$248:AI248))</f>
        <v>0</v>
      </c>
      <c r="AK248" s="1057">
        <f>IF(SUM($N$26:AK26)&lt;$A$248,0,(AK28*$E$248)-SUM($M$248:AJ248))</f>
        <v>0</v>
      </c>
      <c r="AL248" s="1057">
        <f>IF(SUM($N$26:AL26)&lt;$A$248,0,(AL28*$E$248)-SUM($M$248:AK248))</f>
        <v>0</v>
      </c>
      <c r="AM248" s="1057">
        <f>IF(SUM($N$26:AM26)&lt;$A$248,0,(AM28*$E$248)-SUM($M$248:AL248))</f>
        <v>0</v>
      </c>
      <c r="AN248" s="1057">
        <f>IF(SUM($N$26:AN26)&lt;$A$248,0,(AN28*$E$248)-SUM($M$248:AM248))</f>
        <v>0</v>
      </c>
      <c r="AO248" s="1057">
        <f>IF(SUM($N$26:AO26)&lt;$A$248,0,(AO28*$E$248)-SUM($M$248:AN248))</f>
        <v>0</v>
      </c>
      <c r="AP248" s="1057">
        <f>IF(SUM($N$26:AP26)&lt;$A$248,0,(AP28*$E$248)-SUM($M$248:AO248))</f>
        <v>0</v>
      </c>
      <c r="AQ248" s="1057">
        <f>IF(SUM($N$26:AQ26)&lt;$A$248,0,(AQ28*$E$248)-SUM($M$248:AP248))</f>
        <v>0</v>
      </c>
      <c r="AR248" s="1057">
        <f>IF(SUM($N$26:AR26)&lt;$A$248,0,(AR28*$E$248)-SUM($M$248:AQ248))</f>
        <v>0</v>
      </c>
      <c r="AS248" s="1057">
        <f>IF(SUM($N$26:AS26)&lt;$A$248,0,(AS28*$E$248)-SUM($M$248:AR248))</f>
        <v>0</v>
      </c>
      <c r="AT248" s="1057">
        <f>IF(SUM($N$26:AT26)&lt;$A$248,0,(AT28*$E$248)-SUM($M$248:AS248))</f>
        <v>0</v>
      </c>
      <c r="AU248" s="1057">
        <f>IF(SUM($N$26:AU26)&lt;$A$248,0,(AU28*$E$248)-SUM($M$248:AT248))</f>
        <v>0</v>
      </c>
      <c r="AV248" s="1057">
        <f>IF(SUM($N$26:AV26)&lt;$A$248,0,(AV28*$E$248)-SUM($M$248:AU248))</f>
        <v>0</v>
      </c>
      <c r="AW248" s="1057">
        <f>IF(SUM($N$26:AW26)&lt;$A$248,0,(AW28*$E$248)-SUM($M$248:AV248))</f>
        <v>0</v>
      </c>
      <c r="AX248" s="1057">
        <f>IF(SUM($N$26:AX26)&lt;$A$248,0,(AX28*$E$248)-SUM($M$248:AW248))</f>
        <v>0</v>
      </c>
      <c r="AY248" s="1057">
        <f>IF(SUM($N$26:AY26)&lt;$A$248,0,(AY28*$E$248)-SUM($M$248:AX248))</f>
        <v>0</v>
      </c>
      <c r="AZ248" s="1057">
        <f>IF(SUM($N$26:AZ26)&lt;$A$248,0,(AZ28*$E$248)-SUM($M$248:AY248))</f>
        <v>0</v>
      </c>
      <c r="BA248" s="1057">
        <f>IF(SUM($N$26:BA26)&lt;$A$248,0,(BA28*$E$248)-SUM($M$248:AZ248))</f>
        <v>0</v>
      </c>
      <c r="BB248" s="1057">
        <f>IF(SUM($N$26:BB26)&lt;$A$248,0,(BB28*$E$248)-SUM($M$248:BA248))</f>
        <v>0</v>
      </c>
      <c r="BC248" s="1057">
        <f>IF(SUM($N$26:BC26)&lt;$A$248,0,(BC28*$E$248)-SUM($M$248:BB248))</f>
        <v>0</v>
      </c>
      <c r="BD248" s="1057">
        <f>IF(SUM($N$26:BD26)&lt;$A$248,0,(BD28*$E$248)-SUM($M$248:BC248))</f>
        <v>0</v>
      </c>
      <c r="BE248" s="1057">
        <f>IF(SUM($N$26:BE26)&lt;$A$248,0,(BE28*$E$248)-SUM($M$248:BD248))</f>
        <v>0</v>
      </c>
      <c r="BF248" s="1057">
        <f>IF(SUM($N$26:BF26)&lt;$A$248,0,(BF28*$E$248)-SUM($M$248:BE248))</f>
        <v>0</v>
      </c>
      <c r="BG248" s="1057">
        <f>IF(SUM($N$26:BG26)&lt;$A$248,0,(BG28*$E$248)-SUM($M$248:BF248))</f>
        <v>0</v>
      </c>
      <c r="BH248" s="1057">
        <f>IF(SUM($N$26:BH26)&lt;$A$248,0,(BH28*$E$248)-SUM($M$248:BG248))</f>
        <v>0</v>
      </c>
      <c r="BI248" s="1057">
        <f>IF(SUM($N$26:BI26)&lt;$A$248,0,(BI28*$E$248)-SUM($M$248:BH248))</f>
        <v>0</v>
      </c>
      <c r="BJ248" s="1057">
        <f>IF(SUM($N$26:BJ26)&lt;$A$248,0,(BJ28*$E$248)-SUM($M$248:BI248))</f>
        <v>0</v>
      </c>
      <c r="BK248" s="1057">
        <f>IF(SUM($N$26:BK26)&lt;$A$248,0,(BK28*$E$248)-SUM($M$248:BJ248))</f>
        <v>0</v>
      </c>
      <c r="BL248" s="1057">
        <f>IF(SUM($N$26:BL26)&lt;$A$248,0,(BL28*$E$248)-SUM($M$248:BK248))</f>
        <v>0</v>
      </c>
      <c r="BM248" s="1057">
        <f>IF(SUM($N$26:BM26)&lt;$A$248,0,(BM28*$E$248)-SUM($M$248:BL248))</f>
        <v>0</v>
      </c>
      <c r="BN248" s="1057">
        <f>IF(SUM($N$26:BN26)&lt;$A$248,0,(BN28*$E$248)-SUM($M$248:BM248))</f>
        <v>0</v>
      </c>
      <c r="BO248" s="1057">
        <f>IF(SUM($N$26:BO26)&lt;$A$248,0,(BO28*$E$248)-SUM($M$248:BN248))</f>
        <v>0</v>
      </c>
      <c r="BP248" s="1057">
        <f>IF(SUM($N$26:BP26)&lt;$A$248,0,(BP28*$E$248)-SUM($M$248:BO248))</f>
        <v>0</v>
      </c>
      <c r="BQ248" s="1057">
        <f>IF(SUM($N$26:BQ26)&lt;$A$248,0,(BQ28*$E$248)-SUM($M$248:BP248))</f>
        <v>0</v>
      </c>
      <c r="BR248" s="1057">
        <f>IF(SUM($N$26:BR26)&lt;$A$248,0,(BR28*$E$248)-SUM($M$248:BQ248))</f>
        <v>0</v>
      </c>
      <c r="BS248" s="1057">
        <f>IF(SUM($N$26:BS26)&lt;$A$248,0,(BS28*$E$248)-SUM($M$248:BR248))</f>
        <v>0</v>
      </c>
      <c r="BT248" s="1057">
        <f>IF(SUM($N$26:BT26)&lt;$A$248,0,(BT28*$E$248)-SUM($M$248:BS248))</f>
        <v>0</v>
      </c>
      <c r="BU248" s="1057">
        <f>IF(SUM($N$26:BU26)&lt;$A$248,0,(BU28*$E$248)-SUM($M$248:BT248))</f>
        <v>0</v>
      </c>
      <c r="BV248" s="1057">
        <f>IF(SUM($N$26:BV26)&lt;$A$248,0,(BV28*$E$248)-SUM($M$248:BU248))</f>
        <v>0</v>
      </c>
      <c r="BW248" s="1057">
        <f>IF(SUM($N$26:BW26)&lt;$A$248,0,(BW28*$E$248)-SUM($M$248:BV248))</f>
        <v>0</v>
      </c>
      <c r="BX248" s="1057">
        <f>IF(SUM($N$26:BX26)&lt;$A$248,0,(BX28*$E$248)-SUM($M$248:BW248))</f>
        <v>0</v>
      </c>
      <c r="BY248" s="1067">
        <f t="shared" si="289"/>
        <v>4</v>
      </c>
      <c r="BZ248" s="1068">
        <f t="shared" si="301"/>
        <v>0</v>
      </c>
      <c r="CA248" s="1069" t="b">
        <f t="shared" si="302"/>
        <v>1</v>
      </c>
      <c r="CB248" s="1084"/>
    </row>
    <row r="249" spans="1:80" s="1082" customFormat="1">
      <c r="A249" s="398">
        <v>15</v>
      </c>
      <c r="B249" s="1067">
        <v>5</v>
      </c>
      <c r="C249" s="1898"/>
      <c r="D249" s="1060">
        <f>IF(B249&lt;Equity!$D$32+1,Equity!$I$10/Equity!$D$32,0)</f>
        <v>0</v>
      </c>
      <c r="E249" s="1061">
        <f>분양개요!$O$12*D249</f>
        <v>0</v>
      </c>
      <c r="F249" s="1062" t="b">
        <f t="shared" si="298"/>
        <v>1</v>
      </c>
      <c r="G249" s="1056"/>
      <c r="H249" s="1057"/>
      <c r="I249" s="1057"/>
      <c r="J249" s="1057"/>
      <c r="K249" s="1057">
        <f>IF(SUM(K$26:$N26)&lt;$A$249,0,(K28*$E$249)-SUM(J$249:$M249))</f>
        <v>0</v>
      </c>
      <c r="L249" s="1057">
        <f>IF(SUM(L$26:$N26)&lt;$A$249,0,(L28*$E$249)-SUM(K$249:$M249))</f>
        <v>0</v>
      </c>
      <c r="M249" s="1057">
        <f>IF(SUM(M$26:$N26)&lt;$A$249,0,(M28*$E$249)-SUM(L$249:$M249))</f>
        <v>0</v>
      </c>
      <c r="N249" s="1057">
        <f>IF(SUM($N$26:N26)&lt;$A$249,0,(N28*$E$249)-SUM($M$249:M249))</f>
        <v>0</v>
      </c>
      <c r="O249" s="1057">
        <f>IF(SUM($N$26:O26)&lt;$A$249,0,(O28*$E$249)-SUM($M$249:N249))</f>
        <v>0</v>
      </c>
      <c r="P249" s="1057">
        <f>IF(SUM($N$26:P26)&lt;$A$249,0,(P28*$E$249)-SUM($M$249:O249))</f>
        <v>0</v>
      </c>
      <c r="Q249" s="1057">
        <f>IF(SUM($N$26:Q26)&lt;$A$249,0,(Q28*$E$249)-SUM($M$249:P249))</f>
        <v>0</v>
      </c>
      <c r="R249" s="1057">
        <f>IF(SUM($N$26:R26)&lt;$A$249,0,(R28*$E$249)-SUM($M$249:Q249))</f>
        <v>0</v>
      </c>
      <c r="S249" s="1057">
        <f>IF(SUM($N$26:S26)&lt;$A$249,0,(S28*$E$249)-SUM($M$249:R249))</f>
        <v>0</v>
      </c>
      <c r="T249" s="1057">
        <f>IF(SUM($N$26:T26)&lt;$A$249,0,(T28*$E$249)-SUM($M$249:S249))</f>
        <v>0</v>
      </c>
      <c r="U249" s="1057">
        <f>IF(SUM($N$26:U26)&lt;$A$249,0,(U28*$E$249)-SUM($M$249:T249))</f>
        <v>0</v>
      </c>
      <c r="V249" s="1057">
        <f>IF(SUM($N$26:V26)&lt;$A$249,0,(V28*$E$249)-SUM($M$249:U249))</f>
        <v>0</v>
      </c>
      <c r="W249" s="1057">
        <f>IF(SUM($N$26:W26)&lt;$A$249,0,(W28*$E$249)-SUM($M$249:V249))</f>
        <v>0</v>
      </c>
      <c r="X249" s="1057">
        <f>IF(SUM($N$26:X26)&lt;$A$249,0,(X28*$E$249)-SUM($M$249:W249))</f>
        <v>0</v>
      </c>
      <c r="Y249" s="1057">
        <f>IF(SUM($N$26:Y26)&lt;$A$249,0,(Y28*$E$249)-SUM($M$249:X249))</f>
        <v>0</v>
      </c>
      <c r="Z249" s="1057">
        <f>IF(SUM($N$26:Z26)&lt;$A$249,0,(Z28*$E$249)-SUM($M$249:Y249))</f>
        <v>0</v>
      </c>
      <c r="AA249" s="1057">
        <f>IF(SUM($N$26:AA26)&lt;$A$249,0,(AA28*$E$249)-SUM($M$249:Z249))</f>
        <v>0</v>
      </c>
      <c r="AB249" s="1057">
        <f>IF(SUM($N$26:AB26)&lt;$A$249,0,(AB28*$E$249)-SUM($M$249:AA249))</f>
        <v>0</v>
      </c>
      <c r="AC249" s="1057">
        <f>IF(SUM($N$26:AC26)&lt;$A$249,0,(AC28*$E$249)-SUM($M$249:AB249))</f>
        <v>0</v>
      </c>
      <c r="AD249" s="1057">
        <f>IF(SUM($N$26:AD26)&lt;$A$249,0,(AD28*$E$249)-SUM($M$249:AC249))</f>
        <v>0</v>
      </c>
      <c r="AE249" s="1057">
        <f>IF(SUM($N$26:AE26)&lt;$A$249,0,(AE28*$E$249)-SUM($M$249:AD249))</f>
        <v>0</v>
      </c>
      <c r="AF249" s="1057">
        <f>IF(SUM($N$26:AF26)&lt;$A$249,0,(AF28*$E$249)-SUM($M$249:AE249))</f>
        <v>0</v>
      </c>
      <c r="AG249" s="1057">
        <f>IF(SUM($N$26:AG26)&lt;$A$249,0,(AG28*$E$249)-SUM($M$249:AF249))</f>
        <v>0</v>
      </c>
      <c r="AH249" s="1057">
        <f>IF(SUM($N$26:AH26)&lt;$A$249,0,(AH28*$E$249)-SUM($M$249:AG249))</f>
        <v>0</v>
      </c>
      <c r="AI249" s="1057">
        <f>IF(SUM($N$26:AI26)&lt;$A$249,0,(AI28*$E$249)-SUM($M$249:AH249))</f>
        <v>0</v>
      </c>
      <c r="AJ249" s="1057">
        <f>IF(SUM($N$26:AJ26)&lt;$A$249,0,(AJ28*$E$249)-SUM($M$249:AI249))</f>
        <v>0</v>
      </c>
      <c r="AK249" s="1057">
        <f>IF(SUM($N$26:AK26)&lt;$A$249,0,(AK28*$E$249)-SUM($M$249:AJ249))</f>
        <v>0</v>
      </c>
      <c r="AL249" s="1057">
        <f>IF(SUM($N$26:AL26)&lt;$A$249,0,(AL28*$E$249)-SUM($M$249:AK249))</f>
        <v>0</v>
      </c>
      <c r="AM249" s="1057">
        <f>IF(SUM($N$26:AM26)&lt;$A$249,0,(AM28*$E$249)-SUM($M$249:AL249))</f>
        <v>0</v>
      </c>
      <c r="AN249" s="1057">
        <f>IF(SUM($N$26:AN26)&lt;$A$249,0,(AN28*$E$249)-SUM($M$249:AM249))</f>
        <v>0</v>
      </c>
      <c r="AO249" s="1057">
        <f>IF(SUM($N$26:AO26)&lt;$A$249,0,(AO28*$E$249)-SUM($M$249:AN249))</f>
        <v>0</v>
      </c>
      <c r="AP249" s="1057">
        <f>IF(SUM($N$26:AP26)&lt;$A$249,0,(AP28*$E$249)-SUM($M$249:AO249))</f>
        <v>0</v>
      </c>
      <c r="AQ249" s="1057">
        <f>IF(SUM($N$26:AQ26)&lt;$A$249,0,(AQ28*$E$249)-SUM($M$249:AP249))</f>
        <v>0</v>
      </c>
      <c r="AR249" s="1057">
        <f>IF(SUM($N$26:AR26)&lt;$A$249,0,(AR28*$E$249)-SUM($M$249:AQ249))</f>
        <v>0</v>
      </c>
      <c r="AS249" s="1057">
        <f>IF(SUM($N$26:AS26)&lt;$A$249,0,(AS28*$E$249)-SUM($M$249:AR249))</f>
        <v>0</v>
      </c>
      <c r="AT249" s="1057">
        <f>IF(SUM($N$26:AT26)&lt;$A$249,0,(AT28*$E$249)-SUM($M$249:AS249))</f>
        <v>0</v>
      </c>
      <c r="AU249" s="1057">
        <f>IF(SUM($N$26:AU26)&lt;$A$249,0,(AU28*$E$249)-SUM($M$249:AT249))</f>
        <v>0</v>
      </c>
      <c r="AV249" s="1057">
        <f>IF(SUM($N$26:AV26)&lt;$A$249,0,(AV28*$E$249)-SUM($M$249:AU249))</f>
        <v>0</v>
      </c>
      <c r="AW249" s="1057">
        <f>IF(SUM($N$26:AW26)&lt;$A$249,0,(AW28*$E$249)-SUM($M$249:AV249))</f>
        <v>0</v>
      </c>
      <c r="AX249" s="1057">
        <f>IF(SUM($N$26:AX26)&lt;$A$249,0,(AX28*$E$249)-SUM($M$249:AW249))</f>
        <v>0</v>
      </c>
      <c r="AY249" s="1057">
        <f>IF(SUM($N$26:AY26)&lt;$A$249,0,(AY28*$E$249)-SUM($M$249:AX249))</f>
        <v>0</v>
      </c>
      <c r="AZ249" s="1057">
        <f>IF(SUM($N$26:AZ26)&lt;$A$249,0,(AZ28*$E$249)-SUM($M$249:AY249))</f>
        <v>0</v>
      </c>
      <c r="BA249" s="1057">
        <f>IF(SUM($N$26:BA26)&lt;$A$249,0,(BA28*$E$249)-SUM($M$249:AZ249))</f>
        <v>0</v>
      </c>
      <c r="BB249" s="1057">
        <f>IF(SUM($N$26:BB26)&lt;$A$249,0,(BB28*$E$249)-SUM($M$249:BA249))</f>
        <v>0</v>
      </c>
      <c r="BC249" s="1057">
        <f>IF(SUM($N$26:BC26)&lt;$A$249,0,(BC28*$E$249)-SUM($M$249:BB249))</f>
        <v>0</v>
      </c>
      <c r="BD249" s="1057">
        <f>IF(SUM($N$26:BD26)&lt;$A$249,0,(BD28*$E$249)-SUM($M$249:BC249))</f>
        <v>0</v>
      </c>
      <c r="BE249" s="1057">
        <f>IF(SUM($N$26:BE26)&lt;$A$249,0,(BE28*$E$249)-SUM($M$249:BD249))</f>
        <v>0</v>
      </c>
      <c r="BF249" s="1057">
        <f>IF(SUM($N$26:BF26)&lt;$A$249,0,(BF28*$E$249)-SUM($M$249:BE249))</f>
        <v>0</v>
      </c>
      <c r="BG249" s="1057">
        <f>IF(SUM($N$26:BG26)&lt;$A$249,0,(BG28*$E$249)-SUM($M$249:BF249))</f>
        <v>0</v>
      </c>
      <c r="BH249" s="1057">
        <f>IF(SUM($N$26:BH26)&lt;$A$249,0,(BH28*$E$249)-SUM($M$249:BG249))</f>
        <v>0</v>
      </c>
      <c r="BI249" s="1057">
        <f>IF(SUM($N$26:BI26)&lt;$A$249,0,(BI28*$E$249)-SUM($M$249:BH249))</f>
        <v>0</v>
      </c>
      <c r="BJ249" s="1057">
        <f>IF(SUM($N$26:BJ26)&lt;$A$249,0,(BJ28*$E$249)-SUM($M$249:BI249))</f>
        <v>0</v>
      </c>
      <c r="BK249" s="1057">
        <f>IF(SUM($N$26:BK26)&lt;$A$249,0,(BK28*$E$249)-SUM($M$249:BJ249))</f>
        <v>0</v>
      </c>
      <c r="BL249" s="1057">
        <f>IF(SUM($N$26:BL26)&lt;$A$249,0,(BL28*$E$249)-SUM($M$249:BK249))</f>
        <v>0</v>
      </c>
      <c r="BM249" s="1057">
        <f>IF(SUM($N$26:BM26)&lt;$A$249,0,(BM28*$E$249)-SUM($M$249:BL249))</f>
        <v>0</v>
      </c>
      <c r="BN249" s="1057">
        <f>IF(SUM($N$26:BN26)&lt;$A$249,0,(BN28*$E$249)-SUM($M$249:BM249))</f>
        <v>0</v>
      </c>
      <c r="BO249" s="1057">
        <f>IF(SUM($N$26:BO26)&lt;$A$249,0,(BO28*$E$249)-SUM($M$249:BN249))</f>
        <v>0</v>
      </c>
      <c r="BP249" s="1057">
        <f>IF(SUM($N$26:BP26)&lt;$A$249,0,(BP28*$E$249)-SUM($M$249:BO249))</f>
        <v>0</v>
      </c>
      <c r="BQ249" s="1057">
        <f>IF(SUM($N$26:BQ26)&lt;$A$249,0,(BQ28*$E$249)-SUM($M$249:BP249))</f>
        <v>0</v>
      </c>
      <c r="BR249" s="1057">
        <f>IF(SUM($N$26:BR26)&lt;$A$249,0,(BR28*$E$249)-SUM($M$249:BQ249))</f>
        <v>0</v>
      </c>
      <c r="BS249" s="1057">
        <f>IF(SUM($N$26:BS26)&lt;$A$249,0,(BS28*$E$249)-SUM($M$249:BR249))</f>
        <v>0</v>
      </c>
      <c r="BT249" s="1057">
        <f>IF(SUM($N$26:BT26)&lt;$A$249,0,(BT28*$E$249)-SUM($M$249:BS249))</f>
        <v>0</v>
      </c>
      <c r="BU249" s="1057">
        <f>IF(SUM($N$26:BU26)&lt;$A$249,0,(BU28*$E$249)-SUM($M$249:BT249))</f>
        <v>0</v>
      </c>
      <c r="BV249" s="1057">
        <f>IF(SUM($N$26:BV26)&lt;$A$249,0,(BV28*$E$249)-SUM($M$249:BU249))</f>
        <v>0</v>
      </c>
      <c r="BW249" s="1057">
        <f>IF(SUM($N$26:BW26)&lt;$A$249,0,(BW28*$E$249)-SUM($M$249:BV249))</f>
        <v>0</v>
      </c>
      <c r="BX249" s="1057">
        <f>IF(SUM($N$26:BX26)&lt;$A$249,0,(BX28*$E$249)-SUM($M$249:BW249))</f>
        <v>0</v>
      </c>
      <c r="BY249" s="1067">
        <f t="shared" si="289"/>
        <v>5</v>
      </c>
      <c r="BZ249" s="1068">
        <f t="shared" si="301"/>
        <v>0</v>
      </c>
      <c r="CA249" s="1069" t="b">
        <f t="shared" si="302"/>
        <v>1</v>
      </c>
      <c r="CB249" s="1084"/>
    </row>
    <row r="250" spans="1:80" s="1082" customFormat="1">
      <c r="A250" s="398">
        <v>21</v>
      </c>
      <c r="B250" s="1067">
        <v>6</v>
      </c>
      <c r="C250" s="1898"/>
      <c r="D250" s="1060">
        <f>IF(B250&lt;Equity!$D$32+1,Equity!$I$10/Equity!$D$32,0)</f>
        <v>0</v>
      </c>
      <c r="E250" s="1061">
        <f>분양개요!$O$12*D250</f>
        <v>0</v>
      </c>
      <c r="F250" s="1062" t="b">
        <f t="shared" si="298"/>
        <v>1</v>
      </c>
      <c r="G250" s="1056"/>
      <c r="H250" s="1057"/>
      <c r="I250" s="1057"/>
      <c r="J250" s="1057"/>
      <c r="K250" s="1057">
        <f>IF(SUM(K$26:$N26)&lt;$A$250,0,(K28*$E$250)-SUM(J$250:$M250))</f>
        <v>0</v>
      </c>
      <c r="L250" s="1057">
        <f>IF(SUM(L$26:$N26)&lt;$A$250,0,(L28*$E$250)-SUM(K$250:$M250))</f>
        <v>0</v>
      </c>
      <c r="M250" s="1057">
        <f>IF(SUM(M$26:$N26)&lt;$A$250,0,(M28*$E$250)-SUM(L$250:$M250))</f>
        <v>0</v>
      </c>
      <c r="N250" s="1057">
        <f>IF(SUM($N$26:N26)&lt;$A$250,0,(N28*$E$250)-SUM($M$250:M250))</f>
        <v>0</v>
      </c>
      <c r="O250" s="1057">
        <f>IF(SUM($N$26:O26)&lt;$A$250,0,(O28*$E$250)-SUM($M$250:N250))</f>
        <v>0</v>
      </c>
      <c r="P250" s="1057">
        <f>IF(SUM($N$26:P26)&lt;$A$250,0,(P28*$E$250)-SUM($M$250:O250))</f>
        <v>0</v>
      </c>
      <c r="Q250" s="1057">
        <f>IF(SUM($N$26:Q26)&lt;$A$250,0,(Q28*$E$250)-SUM($M$250:P250))</f>
        <v>0</v>
      </c>
      <c r="R250" s="1057">
        <f>IF(SUM($N$26:R26)&lt;$A$250,0,(R28*$E$250)-SUM($M$250:Q250))</f>
        <v>0</v>
      </c>
      <c r="S250" s="1057">
        <f>IF(SUM($N$26:S26)&lt;$A$250,0,(S28*$E$250)-SUM($M$250:R250))</f>
        <v>0</v>
      </c>
      <c r="T250" s="1057">
        <f>IF(SUM($N$26:T26)&lt;$A$250,0,(T28*$E$250)-SUM($M$250:S250))</f>
        <v>0</v>
      </c>
      <c r="U250" s="1057">
        <f>IF(SUM($N$26:U26)&lt;$A$250,0,(U28*$E$250)-SUM($M$250:T250))</f>
        <v>0</v>
      </c>
      <c r="V250" s="1057">
        <f>IF(SUM($N$26:V26)&lt;$A$250,0,(V28*$E$250)-SUM($M$250:U250))</f>
        <v>0</v>
      </c>
      <c r="W250" s="1057">
        <f>IF(SUM($N$26:W26)&lt;$A$250,0,(W28*$E$250)-SUM($M$250:V250))</f>
        <v>0</v>
      </c>
      <c r="X250" s="1057">
        <f>IF(SUM($N$26:X26)&lt;$A$250,0,(X28*$E$250)-SUM($M$250:W250))</f>
        <v>0</v>
      </c>
      <c r="Y250" s="1057">
        <f>IF(SUM($N$26:Y26)&lt;$A$250,0,(Y28*$E$250)-SUM($M$250:X250))</f>
        <v>0</v>
      </c>
      <c r="Z250" s="1057">
        <f>IF(SUM($N$26:Z26)&lt;$A$250,0,(Z28*$E$250)-SUM($M$250:Y250))</f>
        <v>0</v>
      </c>
      <c r="AA250" s="1057">
        <f>IF(SUM($N$26:AA26)&lt;$A$250,0,(AA28*$E$250)-SUM($M$250:Z250))</f>
        <v>0</v>
      </c>
      <c r="AB250" s="1057">
        <f>IF(SUM($N$26:AB26)&lt;$A$250,0,(AB28*$E$250)-SUM($M$250:AA250))</f>
        <v>0</v>
      </c>
      <c r="AC250" s="1057">
        <f>IF(SUM($N$26:AC26)&lt;$A$250,0,(AC28*$E$250)-SUM($M$250:AB250))</f>
        <v>0</v>
      </c>
      <c r="AD250" s="1057">
        <f>IF(SUM($N$26:AD26)&lt;$A$250,0,(AD28*$E$250)-SUM($M$250:AC250))</f>
        <v>0</v>
      </c>
      <c r="AE250" s="1057">
        <f>IF(SUM($N$26:AE26)&lt;$A$250,0,(AE28*$E$250)-SUM($M$250:AD250))</f>
        <v>0</v>
      </c>
      <c r="AF250" s="1057">
        <f>IF(SUM($N$26:AF26)&lt;$A$250,0,(AF28*$E$250)-SUM($M$250:AE250))</f>
        <v>0</v>
      </c>
      <c r="AG250" s="1057">
        <f>IF(SUM($N$26:AG26)&lt;$A$250,0,(AG28*$E$250)-SUM($M$250:AF250))</f>
        <v>0</v>
      </c>
      <c r="AH250" s="1057">
        <f>IF(SUM($N$26:AH26)&lt;$A$250,0,(AH28*$E$250)-SUM($M$250:AG250))</f>
        <v>0</v>
      </c>
      <c r="AI250" s="1057">
        <f>IF(SUM($N$26:AI26)&lt;$A$250,0,(AI28*$E$250)-SUM($M$250:AH250))</f>
        <v>0</v>
      </c>
      <c r="AJ250" s="1057">
        <f>IF(SUM($N$26:AJ26)&lt;$A$250,0,(AJ28*$E$250)-SUM($M$250:AI250))</f>
        <v>0</v>
      </c>
      <c r="AK250" s="1057">
        <f>IF(SUM($N$26:AK26)&lt;$A$250,0,(AK28*$E$250)-SUM($M$250:AJ250))</f>
        <v>0</v>
      </c>
      <c r="AL250" s="1057">
        <f>IF(SUM($N$26:AL26)&lt;$A$250,0,(AL28*$E$250)-SUM($M$250:AK250))</f>
        <v>0</v>
      </c>
      <c r="AM250" s="1057">
        <f>IF(SUM($N$26:AM26)&lt;$A$250,0,(AM28*$E$250)-SUM($M$250:AL250))</f>
        <v>0</v>
      </c>
      <c r="AN250" s="1057">
        <f>IF(SUM($N$26:AN26)&lt;$A$250,0,(AN28*$E$250)-SUM($M$250:AM250))</f>
        <v>0</v>
      </c>
      <c r="AO250" s="1057">
        <f>IF(SUM($N$26:AO26)&lt;$A$250,0,(AO28*$E$250)-SUM($M$250:AN250))</f>
        <v>0</v>
      </c>
      <c r="AP250" s="1057">
        <f>IF(SUM($N$26:AP26)&lt;$A$250,0,(AP28*$E$250)-SUM($M$250:AO250))</f>
        <v>0</v>
      </c>
      <c r="AQ250" s="1057">
        <f>IF(SUM($N$26:AQ26)&lt;$A$250,0,(AQ28*$E$250)-SUM($M$250:AP250))</f>
        <v>0</v>
      </c>
      <c r="AR250" s="1057">
        <f>IF(SUM($N$26:AR26)&lt;$A$250,0,(AR28*$E$250)-SUM($M$250:AQ250))</f>
        <v>0</v>
      </c>
      <c r="AS250" s="1057">
        <f>IF(SUM($N$26:AS26)&lt;$A$250,0,(AS28*$E$250)-SUM($M$250:AR250))</f>
        <v>0</v>
      </c>
      <c r="AT250" s="1057">
        <f>IF(SUM($N$26:AT26)&lt;$A$250,0,(AT28*$E$250)-SUM($M$250:AS250))</f>
        <v>0</v>
      </c>
      <c r="AU250" s="1057">
        <f>IF(SUM($N$26:AU26)&lt;$A$250,0,(AU28*$E$250)-SUM($M$250:AT250))</f>
        <v>0</v>
      </c>
      <c r="AV250" s="1057">
        <f>IF(SUM($N$26:AV26)&lt;$A$250,0,(AV28*$E$250)-SUM($M$250:AU250))</f>
        <v>0</v>
      </c>
      <c r="AW250" s="1057">
        <f>IF(SUM($N$26:AW26)&lt;$A$250,0,(AW28*$E$250)-SUM($M$250:AV250))</f>
        <v>0</v>
      </c>
      <c r="AX250" s="1057">
        <f>IF(SUM($N$26:AX26)&lt;$A$250,0,(AX28*$E$250)-SUM($M$250:AW250))</f>
        <v>0</v>
      </c>
      <c r="AY250" s="1057">
        <f>IF(SUM($N$26:AY26)&lt;$A$250,0,(AY28*$E$250)-SUM($M$250:AX250))</f>
        <v>0</v>
      </c>
      <c r="AZ250" s="1057">
        <f>IF(SUM($N$26:AZ26)&lt;$A$250,0,(AZ28*$E$250)-SUM($M$250:AY250))</f>
        <v>0</v>
      </c>
      <c r="BA250" s="1057">
        <f>IF(SUM($N$26:BA26)&lt;$A$250,0,(BA28*$E$250)-SUM($M$250:AZ250))</f>
        <v>0</v>
      </c>
      <c r="BB250" s="1057">
        <f>IF(SUM($N$26:BB26)&lt;$A$250,0,(BB28*$E$250)-SUM($M$250:BA250))</f>
        <v>0</v>
      </c>
      <c r="BC250" s="1057">
        <f>IF(SUM($N$26:BC26)&lt;$A$250,0,(BC28*$E$250)-SUM($M$250:BB250))</f>
        <v>0</v>
      </c>
      <c r="BD250" s="1057">
        <f>IF(SUM($N$26:BD26)&lt;$A$250,0,(BD28*$E$250)-SUM($M$250:BC250))</f>
        <v>0</v>
      </c>
      <c r="BE250" s="1057">
        <f>IF(SUM($N$26:BE26)&lt;$A$250,0,(BE28*$E$250)-SUM($M$250:BD250))</f>
        <v>0</v>
      </c>
      <c r="BF250" s="1057">
        <f>IF(SUM($N$26:BF26)&lt;$A$250,0,(BF28*$E$250)-SUM($M$250:BE250))</f>
        <v>0</v>
      </c>
      <c r="BG250" s="1057">
        <f>IF(SUM($N$26:BG26)&lt;$A$250,0,(BG28*$E$250)-SUM($M$250:BF250))</f>
        <v>0</v>
      </c>
      <c r="BH250" s="1057">
        <f>IF(SUM($N$26:BH26)&lt;$A$250,0,(BH28*$E$250)-SUM($M$250:BG250))</f>
        <v>0</v>
      </c>
      <c r="BI250" s="1057">
        <f>IF(SUM($N$26:BI26)&lt;$A$250,0,(BI28*$E$250)-SUM($M$250:BH250))</f>
        <v>0</v>
      </c>
      <c r="BJ250" s="1057">
        <f>IF(SUM($N$26:BJ26)&lt;$A$250,0,(BJ28*$E$250)-SUM($M$250:BI250))</f>
        <v>0</v>
      </c>
      <c r="BK250" s="1057">
        <f>IF(SUM($N$26:BK26)&lt;$A$250,0,(BK28*$E$250)-SUM($M$250:BJ250))</f>
        <v>0</v>
      </c>
      <c r="BL250" s="1057">
        <f>IF(SUM($N$26:BL26)&lt;$A$250,0,(BL28*$E$250)-SUM($M$250:BK250))</f>
        <v>0</v>
      </c>
      <c r="BM250" s="1057">
        <f>IF(SUM($N$26:BM26)&lt;$A$250,0,(BM28*$E$250)-SUM($M$250:BL250))</f>
        <v>0</v>
      </c>
      <c r="BN250" s="1057">
        <f>IF(SUM($N$26:BN26)&lt;$A$250,0,(BN28*$E$250)-SUM($M$250:BM250))</f>
        <v>0</v>
      </c>
      <c r="BO250" s="1057">
        <f>IF(SUM($N$26:BO26)&lt;$A$250,0,(BO28*$E$250)-SUM($M$250:BN250))</f>
        <v>0</v>
      </c>
      <c r="BP250" s="1057">
        <f>IF(SUM($N$26:BP26)&lt;$A$250,0,(BP28*$E$250)-SUM($M$250:BO250))</f>
        <v>0</v>
      </c>
      <c r="BQ250" s="1057">
        <f>IF(SUM($N$26:BQ26)&lt;$A$250,0,(BQ28*$E$250)-SUM($M$250:BP250))</f>
        <v>0</v>
      </c>
      <c r="BR250" s="1057">
        <f>IF(SUM($N$26:BR26)&lt;$A$250,0,(BR28*$E$250)-SUM($M$250:BQ250))</f>
        <v>0</v>
      </c>
      <c r="BS250" s="1057">
        <f>IF(SUM($N$26:BS26)&lt;$A$250,0,(BS28*$E$250)-SUM($M$250:BR250))</f>
        <v>0</v>
      </c>
      <c r="BT250" s="1057">
        <f>IF(SUM($N$26:BT26)&lt;$A$250,0,(BT28*$E$250)-SUM($M$250:BS250))</f>
        <v>0</v>
      </c>
      <c r="BU250" s="1057">
        <f>IF(SUM($N$26:BU26)&lt;$A$250,0,(BU28*$E$250)-SUM($M$250:BT250))</f>
        <v>0</v>
      </c>
      <c r="BV250" s="1057">
        <f>IF(SUM($N$26:BV26)&lt;$A$250,0,(BV28*$E$250)-SUM($M$250:BU250))</f>
        <v>0</v>
      </c>
      <c r="BW250" s="1057">
        <f>IF(SUM($N$26:BW26)&lt;$A$250,0,(BW28*$E$250)-SUM($M$250:BV250))</f>
        <v>0</v>
      </c>
      <c r="BX250" s="1057">
        <f>IF(SUM($N$26:BX26)&lt;$A$250,0,(BX28*$E$250)-SUM($M$250:BW250))</f>
        <v>0</v>
      </c>
      <c r="BY250" s="1067">
        <f t="shared" si="289"/>
        <v>6</v>
      </c>
      <c r="BZ250" s="1068">
        <f t="shared" si="301"/>
        <v>0</v>
      </c>
      <c r="CA250" s="1069" t="b">
        <f t="shared" si="302"/>
        <v>1</v>
      </c>
      <c r="CB250" s="1084"/>
    </row>
    <row r="251" spans="1:80" s="1082" customFormat="1">
      <c r="B251" s="1086" t="s">
        <v>1035</v>
      </c>
      <c r="C251" s="1902"/>
      <c r="D251" s="1060">
        <f>Equity!J11</f>
        <v>0.9</v>
      </c>
      <c r="E251" s="1061">
        <f>분양개요!$O$12*D251</f>
        <v>0</v>
      </c>
      <c r="F251" s="1062" t="b">
        <f t="shared" si="298"/>
        <v>1</v>
      </c>
      <c r="G251" s="1056"/>
      <c r="H251" s="1057"/>
      <c r="I251" s="1057"/>
      <c r="J251" s="1057"/>
      <c r="K251" s="1057">
        <f t="shared" ref="K251:AP251" si="303">IF(K7&gt;공사기간,$E$251*K243,0)</f>
        <v>0</v>
      </c>
      <c r="L251" s="1057">
        <f t="shared" si="303"/>
        <v>0</v>
      </c>
      <c r="M251" s="1057">
        <f t="shared" si="303"/>
        <v>0</v>
      </c>
      <c r="N251" s="1057">
        <f t="shared" si="303"/>
        <v>0</v>
      </c>
      <c r="O251" s="1057">
        <f t="shared" si="303"/>
        <v>0</v>
      </c>
      <c r="P251" s="1057">
        <f t="shared" si="303"/>
        <v>0</v>
      </c>
      <c r="Q251" s="1057">
        <f t="shared" si="303"/>
        <v>0</v>
      </c>
      <c r="R251" s="1057">
        <f t="shared" si="303"/>
        <v>0</v>
      </c>
      <c r="S251" s="1057">
        <f t="shared" si="303"/>
        <v>0</v>
      </c>
      <c r="T251" s="1057">
        <f t="shared" si="303"/>
        <v>0</v>
      </c>
      <c r="U251" s="1057">
        <f t="shared" si="303"/>
        <v>0</v>
      </c>
      <c r="V251" s="1057">
        <f t="shared" si="303"/>
        <v>0</v>
      </c>
      <c r="W251" s="1057">
        <f t="shared" si="303"/>
        <v>0</v>
      </c>
      <c r="X251" s="1057">
        <f t="shared" si="303"/>
        <v>0</v>
      </c>
      <c r="Y251" s="1057">
        <f t="shared" si="303"/>
        <v>0</v>
      </c>
      <c r="Z251" s="1057">
        <f t="shared" si="303"/>
        <v>0</v>
      </c>
      <c r="AA251" s="1057">
        <f t="shared" si="303"/>
        <v>0</v>
      </c>
      <c r="AB251" s="1057">
        <f t="shared" si="303"/>
        <v>0</v>
      </c>
      <c r="AC251" s="1057">
        <f t="shared" si="303"/>
        <v>0</v>
      </c>
      <c r="AD251" s="1057">
        <f t="shared" si="303"/>
        <v>0</v>
      </c>
      <c r="AE251" s="1057">
        <f t="shared" si="303"/>
        <v>0</v>
      </c>
      <c r="AF251" s="1057">
        <f t="shared" si="303"/>
        <v>0</v>
      </c>
      <c r="AG251" s="1057">
        <f t="shared" si="303"/>
        <v>0</v>
      </c>
      <c r="AH251" s="1057">
        <f t="shared" si="303"/>
        <v>0</v>
      </c>
      <c r="AI251" s="1057">
        <f t="shared" si="303"/>
        <v>0</v>
      </c>
      <c r="AJ251" s="1057">
        <f t="shared" si="303"/>
        <v>0</v>
      </c>
      <c r="AK251" s="1057">
        <f t="shared" si="303"/>
        <v>0</v>
      </c>
      <c r="AL251" s="1057">
        <f t="shared" si="303"/>
        <v>0</v>
      </c>
      <c r="AM251" s="1057">
        <f t="shared" si="303"/>
        <v>0</v>
      </c>
      <c r="AN251" s="1057">
        <f t="shared" si="303"/>
        <v>0</v>
      </c>
      <c r="AO251" s="1057">
        <f t="shared" si="303"/>
        <v>0</v>
      </c>
      <c r="AP251" s="1057">
        <f t="shared" si="303"/>
        <v>0</v>
      </c>
      <c r="AQ251" s="1057">
        <f t="shared" ref="AQ251:BX251" si="304">IF(AQ7&gt;공사기간,$E$251*AQ243,0)</f>
        <v>0</v>
      </c>
      <c r="AR251" s="1057">
        <f t="shared" si="304"/>
        <v>0</v>
      </c>
      <c r="AS251" s="1057">
        <f t="shared" si="304"/>
        <v>0</v>
      </c>
      <c r="AT251" s="1057">
        <f t="shared" si="304"/>
        <v>0</v>
      </c>
      <c r="AU251" s="1057">
        <f t="shared" si="304"/>
        <v>0</v>
      </c>
      <c r="AV251" s="1057">
        <f t="shared" si="304"/>
        <v>0</v>
      </c>
      <c r="AW251" s="1057">
        <f t="shared" si="304"/>
        <v>0</v>
      </c>
      <c r="AX251" s="1057">
        <f t="shared" si="304"/>
        <v>0</v>
      </c>
      <c r="AY251" s="1057">
        <f t="shared" si="304"/>
        <v>0</v>
      </c>
      <c r="AZ251" s="1057">
        <f t="shared" si="304"/>
        <v>0</v>
      </c>
      <c r="BA251" s="1057">
        <f t="shared" si="304"/>
        <v>0</v>
      </c>
      <c r="BB251" s="1057">
        <f t="shared" si="304"/>
        <v>0</v>
      </c>
      <c r="BC251" s="1057">
        <f t="shared" si="304"/>
        <v>0</v>
      </c>
      <c r="BD251" s="1057">
        <f t="shared" si="304"/>
        <v>0</v>
      </c>
      <c r="BE251" s="1057">
        <f t="shared" si="304"/>
        <v>0</v>
      </c>
      <c r="BF251" s="1057">
        <f t="shared" si="304"/>
        <v>0</v>
      </c>
      <c r="BG251" s="1057">
        <f t="shared" si="304"/>
        <v>0</v>
      </c>
      <c r="BH251" s="1057">
        <f t="shared" si="304"/>
        <v>0</v>
      </c>
      <c r="BI251" s="1057">
        <f t="shared" si="304"/>
        <v>0</v>
      </c>
      <c r="BJ251" s="1057">
        <f t="shared" si="304"/>
        <v>0</v>
      </c>
      <c r="BK251" s="1057">
        <f t="shared" si="304"/>
        <v>0</v>
      </c>
      <c r="BL251" s="1057">
        <f t="shared" si="304"/>
        <v>0</v>
      </c>
      <c r="BM251" s="1057">
        <f t="shared" si="304"/>
        <v>0</v>
      </c>
      <c r="BN251" s="1057">
        <f t="shared" si="304"/>
        <v>0</v>
      </c>
      <c r="BO251" s="1057">
        <f t="shared" si="304"/>
        <v>0</v>
      </c>
      <c r="BP251" s="1057">
        <f t="shared" si="304"/>
        <v>0</v>
      </c>
      <c r="BQ251" s="1057">
        <f t="shared" si="304"/>
        <v>0</v>
      </c>
      <c r="BR251" s="1057">
        <f t="shared" si="304"/>
        <v>0</v>
      </c>
      <c r="BS251" s="1057">
        <f t="shared" si="304"/>
        <v>0</v>
      </c>
      <c r="BT251" s="1057">
        <f t="shared" si="304"/>
        <v>0</v>
      </c>
      <c r="BU251" s="1057">
        <f t="shared" si="304"/>
        <v>0</v>
      </c>
      <c r="BV251" s="1057">
        <f t="shared" si="304"/>
        <v>0</v>
      </c>
      <c r="BW251" s="1057">
        <f t="shared" si="304"/>
        <v>0</v>
      </c>
      <c r="BX251" s="1057">
        <f t="shared" si="304"/>
        <v>0</v>
      </c>
      <c r="BY251" s="1074" t="str">
        <f t="shared" si="289"/>
        <v>잔금</v>
      </c>
      <c r="BZ251" s="1068">
        <f t="shared" si="301"/>
        <v>0</v>
      </c>
      <c r="CA251" s="1069" t="b">
        <f t="shared" si="302"/>
        <v>1</v>
      </c>
      <c r="CB251" s="1084"/>
    </row>
    <row r="252" spans="1:80" s="1082" customFormat="1">
      <c r="B252" s="1085" t="s">
        <v>126</v>
      </c>
      <c r="C252" s="1901"/>
      <c r="D252" s="1060">
        <f>SUM(D244:D251)</f>
        <v>1</v>
      </c>
      <c r="E252" s="1061">
        <f>SUM(E244:E251)</f>
        <v>0</v>
      </c>
      <c r="F252" s="1062" t="b">
        <f t="shared" si="298"/>
        <v>1</v>
      </c>
      <c r="G252" s="1056">
        <f t="shared" ref="G252:BR252" si="305">SUM(G244:G251)</f>
        <v>0</v>
      </c>
      <c r="H252" s="1056">
        <f t="shared" si="305"/>
        <v>0</v>
      </c>
      <c r="I252" s="1056">
        <f t="shared" si="305"/>
        <v>0</v>
      </c>
      <c r="J252" s="1056">
        <f t="shared" si="305"/>
        <v>0</v>
      </c>
      <c r="K252" s="1056">
        <f t="shared" si="305"/>
        <v>0</v>
      </c>
      <c r="L252" s="1056">
        <f t="shared" si="305"/>
        <v>0</v>
      </c>
      <c r="M252" s="1056">
        <f t="shared" si="305"/>
        <v>0</v>
      </c>
      <c r="N252" s="1056">
        <f t="shared" si="305"/>
        <v>0</v>
      </c>
      <c r="O252" s="1056">
        <f t="shared" si="305"/>
        <v>0</v>
      </c>
      <c r="P252" s="1056">
        <f t="shared" si="305"/>
        <v>0</v>
      </c>
      <c r="Q252" s="1056">
        <f t="shared" si="305"/>
        <v>0</v>
      </c>
      <c r="R252" s="1056">
        <f t="shared" si="305"/>
        <v>0</v>
      </c>
      <c r="S252" s="1056">
        <f t="shared" si="305"/>
        <v>0</v>
      </c>
      <c r="T252" s="1056">
        <f t="shared" si="305"/>
        <v>0</v>
      </c>
      <c r="U252" s="1056">
        <f t="shared" si="305"/>
        <v>0</v>
      </c>
      <c r="V252" s="1056">
        <f t="shared" si="305"/>
        <v>0</v>
      </c>
      <c r="W252" s="1056">
        <f t="shared" si="305"/>
        <v>0</v>
      </c>
      <c r="X252" s="1056">
        <f t="shared" si="305"/>
        <v>0</v>
      </c>
      <c r="Y252" s="1056">
        <f t="shared" si="305"/>
        <v>0</v>
      </c>
      <c r="Z252" s="1056">
        <f t="shared" si="305"/>
        <v>0</v>
      </c>
      <c r="AA252" s="1056">
        <f t="shared" si="305"/>
        <v>0</v>
      </c>
      <c r="AB252" s="1056">
        <f t="shared" si="305"/>
        <v>0</v>
      </c>
      <c r="AC252" s="1056">
        <f t="shared" si="305"/>
        <v>0</v>
      </c>
      <c r="AD252" s="1056">
        <f t="shared" si="305"/>
        <v>0</v>
      </c>
      <c r="AE252" s="1056">
        <f t="shared" si="305"/>
        <v>0</v>
      </c>
      <c r="AF252" s="1056">
        <f t="shared" si="305"/>
        <v>0</v>
      </c>
      <c r="AG252" s="1056">
        <f t="shared" si="305"/>
        <v>0</v>
      </c>
      <c r="AH252" s="1056">
        <f t="shared" si="305"/>
        <v>0</v>
      </c>
      <c r="AI252" s="1056">
        <f t="shared" si="305"/>
        <v>0</v>
      </c>
      <c r="AJ252" s="1056">
        <f t="shared" si="305"/>
        <v>0</v>
      </c>
      <c r="AK252" s="1056">
        <f t="shared" si="305"/>
        <v>0</v>
      </c>
      <c r="AL252" s="1056">
        <f t="shared" si="305"/>
        <v>0</v>
      </c>
      <c r="AM252" s="1056">
        <f t="shared" si="305"/>
        <v>0</v>
      </c>
      <c r="AN252" s="1056">
        <f t="shared" si="305"/>
        <v>0</v>
      </c>
      <c r="AO252" s="1056">
        <f t="shared" si="305"/>
        <v>0</v>
      </c>
      <c r="AP252" s="1056">
        <f t="shared" si="305"/>
        <v>0</v>
      </c>
      <c r="AQ252" s="1056">
        <f t="shared" si="305"/>
        <v>0</v>
      </c>
      <c r="AR252" s="1056">
        <f t="shared" si="305"/>
        <v>0</v>
      </c>
      <c r="AS252" s="1056">
        <f t="shared" si="305"/>
        <v>0</v>
      </c>
      <c r="AT252" s="1056">
        <f t="shared" si="305"/>
        <v>0</v>
      </c>
      <c r="AU252" s="1056">
        <f t="shared" si="305"/>
        <v>0</v>
      </c>
      <c r="AV252" s="1056">
        <f t="shared" si="305"/>
        <v>0</v>
      </c>
      <c r="AW252" s="1056">
        <f t="shared" si="305"/>
        <v>0</v>
      </c>
      <c r="AX252" s="1056">
        <f t="shared" si="305"/>
        <v>0</v>
      </c>
      <c r="AY252" s="1056">
        <f t="shared" si="305"/>
        <v>0</v>
      </c>
      <c r="AZ252" s="1056">
        <f t="shared" si="305"/>
        <v>0</v>
      </c>
      <c r="BA252" s="1056">
        <f t="shared" si="305"/>
        <v>0</v>
      </c>
      <c r="BB252" s="1056">
        <f t="shared" si="305"/>
        <v>0</v>
      </c>
      <c r="BC252" s="1056">
        <f t="shared" si="305"/>
        <v>0</v>
      </c>
      <c r="BD252" s="1056">
        <f t="shared" si="305"/>
        <v>0</v>
      </c>
      <c r="BE252" s="1056">
        <f t="shared" si="305"/>
        <v>0</v>
      </c>
      <c r="BF252" s="1056">
        <f t="shared" si="305"/>
        <v>0</v>
      </c>
      <c r="BG252" s="1056">
        <f t="shared" si="305"/>
        <v>0</v>
      </c>
      <c r="BH252" s="1056">
        <f t="shared" si="305"/>
        <v>0</v>
      </c>
      <c r="BI252" s="1056">
        <f t="shared" si="305"/>
        <v>0</v>
      </c>
      <c r="BJ252" s="1056">
        <f t="shared" si="305"/>
        <v>0</v>
      </c>
      <c r="BK252" s="1056">
        <f t="shared" si="305"/>
        <v>0</v>
      </c>
      <c r="BL252" s="1056">
        <f t="shared" si="305"/>
        <v>0</v>
      </c>
      <c r="BM252" s="1056">
        <f t="shared" si="305"/>
        <v>0</v>
      </c>
      <c r="BN252" s="1056">
        <f t="shared" si="305"/>
        <v>0</v>
      </c>
      <c r="BO252" s="1056">
        <f t="shared" si="305"/>
        <v>0</v>
      </c>
      <c r="BP252" s="1056">
        <f t="shared" si="305"/>
        <v>0</v>
      </c>
      <c r="BQ252" s="1056">
        <f t="shared" si="305"/>
        <v>0</v>
      </c>
      <c r="BR252" s="1056">
        <f t="shared" si="305"/>
        <v>0</v>
      </c>
      <c r="BS252" s="1056">
        <f t="shared" ref="BS252:BU252" si="306">SUM(BS244:BS251)</f>
        <v>0</v>
      </c>
      <c r="BT252" s="1056">
        <f t="shared" si="306"/>
        <v>0</v>
      </c>
      <c r="BU252" s="1056">
        <f t="shared" si="306"/>
        <v>0</v>
      </c>
      <c r="BV252" s="1056">
        <f>SUM(BV244:BV251)</f>
        <v>0</v>
      </c>
      <c r="BW252" s="1056">
        <f t="shared" ref="BW252:BX252" si="307">SUM(BW244:BW251)</f>
        <v>0</v>
      </c>
      <c r="BX252" s="1056">
        <f t="shared" si="307"/>
        <v>0</v>
      </c>
      <c r="BY252" s="1079" t="str">
        <f t="shared" si="289"/>
        <v>합계</v>
      </c>
      <c r="BZ252" s="1080">
        <f t="shared" si="301"/>
        <v>0</v>
      </c>
      <c r="CA252" s="1087" t="b">
        <f t="shared" si="302"/>
        <v>1</v>
      </c>
      <c r="CB252" s="1084"/>
    </row>
    <row r="253" spans="1:80" s="1082" customFormat="1">
      <c r="B253" s="2375" t="str">
        <f>Equity!G12</f>
        <v>생활형숙박시설</v>
      </c>
      <c r="C253" s="2376"/>
      <c r="D253" s="2376"/>
      <c r="E253" s="2377"/>
      <c r="F253" s="1062"/>
      <c r="G253" s="1056"/>
      <c r="H253" s="1057"/>
      <c r="I253" s="1057"/>
      <c r="J253" s="1057"/>
      <c r="K253" s="1057"/>
      <c r="L253" s="1057"/>
      <c r="M253" s="1057"/>
      <c r="N253" s="1057"/>
      <c r="O253" s="1057"/>
      <c r="P253" s="1057"/>
      <c r="Q253" s="1057"/>
      <c r="R253" s="1057"/>
      <c r="S253" s="1057"/>
      <c r="T253" s="1057"/>
      <c r="U253" s="1057"/>
      <c r="V253" s="1057"/>
      <c r="W253" s="1057"/>
      <c r="X253" s="1057"/>
      <c r="Y253" s="1057"/>
      <c r="Z253" s="1057"/>
      <c r="AA253" s="1057"/>
      <c r="AB253" s="1057"/>
      <c r="AC253" s="1057"/>
      <c r="AD253" s="1057"/>
      <c r="AE253" s="1057"/>
      <c r="AF253" s="1057"/>
      <c r="AG253" s="1057"/>
      <c r="AH253" s="1057"/>
      <c r="AI253" s="1057"/>
      <c r="AJ253" s="1057"/>
      <c r="AK253" s="1057"/>
      <c r="AL253" s="1057"/>
      <c r="AM253" s="1057"/>
      <c r="AN253" s="1057"/>
      <c r="AO253" s="1057"/>
      <c r="AP253" s="1057"/>
      <c r="AQ253" s="1057"/>
      <c r="AR253" s="1057"/>
      <c r="AS253" s="1057"/>
      <c r="AT253" s="1057"/>
      <c r="AU253" s="1057"/>
      <c r="AV253" s="1057"/>
      <c r="AW253" s="1057"/>
      <c r="AX253" s="1057"/>
      <c r="AY253" s="1057"/>
      <c r="AZ253" s="1057"/>
      <c r="BA253" s="1057"/>
      <c r="BB253" s="1057"/>
      <c r="BC253" s="1057"/>
      <c r="BD253" s="1057"/>
      <c r="BE253" s="1057"/>
      <c r="BF253" s="1057"/>
      <c r="BG253" s="1057"/>
      <c r="BH253" s="1057"/>
      <c r="BI253" s="1057"/>
      <c r="BJ253" s="1057"/>
      <c r="BK253" s="1057"/>
      <c r="BL253" s="1057"/>
      <c r="BM253" s="1057"/>
      <c r="BN253" s="1057"/>
      <c r="BO253" s="1057"/>
      <c r="BP253" s="1057"/>
      <c r="BQ253" s="1057"/>
      <c r="BR253" s="1057"/>
      <c r="BS253" s="1057"/>
      <c r="BT253" s="1057"/>
      <c r="BU253" s="1057"/>
      <c r="BV253" s="1915">
        <f>비용집행계획!BQ26</f>
        <v>0.5</v>
      </c>
      <c r="BW253" s="1915">
        <f>비용집행계획!BR26</f>
        <v>0.3</v>
      </c>
      <c r="BX253" s="1915">
        <f>비용집행계획!BS26</f>
        <v>0.2</v>
      </c>
      <c r="BY253" s="2375" t="str">
        <f t="shared" si="289"/>
        <v>생활형숙박시설</v>
      </c>
      <c r="BZ253" s="2376"/>
      <c r="CA253" s="1083"/>
      <c r="CB253" s="1084"/>
    </row>
    <row r="254" spans="1:80" s="1082" customFormat="1">
      <c r="B254" s="1085" t="s">
        <v>120</v>
      </c>
      <c r="C254" s="1901"/>
      <c r="D254" s="1060">
        <v>0.1</v>
      </c>
      <c r="E254" s="1061">
        <f>분양개요!$O$13*D254</f>
        <v>0</v>
      </c>
      <c r="F254" s="1062" t="b">
        <f t="shared" ref="F254:F262" si="308">CA254</f>
        <v>1</v>
      </c>
      <c r="G254" s="1056"/>
      <c r="H254" s="1057"/>
      <c r="I254" s="1057"/>
      <c r="J254" s="1057"/>
      <c r="K254" s="1057">
        <f t="shared" ref="K254:AP254" si="309">$E$254*K30</f>
        <v>0</v>
      </c>
      <c r="L254" s="1057">
        <f t="shared" si="309"/>
        <v>0</v>
      </c>
      <c r="M254" s="1057">
        <f t="shared" si="309"/>
        <v>0</v>
      </c>
      <c r="N254" s="1057">
        <f t="shared" si="309"/>
        <v>0</v>
      </c>
      <c r="O254" s="1057">
        <f t="shared" si="309"/>
        <v>0</v>
      </c>
      <c r="P254" s="1057">
        <f t="shared" si="309"/>
        <v>0</v>
      </c>
      <c r="Q254" s="1057">
        <f t="shared" si="309"/>
        <v>0</v>
      </c>
      <c r="R254" s="1057">
        <f t="shared" si="309"/>
        <v>0</v>
      </c>
      <c r="S254" s="1057">
        <f t="shared" si="309"/>
        <v>0</v>
      </c>
      <c r="T254" s="1057">
        <f t="shared" si="309"/>
        <v>0</v>
      </c>
      <c r="U254" s="1057">
        <f t="shared" si="309"/>
        <v>0</v>
      </c>
      <c r="V254" s="1057">
        <f t="shared" si="309"/>
        <v>0</v>
      </c>
      <c r="W254" s="1057">
        <f t="shared" si="309"/>
        <v>0</v>
      </c>
      <c r="X254" s="1057">
        <f t="shared" si="309"/>
        <v>0</v>
      </c>
      <c r="Y254" s="1057">
        <f t="shared" si="309"/>
        <v>0</v>
      </c>
      <c r="Z254" s="1057">
        <f t="shared" si="309"/>
        <v>0</v>
      </c>
      <c r="AA254" s="1057">
        <f t="shared" si="309"/>
        <v>0</v>
      </c>
      <c r="AB254" s="1057">
        <f t="shared" si="309"/>
        <v>0</v>
      </c>
      <c r="AC254" s="1057">
        <f t="shared" si="309"/>
        <v>0</v>
      </c>
      <c r="AD254" s="1057">
        <f t="shared" si="309"/>
        <v>0</v>
      </c>
      <c r="AE254" s="1057">
        <f t="shared" si="309"/>
        <v>0</v>
      </c>
      <c r="AF254" s="1057">
        <f t="shared" si="309"/>
        <v>0</v>
      </c>
      <c r="AG254" s="1057">
        <f t="shared" si="309"/>
        <v>0</v>
      </c>
      <c r="AH254" s="1057">
        <f t="shared" si="309"/>
        <v>0</v>
      </c>
      <c r="AI254" s="1057">
        <f t="shared" si="309"/>
        <v>0</v>
      </c>
      <c r="AJ254" s="1057">
        <f t="shared" si="309"/>
        <v>0</v>
      </c>
      <c r="AK254" s="1057">
        <f t="shared" si="309"/>
        <v>0</v>
      </c>
      <c r="AL254" s="1057">
        <f t="shared" si="309"/>
        <v>0</v>
      </c>
      <c r="AM254" s="1057">
        <f t="shared" si="309"/>
        <v>0</v>
      </c>
      <c r="AN254" s="1057">
        <f t="shared" si="309"/>
        <v>0</v>
      </c>
      <c r="AO254" s="1057">
        <f t="shared" si="309"/>
        <v>0</v>
      </c>
      <c r="AP254" s="1057">
        <f t="shared" si="309"/>
        <v>0</v>
      </c>
      <c r="AQ254" s="1057">
        <f t="shared" ref="AQ254:BX254" si="310">$E$254*AQ30</f>
        <v>0</v>
      </c>
      <c r="AR254" s="1057">
        <f t="shared" si="310"/>
        <v>0</v>
      </c>
      <c r="AS254" s="1057">
        <f t="shared" si="310"/>
        <v>0</v>
      </c>
      <c r="AT254" s="1057">
        <f t="shared" si="310"/>
        <v>0</v>
      </c>
      <c r="AU254" s="1057">
        <f t="shared" si="310"/>
        <v>0</v>
      </c>
      <c r="AV254" s="1057">
        <f t="shared" si="310"/>
        <v>0</v>
      </c>
      <c r="AW254" s="1057">
        <f t="shared" si="310"/>
        <v>0</v>
      </c>
      <c r="AX254" s="1057">
        <f t="shared" si="310"/>
        <v>0</v>
      </c>
      <c r="AY254" s="1057">
        <f t="shared" si="310"/>
        <v>0</v>
      </c>
      <c r="AZ254" s="1057">
        <f t="shared" si="310"/>
        <v>0</v>
      </c>
      <c r="BA254" s="1057">
        <f t="shared" si="310"/>
        <v>0</v>
      </c>
      <c r="BB254" s="1057">
        <f t="shared" si="310"/>
        <v>0</v>
      </c>
      <c r="BC254" s="1057">
        <f t="shared" si="310"/>
        <v>0</v>
      </c>
      <c r="BD254" s="1057">
        <f t="shared" si="310"/>
        <v>0</v>
      </c>
      <c r="BE254" s="1057">
        <f t="shared" si="310"/>
        <v>0</v>
      </c>
      <c r="BF254" s="1057">
        <f t="shared" si="310"/>
        <v>0</v>
      </c>
      <c r="BG254" s="1057">
        <f t="shared" si="310"/>
        <v>0</v>
      </c>
      <c r="BH254" s="1057">
        <f t="shared" si="310"/>
        <v>0</v>
      </c>
      <c r="BI254" s="1057">
        <f t="shared" si="310"/>
        <v>0</v>
      </c>
      <c r="BJ254" s="1057">
        <f t="shared" si="310"/>
        <v>0</v>
      </c>
      <c r="BK254" s="1057">
        <f t="shared" si="310"/>
        <v>0</v>
      </c>
      <c r="BL254" s="1057">
        <f t="shared" si="310"/>
        <v>0</v>
      </c>
      <c r="BM254" s="1057">
        <f t="shared" si="310"/>
        <v>0</v>
      </c>
      <c r="BN254" s="1057">
        <f t="shared" si="310"/>
        <v>0</v>
      </c>
      <c r="BO254" s="1057">
        <f t="shared" si="310"/>
        <v>0</v>
      </c>
      <c r="BP254" s="1057">
        <f t="shared" si="310"/>
        <v>0</v>
      </c>
      <c r="BQ254" s="1057">
        <f t="shared" si="310"/>
        <v>0</v>
      </c>
      <c r="BR254" s="1057">
        <f t="shared" si="310"/>
        <v>0</v>
      </c>
      <c r="BS254" s="1057">
        <f t="shared" si="310"/>
        <v>0</v>
      </c>
      <c r="BT254" s="1057">
        <f t="shared" si="310"/>
        <v>0</v>
      </c>
      <c r="BU254" s="1057">
        <f t="shared" si="310"/>
        <v>0</v>
      </c>
      <c r="BV254" s="1057">
        <f t="shared" si="310"/>
        <v>0</v>
      </c>
      <c r="BW254" s="1057">
        <f t="shared" si="310"/>
        <v>0</v>
      </c>
      <c r="BX254" s="1057">
        <f t="shared" si="310"/>
        <v>0</v>
      </c>
      <c r="BY254" s="1064" t="str">
        <f t="shared" si="289"/>
        <v>계약금</v>
      </c>
      <c r="BZ254" s="1065">
        <f t="shared" ref="BZ254:BZ262" si="311">SUM(G254:BX254)</f>
        <v>0</v>
      </c>
      <c r="CA254" s="1066" t="b">
        <f t="shared" ref="CA254:CA262" si="312">ROUND(BZ254,0)=ROUND(E254,0)</f>
        <v>1</v>
      </c>
      <c r="CB254" s="1084"/>
    </row>
    <row r="255" spans="1:80" s="1082" customFormat="1">
      <c r="A255">
        <v>1</v>
      </c>
      <c r="B255" s="1067">
        <v>1</v>
      </c>
      <c r="C255" s="1898"/>
      <c r="D255" s="1060">
        <f>IF(B255&lt;Equity!$D$33+1,Equity!$I$12/Equity!$D$33,0)</f>
        <v>0.1</v>
      </c>
      <c r="E255" s="1061">
        <f>분양개요!$O$13*D255</f>
        <v>0</v>
      </c>
      <c r="F255" s="1062" t="b">
        <f t="shared" si="308"/>
        <v>1</v>
      </c>
      <c r="G255" s="1056"/>
      <c r="H255" s="1057"/>
      <c r="I255" s="1057"/>
      <c r="J255" s="1057"/>
      <c r="K255" s="1057">
        <f>IF(SUM(K$29:$O29)&lt;$A$255,0,(K31*$E$255)-SUM(J$255:$M255))</f>
        <v>0</v>
      </c>
      <c r="L255" s="1057">
        <f>IF(SUM(L$29:$O29)&lt;$A$255,0,(L31*$E$255)-SUM(K$255:$M255))</f>
        <v>0</v>
      </c>
      <c r="M255" s="1057">
        <f>IF(SUM(M$29:$O29)&lt;$A$255,0,(M31*$E$255)-SUM(L$255:$M255))</f>
        <v>0</v>
      </c>
      <c r="N255" s="1057">
        <f>IF(SUM(N$29:$O29)&lt;$A$255,0,(N31*$E$255)-SUM($M$255:M255))</f>
        <v>0</v>
      </c>
      <c r="O255" s="1057">
        <f>IF(SUM($O$29:O29)&lt;$A$255,0,(O31*$E$255)-SUM($M$255:N255))</f>
        <v>0</v>
      </c>
      <c r="P255" s="1057">
        <f>IF(SUM($O$29:P29)&lt;$A$255,0,(P31*$E$255)-SUM($M$255:O255))</f>
        <v>0</v>
      </c>
      <c r="Q255" s="1057">
        <f>IF(SUM($O$29:Q29)&lt;$A$255,0,(Q31*$E$255)-SUM($M$255:P255))</f>
        <v>0</v>
      </c>
      <c r="R255" s="1057">
        <f>IF(SUM($O$29:R29)&lt;$A$255,0,(R31*$E$255)-SUM($M$255:Q255))</f>
        <v>0</v>
      </c>
      <c r="S255" s="1057">
        <f>IF(SUM($O$29:S29)&lt;$A$255,0,(S31*$E$255)-SUM($M$255:R255))</f>
        <v>0</v>
      </c>
      <c r="T255" s="1057">
        <f>IF(SUM($O$29:T29)&lt;$A$255,0,(T31*$E$255)-SUM($M$255:S255))</f>
        <v>0</v>
      </c>
      <c r="U255" s="1057">
        <f>IF(SUM($O$29:U29)&lt;$A$255,0,(U31*$E$255)-SUM($M$255:T255))</f>
        <v>0</v>
      </c>
      <c r="V255" s="1057">
        <f>IF(SUM($O$29:V29)&lt;$A$255,0,(V31*$E$255)-SUM($M$255:U255))</f>
        <v>0</v>
      </c>
      <c r="W255" s="1057">
        <f>IF(SUM($O$29:W29)&lt;$A$255,0,(W31*$E$255)-SUM($M$255:V255))</f>
        <v>0</v>
      </c>
      <c r="X255" s="1057">
        <f>IF(SUM($O$29:X29)&lt;$A$255,0,(X31*$E$255)-SUM($M$255:W255))</f>
        <v>0</v>
      </c>
      <c r="Y255" s="1057">
        <f>IF(SUM($O$29:Y29)&lt;$A$255,0,(Y31*$E$255)-SUM($M$255:X255))</f>
        <v>0</v>
      </c>
      <c r="Z255" s="1057">
        <f>IF(SUM($O$29:Z29)&lt;$A$255,0,(Z31*$E$255)-SUM($M$255:Y255))</f>
        <v>0</v>
      </c>
      <c r="AA255" s="1057">
        <f>IF(SUM($O$29:AA29)&lt;$A$255,0,(AA31*$E$255)-SUM($M$255:Z255))</f>
        <v>0</v>
      </c>
      <c r="AB255" s="1057">
        <f>IF(SUM($O$29:AB29)&lt;$A$255,0,(AB31*$E$255)-SUM($M$255:AA255))</f>
        <v>0</v>
      </c>
      <c r="AC255" s="1057">
        <f>IF(SUM($O$29:AC29)&lt;$A$255,0,(AC31*$E$255)-SUM($M$255:AB255))</f>
        <v>0</v>
      </c>
      <c r="AD255" s="1057">
        <f>IF(SUM($O$29:AD29)&lt;$A$255,0,(AD31*$E$255)-SUM($M$255:AC255))</f>
        <v>0</v>
      </c>
      <c r="AE255" s="1057">
        <f>IF(SUM($O$29:AE29)&lt;$A$255,0,(AE31*$E$255)-SUM($M$255:AD255))</f>
        <v>0</v>
      </c>
      <c r="AF255" s="1057">
        <f>IF(SUM($O$29:AF29)&lt;$A$255,0,(AF31*$E$255)-SUM($M$255:AE255))</f>
        <v>0</v>
      </c>
      <c r="AG255" s="1057">
        <f>IF(SUM($O$29:AG29)&lt;$A$255,0,(AG31*$E$255)-SUM($M$255:AF255))</f>
        <v>0</v>
      </c>
      <c r="AH255" s="1057">
        <f>IF(SUM($O$29:AH29)&lt;$A$255,0,(AH31*$E$255)-SUM($M$255:AG255))</f>
        <v>0</v>
      </c>
      <c r="AI255" s="1057">
        <f>IF(SUM($O$29:AI29)&lt;$A$255,0,(AI31*$E$255)-SUM($M$255:AH255))</f>
        <v>0</v>
      </c>
      <c r="AJ255" s="1057">
        <f>IF(SUM($O$29:AJ29)&lt;$A$255,0,(AJ31*$E$255)-SUM($M$255:AI255))</f>
        <v>0</v>
      </c>
      <c r="AK255" s="1057">
        <f>IF(SUM($O$29:AK29)&lt;$A$255,0,(AK31*$E$255)-SUM($M$255:AJ255))</f>
        <v>0</v>
      </c>
      <c r="AL255" s="1057">
        <f>IF(SUM($O$29:AL29)&lt;$A$255,0,(AL31*$E$255)-SUM($M$255:AK255))</f>
        <v>0</v>
      </c>
      <c r="AM255" s="1057">
        <f>IF(SUM($O$29:AM29)&lt;$A$255,0,(AM31*$E$255)-SUM($M$255:AL255))</f>
        <v>0</v>
      </c>
      <c r="AN255" s="1057">
        <f>IF(SUM($O$29:AN29)&lt;$A$255,0,(AN31*$E$255)-SUM($M$255:AM255))</f>
        <v>0</v>
      </c>
      <c r="AO255" s="1057">
        <f>IF(SUM($O$29:AO29)&lt;$A$255,0,(AO31*$E$255)-SUM($M$255:AN255))</f>
        <v>0</v>
      </c>
      <c r="AP255" s="1057">
        <f>IF(SUM($O$29:AP29)&lt;$A$255,0,(AP31*$E$255)-SUM($M$255:AO255))</f>
        <v>0</v>
      </c>
      <c r="AQ255" s="1057">
        <f>IF(SUM($O$29:AQ29)&lt;$A$255,0,(AQ31*$E$255)-SUM($M$255:AP255))</f>
        <v>0</v>
      </c>
      <c r="AR255" s="1057">
        <f>IF(SUM($O$29:AR29)&lt;$A$255,0,(AR31*$E$255)-SUM($M$255:AQ255))</f>
        <v>0</v>
      </c>
      <c r="AS255" s="1057">
        <f>IF(SUM($O$29:AS29)&lt;$A$255,0,(AS31*$E$255)-SUM($M$255:AR255))</f>
        <v>0</v>
      </c>
      <c r="AT255" s="1057">
        <f>IF(SUM($O$29:AT29)&lt;$A$255,0,(AT31*$E$255)-SUM($M$255:AS255))</f>
        <v>0</v>
      </c>
      <c r="AU255" s="1057">
        <f>IF(SUM($O$29:AU29)&lt;$A$255,0,(AU31*$E$255)-SUM($M$255:AT255))</f>
        <v>0</v>
      </c>
      <c r="AV255" s="1057">
        <f>IF(SUM($O$29:AV29)&lt;$A$255,0,(AV31*$E$255)-SUM($M$255:AU255))</f>
        <v>0</v>
      </c>
      <c r="AW255" s="1057">
        <f>IF(SUM($O$29:AW29)&lt;$A$255,0,(AW31*$E$255)-SUM($M$255:AV255))</f>
        <v>0</v>
      </c>
      <c r="AX255" s="1057">
        <f>IF(SUM($O$29:AX29)&lt;$A$255,0,(AX31*$E$255)-SUM($M$255:AW255))</f>
        <v>0</v>
      </c>
      <c r="AY255" s="1057">
        <f>IF(SUM($O$29:AY29)&lt;$A$255,0,(AY31*$E$255)-SUM($M$255:AX255))</f>
        <v>0</v>
      </c>
      <c r="AZ255" s="1057">
        <f>IF(SUM($O$29:AZ29)&lt;$A$255,0,(AZ31*$E$255)-SUM($M$255:AY255))</f>
        <v>0</v>
      </c>
      <c r="BA255" s="1057">
        <f>IF(SUM($O$29:BA29)&lt;$A$255,0,(BA31*$E$255)-SUM($M$255:AZ255))</f>
        <v>0</v>
      </c>
      <c r="BB255" s="1057">
        <f>IF(SUM($O$29:BB29)&lt;$A$255,0,(BB31*$E$255)-SUM($M$255:BA255))</f>
        <v>0</v>
      </c>
      <c r="BC255" s="1057">
        <f>IF(SUM($O$29:BC29)&lt;$A$255,0,(BC31*$E$255)-SUM($M$255:BB255))</f>
        <v>0</v>
      </c>
      <c r="BD255" s="1057">
        <f>IF(SUM($O$29:BD29)&lt;$A$255,0,(BD31*$E$255)-SUM($M$255:BC255))</f>
        <v>0</v>
      </c>
      <c r="BE255" s="1057">
        <f>IF(SUM($O$29:BE29)&lt;$A$255,0,(BE31*$E$255)-SUM($M$255:BD255))</f>
        <v>0</v>
      </c>
      <c r="BF255" s="1057">
        <f>IF(SUM($O$29:BF29)&lt;$A$255,0,(BF31*$E$255)-SUM($M$255:BE255))</f>
        <v>0</v>
      </c>
      <c r="BG255" s="1057">
        <f>IF(SUM($O$29:BG29)&lt;$A$255,0,(BG31*$E$255)-SUM($M$255:BF255))</f>
        <v>0</v>
      </c>
      <c r="BH255" s="1057">
        <f>IF(SUM($O$29:BH29)&lt;$A$255,0,(BH31*$E$255)-SUM($M$255:BG255))</f>
        <v>0</v>
      </c>
      <c r="BI255" s="1057">
        <f>IF(SUM($O$29:BI29)&lt;$A$255,0,(BI31*$E$255)-SUM($M$255:BH255))</f>
        <v>0</v>
      </c>
      <c r="BJ255" s="1057">
        <f>IF(SUM($O$29:BJ29)&lt;$A$255,0,(BJ31*$E$255)-SUM($M$255:BI255))</f>
        <v>0</v>
      </c>
      <c r="BK255" s="1057">
        <f>IF(SUM($O$29:BK29)&lt;$A$255,0,(BK31*$E$255)-SUM($M$255:BJ255))</f>
        <v>0</v>
      </c>
      <c r="BL255" s="1057">
        <f>IF(SUM($O$29:BL29)&lt;$A$255,0,(BL31*$E$255)-SUM($M$255:BK255))</f>
        <v>0</v>
      </c>
      <c r="BM255" s="1057">
        <f>IF(SUM($O$29:BM29)&lt;$A$255,0,(BM31*$E$255)-SUM($M$255:BL255))</f>
        <v>0</v>
      </c>
      <c r="BN255" s="1057">
        <f>IF(SUM($O$29:BN29)&lt;$A$255,0,(BN31*$E$255)-SUM($M$255:BM255))</f>
        <v>0</v>
      </c>
      <c r="BO255" s="1057">
        <f>IF(SUM($O$29:BO29)&lt;$A$255,0,(BO31*$E$255)-SUM($M$255:BN255))</f>
        <v>0</v>
      </c>
      <c r="BP255" s="1057">
        <f>IF(SUM($O$29:BP29)&lt;$A$255,0,(BP31*$E$255)-SUM($M$255:BO255))</f>
        <v>0</v>
      </c>
      <c r="BQ255" s="1057">
        <f>IF(SUM($O$29:BQ29)&lt;$A$255,0,(BQ31*$E$255)-SUM($M$255:BP255))</f>
        <v>0</v>
      </c>
      <c r="BR255" s="1057">
        <f>IF(SUM($O$29:BR29)&lt;$A$255,0,(BR31*$E$255)-SUM($M$255:BQ255))</f>
        <v>0</v>
      </c>
      <c r="BS255" s="1057">
        <f>IF(SUM($O$29:BS29)&lt;$A$255,0,(BS31*$E$255)-SUM($M$255:BR255))</f>
        <v>0</v>
      </c>
      <c r="BT255" s="1057">
        <f>IF(SUM($O$29:BT29)&lt;$A$255,0,(BT31*$E$255)-SUM($M$255:BS255))</f>
        <v>0</v>
      </c>
      <c r="BU255" s="1057">
        <f>IF(SUM($O$29:BU29)&lt;$A$255,0,(BU31*$E$255)-SUM($M$255:BT255))</f>
        <v>0</v>
      </c>
      <c r="BV255" s="1057">
        <f>IF(SUM($O$29:BV29)&lt;$A$255,0,(BV31*$E$255)-SUM($M$255:BU255))</f>
        <v>0</v>
      </c>
      <c r="BW255" s="1057">
        <f>IF(SUM($O$29:BW29)&lt;$A$255,0,(BW31*$E$255)-SUM($M$255:BV255))</f>
        <v>0</v>
      </c>
      <c r="BX255" s="1057">
        <f>IF(SUM($O$29:BX29)&lt;$A$255,0,(BX31*$E$255)-SUM($M$255:BW255))</f>
        <v>0</v>
      </c>
      <c r="BY255" s="1067">
        <f t="shared" si="289"/>
        <v>1</v>
      </c>
      <c r="BZ255" s="1068">
        <f t="shared" si="311"/>
        <v>0</v>
      </c>
      <c r="CA255" s="1069" t="b">
        <f t="shared" si="312"/>
        <v>1</v>
      </c>
      <c r="CB255" s="1084"/>
    </row>
    <row r="256" spans="1:80" s="1082" customFormat="1">
      <c r="A256" s="398">
        <v>3</v>
      </c>
      <c r="B256" s="1067">
        <v>2</v>
      </c>
      <c r="C256" s="1898"/>
      <c r="D256" s="1060">
        <f>IF(B256&lt;Equity!$D$33+1,Equity!$I$12/Equity!$D$33,0)</f>
        <v>0.1</v>
      </c>
      <c r="E256" s="1061">
        <f>분양개요!$O$13*D256</f>
        <v>0</v>
      </c>
      <c r="F256" s="1062" t="b">
        <f t="shared" si="308"/>
        <v>1</v>
      </c>
      <c r="G256" s="1056"/>
      <c r="H256" s="1057"/>
      <c r="I256" s="1057"/>
      <c r="J256" s="1057"/>
      <c r="K256" s="1057">
        <f>IF(SUM(K$29:$O29)&lt;$A$256,0,(K31*$E$256)-SUM(J$256:$M256))</f>
        <v>0</v>
      </c>
      <c r="L256" s="1057">
        <f>IF(SUM(L$29:$O29)&lt;$A$256,0,(L31*$E$256)-SUM(K$256:$M256))</f>
        <v>0</v>
      </c>
      <c r="M256" s="1057">
        <f>IF(SUM(M$29:$O29)&lt;$A$256,0,(M31*$E$256)-SUM(L$256:$M256))</f>
        <v>0</v>
      </c>
      <c r="N256" s="1057">
        <f>IF(SUM(N$29:$O29)&lt;$A$256,0,(N31*$E$256)-SUM($M$256:M256))</f>
        <v>0</v>
      </c>
      <c r="O256" s="1057">
        <f>IF(SUM($O$29:O29)&lt;$A$256,0,(O31*$E$256)-SUM($M$256:N256))</f>
        <v>0</v>
      </c>
      <c r="P256" s="1057">
        <f>IF(SUM($O$29:P29)&lt;$A$256,0,(P31*$E$256)-SUM($M$256:O256))</f>
        <v>0</v>
      </c>
      <c r="Q256" s="1057">
        <f>IF(SUM($O$29:Q29)&lt;$A$256,0,(Q31*$E$256)-SUM($M$256:P256))</f>
        <v>0</v>
      </c>
      <c r="R256" s="1057">
        <f>IF(SUM($O$29:R29)&lt;$A$256,0,(R31*$E$256)-SUM($M$256:Q256))</f>
        <v>0</v>
      </c>
      <c r="S256" s="1057">
        <f>IF(SUM($O$29:S29)&lt;$A$256,0,(S31*$E$256)-SUM($M$256:R256))</f>
        <v>0</v>
      </c>
      <c r="T256" s="1057">
        <f>IF(SUM($O$29:T29)&lt;$A$256,0,(T31*$E$256)-SUM($M$256:S256))</f>
        <v>0</v>
      </c>
      <c r="U256" s="1057">
        <f>IF(SUM($O$29:U29)&lt;$A$256,0,(U31*$E$256)-SUM($M$256:T256))</f>
        <v>0</v>
      </c>
      <c r="V256" s="1057">
        <f>IF(SUM($O$29:V29)&lt;$A$256,0,(V31*$E$256)-SUM($M$256:U256))</f>
        <v>0</v>
      </c>
      <c r="W256" s="1057">
        <f>IF(SUM($O$29:W29)&lt;$A$256,0,(W31*$E$256)-SUM($M$256:V256))</f>
        <v>0</v>
      </c>
      <c r="X256" s="1057">
        <f>IF(SUM($O$29:X29)&lt;$A$256,0,(X31*$E$256)-SUM($M$256:W256))</f>
        <v>0</v>
      </c>
      <c r="Y256" s="1057">
        <f>IF(SUM($O$29:Y29)&lt;$A$256,0,(Y31*$E$256)-SUM($M$256:X256))</f>
        <v>0</v>
      </c>
      <c r="Z256" s="1057">
        <f>IF(SUM($O$29:Z29)&lt;$A$256,0,(Z31*$E$256)-SUM($M$256:Y256))</f>
        <v>0</v>
      </c>
      <c r="AA256" s="1057">
        <f>IF(SUM($O$29:AA29)&lt;$A$256,0,(AA31*$E$256)-SUM($M$256:Z256))</f>
        <v>0</v>
      </c>
      <c r="AB256" s="1057">
        <f>IF(SUM($O$29:AB29)&lt;$A$256,0,(AB31*$E$256)-SUM($M$256:AA256))</f>
        <v>0</v>
      </c>
      <c r="AC256" s="1057">
        <f>IF(SUM($O$29:AC29)&lt;$A$256,0,(AC31*$E$256)-SUM($M$256:AB256))</f>
        <v>0</v>
      </c>
      <c r="AD256" s="1057">
        <f>IF(SUM($O$29:AD29)&lt;$A$256,0,(AD31*$E$256)-SUM($M$256:AC256))</f>
        <v>0</v>
      </c>
      <c r="AE256" s="1057">
        <f>IF(SUM($O$29:AE29)&lt;$A$256,0,(AE31*$E$256)-SUM($M$256:AD256))</f>
        <v>0</v>
      </c>
      <c r="AF256" s="1057">
        <f>IF(SUM($O$29:AF29)&lt;$A$256,0,(AF31*$E$256)-SUM($M$256:AE256))</f>
        <v>0</v>
      </c>
      <c r="AG256" s="1057">
        <f>IF(SUM($O$29:AG29)&lt;$A$256,0,(AG31*$E$256)-SUM($M$256:AF256))</f>
        <v>0</v>
      </c>
      <c r="AH256" s="1057">
        <f>IF(SUM($O$29:AH29)&lt;$A$256,0,(AH31*$E$256)-SUM($M$256:AG256))</f>
        <v>0</v>
      </c>
      <c r="AI256" s="1057">
        <f>IF(SUM($O$29:AI29)&lt;$A$256,0,(AI31*$E$256)-SUM($M$256:AH256))</f>
        <v>0</v>
      </c>
      <c r="AJ256" s="1057">
        <f>IF(SUM($O$29:AJ29)&lt;$A$256,0,(AJ31*$E$256)-SUM($M$256:AI256))</f>
        <v>0</v>
      </c>
      <c r="AK256" s="1057">
        <f>IF(SUM($O$29:AK29)&lt;$A$256,0,(AK31*$E$256)-SUM($M$256:AJ256))</f>
        <v>0</v>
      </c>
      <c r="AL256" s="1057">
        <f>IF(SUM($O$29:AL29)&lt;$A$256,0,(AL31*$E$256)-SUM($M$256:AK256))</f>
        <v>0</v>
      </c>
      <c r="AM256" s="1057">
        <f>IF(SUM($O$29:AM29)&lt;$A$256,0,(AM31*$E$256)-SUM($M$256:AL256))</f>
        <v>0</v>
      </c>
      <c r="AN256" s="1057">
        <f>IF(SUM($O$29:AN29)&lt;$A$256,0,(AN31*$E$256)-SUM($M$256:AM256))</f>
        <v>0</v>
      </c>
      <c r="AO256" s="1057">
        <f>IF(SUM($O$29:AO29)&lt;$A$256,0,(AO31*$E$256)-SUM($M$256:AN256))</f>
        <v>0</v>
      </c>
      <c r="AP256" s="1057">
        <f>IF(SUM($O$29:AP29)&lt;$A$256,0,(AP31*$E$256)-SUM($M$256:AO256))</f>
        <v>0</v>
      </c>
      <c r="AQ256" s="1057">
        <f>IF(SUM($O$29:AQ29)&lt;$A$256,0,(AQ31*$E$256)-SUM($M$256:AP256))</f>
        <v>0</v>
      </c>
      <c r="AR256" s="1057">
        <f>IF(SUM($O$29:AR29)&lt;$A$256,0,(AR31*$E$256)-SUM($M$256:AQ256))</f>
        <v>0</v>
      </c>
      <c r="AS256" s="1057">
        <f>IF(SUM($O$29:AS29)&lt;$A$256,0,(AS31*$E$256)-SUM($M$256:AR256))</f>
        <v>0</v>
      </c>
      <c r="AT256" s="1057">
        <f>IF(SUM($O$29:AT29)&lt;$A$256,0,(AT31*$E$256)-SUM($M$256:AS256))</f>
        <v>0</v>
      </c>
      <c r="AU256" s="1057">
        <f>IF(SUM($O$29:AU29)&lt;$A$256,0,(AU31*$E$256)-SUM($M$256:AT256))</f>
        <v>0</v>
      </c>
      <c r="AV256" s="1057">
        <f>IF(SUM($O$29:AV29)&lt;$A$256,0,(AV31*$E$256)-SUM($M$256:AU256))</f>
        <v>0</v>
      </c>
      <c r="AW256" s="1057">
        <f>IF(SUM($O$29:AW29)&lt;$A$256,0,(AW31*$E$256)-SUM($M$256:AV256))</f>
        <v>0</v>
      </c>
      <c r="AX256" s="1057">
        <f>IF(SUM($O$29:AX29)&lt;$A$256,0,(AX31*$E$256)-SUM($M$256:AW256))</f>
        <v>0</v>
      </c>
      <c r="AY256" s="1057">
        <f>IF(SUM($O$29:AY29)&lt;$A$256,0,(AY31*$E$256)-SUM($M$256:AX256))</f>
        <v>0</v>
      </c>
      <c r="AZ256" s="1057">
        <f>IF(SUM($O$29:AZ29)&lt;$A$256,0,(AZ31*$E$256)-SUM($M$256:AY256))</f>
        <v>0</v>
      </c>
      <c r="BA256" s="1057">
        <f>IF(SUM($O$29:BA29)&lt;$A$256,0,(BA31*$E$256)-SUM($M$256:AZ256))</f>
        <v>0</v>
      </c>
      <c r="BB256" s="1057">
        <f>IF(SUM($O$29:BB29)&lt;$A$256,0,(BB31*$E$256)-SUM($M$256:BA256))</f>
        <v>0</v>
      </c>
      <c r="BC256" s="1057">
        <f>IF(SUM($O$29:BC29)&lt;$A$256,0,(BC31*$E$256)-SUM($M$256:BB256))</f>
        <v>0</v>
      </c>
      <c r="BD256" s="1057">
        <f>IF(SUM($O$29:BD29)&lt;$A$256,0,(BD31*$E$256)-SUM($M$256:BC256))</f>
        <v>0</v>
      </c>
      <c r="BE256" s="1057">
        <f>IF(SUM($O$29:BE29)&lt;$A$256,0,(BE31*$E$256)-SUM($M$256:BD256))</f>
        <v>0</v>
      </c>
      <c r="BF256" s="1057">
        <f>IF(SUM($O$29:BF29)&lt;$A$256,0,(BF31*$E$256)-SUM($M$256:BE256))</f>
        <v>0</v>
      </c>
      <c r="BG256" s="1057">
        <f>IF(SUM($O$29:BG29)&lt;$A$256,0,(BG31*$E$256)-SUM($M$256:BF256))</f>
        <v>0</v>
      </c>
      <c r="BH256" s="1057">
        <f>IF(SUM($O$29:BH29)&lt;$A$256,0,(BH31*$E$256)-SUM($M$256:BG256))</f>
        <v>0</v>
      </c>
      <c r="BI256" s="1057">
        <f>IF(SUM($O$29:BI29)&lt;$A$256,0,(BI31*$E$256)-SUM($M$256:BH256))</f>
        <v>0</v>
      </c>
      <c r="BJ256" s="1057">
        <f>IF(SUM($O$29:BJ29)&lt;$A$256,0,(BJ31*$E$256)-SUM($M$256:BI256))</f>
        <v>0</v>
      </c>
      <c r="BK256" s="1057">
        <f>IF(SUM($O$29:BK29)&lt;$A$256,0,(BK31*$E$256)-SUM($M$256:BJ256))</f>
        <v>0</v>
      </c>
      <c r="BL256" s="1057">
        <f>IF(SUM($O$29:BL29)&lt;$A$256,0,(BL31*$E$256)-SUM($M$256:BK256))</f>
        <v>0</v>
      </c>
      <c r="BM256" s="1057">
        <f>IF(SUM($O$29:BM29)&lt;$A$256,0,(BM31*$E$256)-SUM($M$256:BL256))</f>
        <v>0</v>
      </c>
      <c r="BN256" s="1057">
        <f>IF(SUM($O$29:BN29)&lt;$A$256,0,(BN31*$E$256)-SUM($M$256:BM256))</f>
        <v>0</v>
      </c>
      <c r="BO256" s="1057">
        <f>IF(SUM($O$29:BO29)&lt;$A$256,0,(BO31*$E$256)-SUM($M$256:BN256))</f>
        <v>0</v>
      </c>
      <c r="BP256" s="1057">
        <f>IF(SUM($O$29:BP29)&lt;$A$256,0,(BP31*$E$256)-SUM($M$256:BO256))</f>
        <v>0</v>
      </c>
      <c r="BQ256" s="1057">
        <f>IF(SUM($O$29:BQ29)&lt;$A$256,0,(BQ31*$E$256)-SUM($M$256:BP256))</f>
        <v>0</v>
      </c>
      <c r="BR256" s="1057">
        <f>IF(SUM($O$29:BR29)&lt;$A$256,0,(BR31*$E$256)-SUM($M$256:BQ256))</f>
        <v>0</v>
      </c>
      <c r="BS256" s="1057">
        <f>IF(SUM($O$29:BS29)&lt;$A$256,0,(BS31*$E$256)-SUM($M$256:BR256))</f>
        <v>0</v>
      </c>
      <c r="BT256" s="1057">
        <f>IF(SUM($O$29:BT29)&lt;$A$256,0,(BT31*$E$256)-SUM($M$256:BS256))</f>
        <v>0</v>
      </c>
      <c r="BU256" s="1057">
        <f>IF(SUM($O$29:BU29)&lt;$A$256,0,(BU31*$E$256)-SUM($M$256:BT256))</f>
        <v>0</v>
      </c>
      <c r="BV256" s="1057">
        <f>IF(SUM($O$29:BV29)&lt;$A$256,0,(BV31*$E$256)-SUM($M$256:BU256))</f>
        <v>0</v>
      </c>
      <c r="BW256" s="1057">
        <f>IF(SUM($O$29:BW29)&lt;$A$256,0,(BW31*$E$256)-SUM($M$256:BV256))</f>
        <v>0</v>
      </c>
      <c r="BX256" s="1057">
        <f>IF(SUM($O$29:BX29)&lt;$A$256,0,(BX31*$E$256)-SUM($M$256:BW256))</f>
        <v>0</v>
      </c>
      <c r="BY256" s="1067">
        <f t="shared" si="289"/>
        <v>2</v>
      </c>
      <c r="BZ256" s="1068">
        <f t="shared" si="311"/>
        <v>0</v>
      </c>
      <c r="CA256" s="1069" t="b">
        <f t="shared" si="312"/>
        <v>1</v>
      </c>
      <c r="CB256" s="1084"/>
    </row>
    <row r="257" spans="1:80" s="1082" customFormat="1">
      <c r="A257" s="398">
        <v>6</v>
      </c>
      <c r="B257" s="1067">
        <v>3</v>
      </c>
      <c r="C257" s="1898"/>
      <c r="D257" s="1060">
        <f>IF(B257&lt;Equity!$D$33+1,Equity!$I$12/Equity!$D$33,0)</f>
        <v>0.1</v>
      </c>
      <c r="E257" s="1061">
        <f>분양개요!$O$13*D257</f>
        <v>0</v>
      </c>
      <c r="F257" s="1062" t="b">
        <f t="shared" si="308"/>
        <v>1</v>
      </c>
      <c r="G257" s="1056"/>
      <c r="H257" s="1057"/>
      <c r="I257" s="1057"/>
      <c r="J257" s="1057"/>
      <c r="K257" s="1057">
        <f>IF(SUM(K$29:$O29)&lt;$A$257,0,(K31*$E$257)-SUM(J$257:$M257))</f>
        <v>0</v>
      </c>
      <c r="L257" s="1057">
        <f>IF(SUM(L$29:$O29)&lt;$A$257,0,(L31*$E$257)-SUM(K$257:$M257))</f>
        <v>0</v>
      </c>
      <c r="M257" s="1057">
        <f>IF(SUM(M$29:$O29)&lt;$A$257,0,(M31*$E$257)-SUM(L$257:$M257))</f>
        <v>0</v>
      </c>
      <c r="N257" s="1057">
        <f>IF(SUM(N$29:$O29)&lt;$A$257,0,(N31*$E$257)-SUM($M$257:M257))</f>
        <v>0</v>
      </c>
      <c r="O257" s="1057">
        <f>IF(SUM($O$29:O29)&lt;$A$257,0,(O31*$E$257)-SUM($M$257:N257))</f>
        <v>0</v>
      </c>
      <c r="P257" s="1057">
        <f>IF(SUM($O$29:P29)&lt;$A$257,0,(P31*$E$257)-SUM($M$257:O257))</f>
        <v>0</v>
      </c>
      <c r="Q257" s="1057">
        <f>IF(SUM($O$29:Q29)&lt;$A$257,0,(Q31*$E$257)-SUM($M$257:P257))</f>
        <v>0</v>
      </c>
      <c r="R257" s="1057">
        <f>IF(SUM($O$29:R29)&lt;$A$257,0,(R31*$E$257)-SUM($M$257:Q257))</f>
        <v>0</v>
      </c>
      <c r="S257" s="1057">
        <f>IF(SUM($O$29:S29)&lt;$A$257,0,(S31*$E$257)-SUM($M$257:R257))</f>
        <v>0</v>
      </c>
      <c r="T257" s="1057">
        <f>IF(SUM($O$29:T29)&lt;$A$257,0,(T31*$E$257)-SUM($M$257:S257))</f>
        <v>0</v>
      </c>
      <c r="U257" s="1057">
        <f>IF(SUM($O$29:U29)&lt;$A$257,0,(U31*$E$257)-SUM($M$257:T257))</f>
        <v>0</v>
      </c>
      <c r="V257" s="1057">
        <f>IF(SUM($O$29:V29)&lt;$A$257,0,(V31*$E$257)-SUM($M$257:U257))</f>
        <v>0</v>
      </c>
      <c r="W257" s="1057">
        <f>IF(SUM($O$29:W29)&lt;$A$257,0,(W31*$E$257)-SUM($M$257:V257))</f>
        <v>0</v>
      </c>
      <c r="X257" s="1057">
        <f>IF(SUM($O$29:X29)&lt;$A$257,0,(X31*$E$257)-SUM($M$257:W257))</f>
        <v>0</v>
      </c>
      <c r="Y257" s="1057">
        <f>IF(SUM($O$29:Y29)&lt;$A$257,0,(Y31*$E$257)-SUM($M$257:X257))</f>
        <v>0</v>
      </c>
      <c r="Z257" s="1057">
        <f>IF(SUM($O$29:Z29)&lt;$A$257,0,(Z31*$E$257)-SUM($M$257:Y257))</f>
        <v>0</v>
      </c>
      <c r="AA257" s="1057">
        <f>IF(SUM($O$29:AA29)&lt;$A$257,0,(AA31*$E$257)-SUM($M$257:Z257))</f>
        <v>0</v>
      </c>
      <c r="AB257" s="1057">
        <f>IF(SUM($O$29:AB29)&lt;$A$257,0,(AB31*$E$257)-SUM($M$257:AA257))</f>
        <v>0</v>
      </c>
      <c r="AC257" s="1057">
        <f>IF(SUM($O$29:AC29)&lt;$A$257,0,(AC31*$E$257)-SUM($M$257:AB257))</f>
        <v>0</v>
      </c>
      <c r="AD257" s="1057">
        <f>IF(SUM($O$29:AD29)&lt;$A$257,0,(AD31*$E$257)-SUM($M$257:AC257))</f>
        <v>0</v>
      </c>
      <c r="AE257" s="1057">
        <f>IF(SUM($O$29:AE29)&lt;$A$257,0,(AE31*$E$257)-SUM($M$257:AD257))</f>
        <v>0</v>
      </c>
      <c r="AF257" s="1057">
        <f>IF(SUM($O$29:AF29)&lt;$A$257,0,(AF31*$E$257)-SUM($M$257:AE257))</f>
        <v>0</v>
      </c>
      <c r="AG257" s="1057">
        <f>IF(SUM($O$29:AG29)&lt;$A$257,0,(AG31*$E$257)-SUM($M$257:AF257))</f>
        <v>0</v>
      </c>
      <c r="AH257" s="1057">
        <f>IF(SUM($O$29:AH29)&lt;$A$257,0,(AH31*$E$257)-SUM($M$257:AG257))</f>
        <v>0</v>
      </c>
      <c r="AI257" s="1057">
        <f>IF(SUM($O$29:AI29)&lt;$A$257,0,(AI31*$E$257)-SUM($M$257:AH257))</f>
        <v>0</v>
      </c>
      <c r="AJ257" s="1057">
        <f>IF(SUM($O$29:AJ29)&lt;$A$257,0,(AJ31*$E$257)-SUM($M$257:AI257))</f>
        <v>0</v>
      </c>
      <c r="AK257" s="1057">
        <f>IF(SUM($O$29:AK29)&lt;$A$257,0,(AK31*$E$257)-SUM($M$257:AJ257))</f>
        <v>0</v>
      </c>
      <c r="AL257" s="1057">
        <f>IF(SUM($O$29:AL29)&lt;$A$257,0,(AL31*$E$257)-SUM($M$257:AK257))</f>
        <v>0</v>
      </c>
      <c r="AM257" s="1057">
        <f>IF(SUM($O$29:AM29)&lt;$A$257,0,(AM31*$E$257)-SUM($M$257:AL257))</f>
        <v>0</v>
      </c>
      <c r="AN257" s="1057">
        <f>IF(SUM($O$29:AN29)&lt;$A$257,0,(AN31*$E$257)-SUM($M$257:AM257))</f>
        <v>0</v>
      </c>
      <c r="AO257" s="1057">
        <f>IF(SUM($O$29:AO29)&lt;$A$257,0,(AO31*$E$257)-SUM($M$257:AN257))</f>
        <v>0</v>
      </c>
      <c r="AP257" s="1057">
        <f>IF(SUM($O$29:AP29)&lt;$A$257,0,(AP31*$E$257)-SUM($M$257:AO257))</f>
        <v>0</v>
      </c>
      <c r="AQ257" s="1057">
        <f>IF(SUM($O$29:AQ29)&lt;$A$257,0,(AQ31*$E$257)-SUM($M$257:AP257))</f>
        <v>0</v>
      </c>
      <c r="AR257" s="1057">
        <f>IF(SUM($O$29:AR29)&lt;$A$257,0,(AR31*$E$257)-SUM($M$257:AQ257))</f>
        <v>0</v>
      </c>
      <c r="AS257" s="1057">
        <f>IF(SUM($O$29:AS29)&lt;$A$257,0,(AS31*$E$257)-SUM($M$257:AR257))</f>
        <v>0</v>
      </c>
      <c r="AT257" s="1057">
        <f>IF(SUM($O$29:AT29)&lt;$A$257,0,(AT31*$E$257)-SUM($M$257:AS257))</f>
        <v>0</v>
      </c>
      <c r="AU257" s="1057">
        <f>IF(SUM($O$29:AU29)&lt;$A$257,0,(AU31*$E$257)-SUM($M$257:AT257))</f>
        <v>0</v>
      </c>
      <c r="AV257" s="1057">
        <f>IF(SUM($O$29:AV29)&lt;$A$257,0,(AV31*$E$257)-SUM($M$257:AU257))</f>
        <v>0</v>
      </c>
      <c r="AW257" s="1057">
        <f>IF(SUM($O$29:AW29)&lt;$A$257,0,(AW31*$E$257)-SUM($M$257:AV257))</f>
        <v>0</v>
      </c>
      <c r="AX257" s="1057">
        <f>IF(SUM($O$29:AX29)&lt;$A$257,0,(AX31*$E$257)-SUM($M$257:AW257))</f>
        <v>0</v>
      </c>
      <c r="AY257" s="1057">
        <f>IF(SUM($O$29:AY29)&lt;$A$257,0,(AY31*$E$257)-SUM($M$257:AX257))</f>
        <v>0</v>
      </c>
      <c r="AZ257" s="1057">
        <f>IF(SUM($O$29:AZ29)&lt;$A$257,0,(AZ31*$E$257)-SUM($M$257:AY257))</f>
        <v>0</v>
      </c>
      <c r="BA257" s="1057">
        <f>IF(SUM($O$29:BA29)&lt;$A$257,0,(BA31*$E$257)-SUM($M$257:AZ257))</f>
        <v>0</v>
      </c>
      <c r="BB257" s="1057">
        <f>IF(SUM($O$29:BB29)&lt;$A$257,0,(BB31*$E$257)-SUM($M$257:BA257))</f>
        <v>0</v>
      </c>
      <c r="BC257" s="1057">
        <f>IF(SUM($O$29:BC29)&lt;$A$257,0,(BC31*$E$257)-SUM($M$257:BB257))</f>
        <v>0</v>
      </c>
      <c r="BD257" s="1057">
        <f>IF(SUM($O$29:BD29)&lt;$A$257,0,(BD31*$E$257)-SUM($M$257:BC257))</f>
        <v>0</v>
      </c>
      <c r="BE257" s="1057">
        <f>IF(SUM($O$29:BE29)&lt;$A$257,0,(BE31*$E$257)-SUM($M$257:BD257))</f>
        <v>0</v>
      </c>
      <c r="BF257" s="1057">
        <f>IF(SUM($O$29:BF29)&lt;$A$257,0,(BF31*$E$257)-SUM($M$257:BE257))</f>
        <v>0</v>
      </c>
      <c r="BG257" s="1057">
        <f>IF(SUM($O$29:BG29)&lt;$A$257,0,(BG31*$E$257)-SUM($M$257:BF257))</f>
        <v>0</v>
      </c>
      <c r="BH257" s="1057">
        <f>IF(SUM($O$29:BH29)&lt;$A$257,0,(BH31*$E$257)-SUM($M$257:BG257))</f>
        <v>0</v>
      </c>
      <c r="BI257" s="1057">
        <f>IF(SUM($O$29:BI29)&lt;$A$257,0,(BI31*$E$257)-SUM($M$257:BH257))</f>
        <v>0</v>
      </c>
      <c r="BJ257" s="1057">
        <f>IF(SUM($O$29:BJ29)&lt;$A$257,0,(BJ31*$E$257)-SUM($M$257:BI257))</f>
        <v>0</v>
      </c>
      <c r="BK257" s="1057">
        <f>IF(SUM($O$29:BK29)&lt;$A$257,0,(BK31*$E$257)-SUM($M$257:BJ257))</f>
        <v>0</v>
      </c>
      <c r="BL257" s="1057">
        <f>IF(SUM($O$29:BL29)&lt;$A$257,0,(BL31*$E$257)-SUM($M$257:BK257))</f>
        <v>0</v>
      </c>
      <c r="BM257" s="1057">
        <f>IF(SUM($O$29:BM29)&lt;$A$257,0,(BM31*$E$257)-SUM($M$257:BL257))</f>
        <v>0</v>
      </c>
      <c r="BN257" s="1057">
        <f>IF(SUM($O$29:BN29)&lt;$A$257,0,(BN31*$E$257)-SUM($M$257:BM257))</f>
        <v>0</v>
      </c>
      <c r="BO257" s="1057">
        <f>IF(SUM($O$29:BO29)&lt;$A$257,0,(BO31*$E$257)-SUM($M$257:BN257))</f>
        <v>0</v>
      </c>
      <c r="BP257" s="1057">
        <f>IF(SUM($O$29:BP29)&lt;$A$257,0,(BP31*$E$257)-SUM($M$257:BO257))</f>
        <v>0</v>
      </c>
      <c r="BQ257" s="1057">
        <f>IF(SUM($O$29:BQ29)&lt;$A$257,0,(BQ31*$E$257)-SUM($M$257:BP257))</f>
        <v>0</v>
      </c>
      <c r="BR257" s="1057">
        <f>IF(SUM($O$29:BR29)&lt;$A$257,0,(BR31*$E$257)-SUM($M$257:BQ257))</f>
        <v>0</v>
      </c>
      <c r="BS257" s="1057">
        <f>IF(SUM($O$29:BS29)&lt;$A$257,0,(BS31*$E$257)-SUM($M$257:BR257))</f>
        <v>0</v>
      </c>
      <c r="BT257" s="1057">
        <f>IF(SUM($O$29:BT29)&lt;$A$257,0,(BT31*$E$257)-SUM($M$257:BS257))</f>
        <v>0</v>
      </c>
      <c r="BU257" s="1057">
        <f>IF(SUM($O$29:BU29)&lt;$A$257,0,(BU31*$E$257)-SUM($M$257:BT257))</f>
        <v>0</v>
      </c>
      <c r="BV257" s="1057">
        <f>IF(SUM($O$29:BV29)&lt;$A$257,0,(BV31*$E$257)-SUM($M$257:BU257))</f>
        <v>0</v>
      </c>
      <c r="BW257" s="1057">
        <f>IF(SUM($O$29:BW29)&lt;$A$257,0,(BW31*$E$257)-SUM($M$257:BV257))</f>
        <v>0</v>
      </c>
      <c r="BX257" s="1057">
        <f>IF(SUM($O$29:BX29)&lt;$A$257,0,(BX31*$E$257)-SUM($M$257:BW257))</f>
        <v>0</v>
      </c>
      <c r="BY257" s="1067">
        <f t="shared" si="289"/>
        <v>3</v>
      </c>
      <c r="BZ257" s="1068">
        <f t="shared" si="311"/>
        <v>0</v>
      </c>
      <c r="CA257" s="1069" t="b">
        <f t="shared" si="312"/>
        <v>1</v>
      </c>
      <c r="CB257" s="1084"/>
    </row>
    <row r="258" spans="1:80" s="1082" customFormat="1">
      <c r="A258" s="398">
        <v>10</v>
      </c>
      <c r="B258" s="1067">
        <v>4</v>
      </c>
      <c r="C258" s="1898"/>
      <c r="D258" s="1060">
        <f>IF(B258&lt;Equity!$D$33+1,Equity!$I$12/Equity!$D$33,0)</f>
        <v>0.1</v>
      </c>
      <c r="E258" s="1061">
        <f>분양개요!$O$13*D258</f>
        <v>0</v>
      </c>
      <c r="F258" s="1062" t="b">
        <f t="shared" si="308"/>
        <v>1</v>
      </c>
      <c r="G258" s="1056"/>
      <c r="H258" s="1057"/>
      <c r="I258" s="1057"/>
      <c r="J258" s="1057"/>
      <c r="K258" s="1057">
        <f>IF(SUM(K$29:$O29)&lt;$A$258,0,(K31*$E$258)-SUM(J$258:$M258))</f>
        <v>0</v>
      </c>
      <c r="L258" s="1057">
        <f>IF(SUM(L$29:$O29)&lt;$A$258,0,(L31*$E$258)-SUM(K$258:$M258))</f>
        <v>0</v>
      </c>
      <c r="M258" s="1057">
        <f>IF(SUM(M$29:$O29)&lt;$A$258,0,(M31*$E$258)-SUM(L$258:$M258))</f>
        <v>0</v>
      </c>
      <c r="N258" s="1057">
        <f>IF(SUM(N$29:$O29)&lt;$A$258,0,(N31*$E$258)-SUM($M$258:M258))</f>
        <v>0</v>
      </c>
      <c r="O258" s="1057">
        <f>IF(SUM($O$29:O29)&lt;$A$258,0,(O31*$E$258)-SUM($M$258:N258))</f>
        <v>0</v>
      </c>
      <c r="P258" s="1057">
        <f>IF(SUM($O$29:P29)&lt;$A$258,0,(P31*$E$258)-SUM($M$258:O258))</f>
        <v>0</v>
      </c>
      <c r="Q258" s="1057">
        <f>IF(SUM($O$29:Q29)&lt;$A$258,0,(Q31*$E$258)-SUM($M$258:P258))</f>
        <v>0</v>
      </c>
      <c r="R258" s="1057">
        <f>IF(SUM($O$29:R29)&lt;$A$258,0,(R31*$E$258)-SUM($M$258:Q258))</f>
        <v>0</v>
      </c>
      <c r="S258" s="1057">
        <f>IF(SUM($O$29:S29)&lt;$A$258,0,(S31*$E$258)-SUM($M$258:R258))</f>
        <v>0</v>
      </c>
      <c r="T258" s="1057">
        <f>IF(SUM($O$29:T29)&lt;$A$258,0,(T31*$E$258)-SUM($M$258:S258))</f>
        <v>0</v>
      </c>
      <c r="U258" s="1057">
        <f>IF(SUM($O$29:U29)&lt;$A$258,0,(U31*$E$258)-SUM($M$258:T258))</f>
        <v>0</v>
      </c>
      <c r="V258" s="1057">
        <f>IF(SUM($O$29:V29)&lt;$A$258,0,(V31*$E$258)-SUM($M$258:U258))</f>
        <v>0</v>
      </c>
      <c r="W258" s="1057">
        <f>IF(SUM($O$29:W29)&lt;$A$258,0,(W31*$E$258)-SUM($M$258:V258))</f>
        <v>0</v>
      </c>
      <c r="X258" s="1057">
        <f>IF(SUM($O$29:X29)&lt;$A$258,0,(X31*$E$258)-SUM($M$258:W258))</f>
        <v>0</v>
      </c>
      <c r="Y258" s="1057">
        <f>IF(SUM($O$29:Y29)&lt;$A$258,0,(Y31*$E$258)-SUM($M$258:X258))</f>
        <v>0</v>
      </c>
      <c r="Z258" s="1057">
        <f>IF(SUM($O$29:Z29)&lt;$A$258,0,(Z31*$E$258)-SUM($M$258:Y258))</f>
        <v>0</v>
      </c>
      <c r="AA258" s="1057">
        <f>IF(SUM($O$29:AA29)&lt;$A$258,0,(AA31*$E$258)-SUM($M$258:Z258))</f>
        <v>0</v>
      </c>
      <c r="AB258" s="1057">
        <f>IF(SUM($O$29:AB29)&lt;$A$258,0,(AB31*$E$258)-SUM($M$258:AA258))</f>
        <v>0</v>
      </c>
      <c r="AC258" s="1057">
        <f>IF(SUM($O$29:AC29)&lt;$A$258,0,(AC31*$E$258)-SUM($M$258:AB258))</f>
        <v>0</v>
      </c>
      <c r="AD258" s="1057">
        <f>IF(SUM($O$29:AD29)&lt;$A$258,0,(AD31*$E$258)-SUM($M$258:AC258))</f>
        <v>0</v>
      </c>
      <c r="AE258" s="1057">
        <f>IF(SUM($O$29:AE29)&lt;$A$258,0,(AE31*$E$258)-SUM($M$258:AD258))</f>
        <v>0</v>
      </c>
      <c r="AF258" s="1057">
        <f>IF(SUM($O$29:AF29)&lt;$A$258,0,(AF31*$E$258)-SUM($M$258:AE258))</f>
        <v>0</v>
      </c>
      <c r="AG258" s="1057">
        <f>IF(SUM($O$29:AG29)&lt;$A$258,0,(AG31*$E$258)-SUM($M$258:AF258))</f>
        <v>0</v>
      </c>
      <c r="AH258" s="1057">
        <f>IF(SUM($O$29:AH29)&lt;$A$258,0,(AH31*$E$258)-SUM($M$258:AG258))</f>
        <v>0</v>
      </c>
      <c r="AI258" s="1057">
        <f>IF(SUM($O$29:AI29)&lt;$A$258,0,(AI31*$E$258)-SUM($M$258:AH258))</f>
        <v>0</v>
      </c>
      <c r="AJ258" s="1057">
        <f>IF(SUM($O$29:AJ29)&lt;$A$258,0,(AJ31*$E$258)-SUM($M$258:AI258))</f>
        <v>0</v>
      </c>
      <c r="AK258" s="1057">
        <f>IF(SUM($O$29:AK29)&lt;$A$258,0,(AK31*$E$258)-SUM($M$258:AJ258))</f>
        <v>0</v>
      </c>
      <c r="AL258" s="1057">
        <f>IF(SUM($O$29:AL29)&lt;$A$258,0,(AL31*$E$258)-SUM($M$258:AK258))</f>
        <v>0</v>
      </c>
      <c r="AM258" s="1057">
        <f>IF(SUM($O$29:AM29)&lt;$A$258,0,(AM31*$E$258)-SUM($M$258:AL258))</f>
        <v>0</v>
      </c>
      <c r="AN258" s="1057">
        <f>IF(SUM($O$29:AN29)&lt;$A$258,0,(AN31*$E$258)-SUM($M$258:AM258))</f>
        <v>0</v>
      </c>
      <c r="AO258" s="1057">
        <f>IF(SUM($O$29:AO29)&lt;$A$258,0,(AO31*$E$258)-SUM($M$258:AN258))</f>
        <v>0</v>
      </c>
      <c r="AP258" s="1057">
        <f>IF(SUM($O$29:AP29)&lt;$A$258,0,(AP31*$E$258)-SUM($M$258:AO258))</f>
        <v>0</v>
      </c>
      <c r="AQ258" s="1057">
        <f>IF(SUM($O$29:AQ29)&lt;$A$258,0,(AQ31*$E$258)-SUM($M$258:AP258))</f>
        <v>0</v>
      </c>
      <c r="AR258" s="1057">
        <f>IF(SUM($O$29:AR29)&lt;$A$258,0,(AR31*$E$258)-SUM($M$258:AQ258))</f>
        <v>0</v>
      </c>
      <c r="AS258" s="1057">
        <f>IF(SUM($O$29:AS29)&lt;$A$258,0,(AS31*$E$258)-SUM($M$258:AR258))</f>
        <v>0</v>
      </c>
      <c r="AT258" s="1057">
        <f>IF(SUM($O$29:AT29)&lt;$A$258,0,(AT31*$E$258)-SUM($M$258:AS258))</f>
        <v>0</v>
      </c>
      <c r="AU258" s="1057">
        <f>IF(SUM($O$29:AU29)&lt;$A$258,0,(AU31*$E$258)-SUM($M$258:AT258))</f>
        <v>0</v>
      </c>
      <c r="AV258" s="1057">
        <f>IF(SUM($O$29:AV29)&lt;$A$258,0,(AV31*$E$258)-SUM($M$258:AU258))</f>
        <v>0</v>
      </c>
      <c r="AW258" s="1057">
        <f>IF(SUM($O$29:AW29)&lt;$A$258,0,(AW31*$E$258)-SUM($M$258:AV258))</f>
        <v>0</v>
      </c>
      <c r="AX258" s="1057">
        <f>IF(SUM($O$29:AX29)&lt;$A$258,0,(AX31*$E$258)-SUM($M$258:AW258))</f>
        <v>0</v>
      </c>
      <c r="AY258" s="1057">
        <f>IF(SUM($O$29:AY29)&lt;$A$258,0,(AY31*$E$258)-SUM($M$258:AX258))</f>
        <v>0</v>
      </c>
      <c r="AZ258" s="1057">
        <f>IF(SUM($O$29:AZ29)&lt;$A$258,0,(AZ31*$E$258)-SUM($M$258:AY258))</f>
        <v>0</v>
      </c>
      <c r="BA258" s="1057">
        <f>IF(SUM($O$29:BA29)&lt;$A$258,0,(BA31*$E$258)-SUM($M$258:AZ258))</f>
        <v>0</v>
      </c>
      <c r="BB258" s="1057">
        <f>IF(SUM($O$29:BB29)&lt;$A$258,0,(BB31*$E$258)-SUM($M$258:BA258))</f>
        <v>0</v>
      </c>
      <c r="BC258" s="1057">
        <f>IF(SUM($O$29:BC29)&lt;$A$258,0,(BC31*$E$258)-SUM($M$258:BB258))</f>
        <v>0</v>
      </c>
      <c r="BD258" s="1057">
        <f>IF(SUM($O$29:BD29)&lt;$A$258,0,(BD31*$E$258)-SUM($M$258:BC258))</f>
        <v>0</v>
      </c>
      <c r="BE258" s="1057">
        <f>IF(SUM($O$29:BE29)&lt;$A$258,0,(BE31*$E$258)-SUM($M$258:BD258))</f>
        <v>0</v>
      </c>
      <c r="BF258" s="1057">
        <f>IF(SUM($O$29:BF29)&lt;$A$258,0,(BF31*$E$258)-SUM($M$258:BE258))</f>
        <v>0</v>
      </c>
      <c r="BG258" s="1057">
        <f>IF(SUM($O$29:BG29)&lt;$A$258,0,(BG31*$E$258)-SUM($M$258:BF258))</f>
        <v>0</v>
      </c>
      <c r="BH258" s="1057">
        <f>IF(SUM($O$29:BH29)&lt;$A$258,0,(BH31*$E$258)-SUM($M$258:BG258))</f>
        <v>0</v>
      </c>
      <c r="BI258" s="1057">
        <f>IF(SUM($O$29:BI29)&lt;$A$258,0,(BI31*$E$258)-SUM($M$258:BH258))</f>
        <v>0</v>
      </c>
      <c r="BJ258" s="1057">
        <f>IF(SUM($O$29:BJ29)&lt;$A$258,0,(BJ31*$E$258)-SUM($M$258:BI258))</f>
        <v>0</v>
      </c>
      <c r="BK258" s="1057">
        <f>IF(SUM($O$29:BK29)&lt;$A$258,0,(BK31*$E$258)-SUM($M$258:BJ258))</f>
        <v>0</v>
      </c>
      <c r="BL258" s="1057">
        <f>IF(SUM($O$29:BL29)&lt;$A$258,0,(BL31*$E$258)-SUM($M$258:BK258))</f>
        <v>0</v>
      </c>
      <c r="BM258" s="1057">
        <f>IF(SUM($O$29:BM29)&lt;$A$258,0,(BM31*$E$258)-SUM($M$258:BL258))</f>
        <v>0</v>
      </c>
      <c r="BN258" s="1057">
        <f>IF(SUM($O$29:BN29)&lt;$A$258,0,(BN31*$E$258)-SUM($M$258:BM258))</f>
        <v>0</v>
      </c>
      <c r="BO258" s="1057">
        <f>IF(SUM($O$29:BO29)&lt;$A$258,0,(BO31*$E$258)-SUM($M$258:BN258))</f>
        <v>0</v>
      </c>
      <c r="BP258" s="1057">
        <f>IF(SUM($O$29:BP29)&lt;$A$258,0,(BP31*$E$258)-SUM($M$258:BO258))</f>
        <v>0</v>
      </c>
      <c r="BQ258" s="1057">
        <f>IF(SUM($O$29:BQ29)&lt;$A$258,0,(BQ31*$E$258)-SUM($M$258:BP258))</f>
        <v>0</v>
      </c>
      <c r="BR258" s="1057">
        <f>IF(SUM($O$29:BR29)&lt;$A$258,0,(BR31*$E$258)-SUM($M$258:BQ258))</f>
        <v>0</v>
      </c>
      <c r="BS258" s="1057">
        <f>IF(SUM($O$29:BS29)&lt;$A$258,0,(BS31*$E$258)-SUM($M$258:BR258))</f>
        <v>0</v>
      </c>
      <c r="BT258" s="1057">
        <f>IF(SUM($O$29:BT29)&lt;$A$258,0,(BT31*$E$258)-SUM($M$258:BS258))</f>
        <v>0</v>
      </c>
      <c r="BU258" s="1057">
        <f>IF(SUM($O$29:BU29)&lt;$A$258,0,(BU31*$E$258)-SUM($M$258:BT258))</f>
        <v>0</v>
      </c>
      <c r="BV258" s="1057">
        <f>IF(SUM($O$29:BV29)&lt;$A$258,0,(BV31*$E$258)-SUM($M$258:BU258))</f>
        <v>0</v>
      </c>
      <c r="BW258" s="1057">
        <f>IF(SUM($O$29:BW29)&lt;$A$258,0,(BW31*$E$258)-SUM($M$258:BV258))</f>
        <v>0</v>
      </c>
      <c r="BX258" s="1057">
        <f>IF(SUM($O$29:BX29)&lt;$A$258,0,(BX31*$E$258)-SUM($M$258:BW258))</f>
        <v>0</v>
      </c>
      <c r="BY258" s="1067">
        <f t="shared" si="289"/>
        <v>4</v>
      </c>
      <c r="BZ258" s="1068">
        <f t="shared" si="311"/>
        <v>0</v>
      </c>
      <c r="CA258" s="1069" t="b">
        <f t="shared" si="312"/>
        <v>1</v>
      </c>
      <c r="CB258" s="1084"/>
    </row>
    <row r="259" spans="1:80" s="1082" customFormat="1">
      <c r="A259" s="398">
        <v>15</v>
      </c>
      <c r="B259" s="1067">
        <v>5</v>
      </c>
      <c r="C259" s="1898"/>
      <c r="D259" s="1060">
        <f>IF(B259&lt;Equity!$D$33+1,Equity!$I$12/Equity!$D$33,0)</f>
        <v>0.1</v>
      </c>
      <c r="E259" s="1061">
        <f>분양개요!$O$13*D259</f>
        <v>0</v>
      </c>
      <c r="F259" s="1062" t="b">
        <f t="shared" si="308"/>
        <v>1</v>
      </c>
      <c r="G259" s="1056"/>
      <c r="H259" s="1057"/>
      <c r="I259" s="1057"/>
      <c r="J259" s="1057"/>
      <c r="K259" s="1057">
        <f>IF(SUM(K$29:$O29)&lt;$A$259,0,(K31*$E$259)-SUM(J$259:$M259))</f>
        <v>0</v>
      </c>
      <c r="L259" s="1057">
        <f>IF(SUM(L$29:$O29)&lt;$A$259,0,(L31*$E$259)-SUM(K$259:$M259))</f>
        <v>0</v>
      </c>
      <c r="M259" s="1057">
        <f>IF(SUM(M$29:$O29)&lt;$A$259,0,(M31*$E$259)-SUM(L$259:$M259))</f>
        <v>0</v>
      </c>
      <c r="N259" s="1057">
        <f>IF(SUM(N$29:$O29)&lt;$A$259,0,(N31*$E$259)-SUM($M$259:M259))</f>
        <v>0</v>
      </c>
      <c r="O259" s="1057">
        <f>IF(SUM($O$29:O29)&lt;$A$259,0,(O31*$E$259)-SUM($M$259:N259))</f>
        <v>0</v>
      </c>
      <c r="P259" s="1057">
        <f>IF(SUM($O$29:P29)&lt;$A$259,0,(P31*$E$259)-SUM($M$259:O259))</f>
        <v>0</v>
      </c>
      <c r="Q259" s="1057">
        <f>IF(SUM($O$29:Q29)&lt;$A$259,0,(Q31*$E$259)-SUM($M$259:P259))</f>
        <v>0</v>
      </c>
      <c r="R259" s="1057">
        <f>IF(SUM($O$29:R29)&lt;$A$259,0,(R31*$E$259)-SUM($M$259:Q259))</f>
        <v>0</v>
      </c>
      <c r="S259" s="1057">
        <f>IF(SUM($O$29:S29)&lt;$A$259,0,(S31*$E$259)-SUM($M$259:R259))</f>
        <v>0</v>
      </c>
      <c r="T259" s="1057">
        <f>IF(SUM($O$29:T29)&lt;$A$259,0,(T31*$E$259)-SUM($M$259:S259))</f>
        <v>0</v>
      </c>
      <c r="U259" s="1057">
        <f>IF(SUM($O$29:U29)&lt;$A$259,0,(U31*$E$259)-SUM($M$259:T259))</f>
        <v>0</v>
      </c>
      <c r="V259" s="1057">
        <f>IF(SUM($O$29:V29)&lt;$A$259,0,(V31*$E$259)-SUM($M$259:U259))</f>
        <v>0</v>
      </c>
      <c r="W259" s="1057">
        <f>IF(SUM($O$29:W29)&lt;$A$259,0,(W31*$E$259)-SUM($M$259:V259))</f>
        <v>0</v>
      </c>
      <c r="X259" s="1057">
        <f>IF(SUM($O$29:X29)&lt;$A$259,0,(X31*$E$259)-SUM($M$259:W259))</f>
        <v>0</v>
      </c>
      <c r="Y259" s="1057">
        <f>IF(SUM($O$29:Y29)&lt;$A$259,0,(Y31*$E$259)-SUM($M$259:X259))</f>
        <v>0</v>
      </c>
      <c r="Z259" s="1057">
        <f>IF(SUM($O$29:Z29)&lt;$A$259,0,(Z31*$E$259)-SUM($M$259:Y259))</f>
        <v>0</v>
      </c>
      <c r="AA259" s="1057">
        <f>IF(SUM($O$29:AA29)&lt;$A$259,0,(AA31*$E$259)-SUM($M$259:Z259))</f>
        <v>0</v>
      </c>
      <c r="AB259" s="1057">
        <f>IF(SUM($O$29:AB29)&lt;$A$259,0,(AB31*$E$259)-SUM($M$259:AA259))</f>
        <v>0</v>
      </c>
      <c r="AC259" s="1057">
        <f>IF(SUM($O$29:AC29)&lt;$A$259,0,(AC31*$E$259)-SUM($M$259:AB259))</f>
        <v>0</v>
      </c>
      <c r="AD259" s="1057">
        <f>IF(SUM($O$29:AD29)&lt;$A$259,0,(AD31*$E$259)-SUM($M$259:AC259))</f>
        <v>0</v>
      </c>
      <c r="AE259" s="1057">
        <f>IF(SUM($O$29:AE29)&lt;$A$259,0,(AE31*$E$259)-SUM($M$259:AD259))</f>
        <v>0</v>
      </c>
      <c r="AF259" s="1057">
        <f>IF(SUM($O$29:AF29)&lt;$A$259,0,(AF31*$E$259)-SUM($M$259:AE259))</f>
        <v>0</v>
      </c>
      <c r="AG259" s="1057">
        <f>IF(SUM($O$29:AG29)&lt;$A$259,0,(AG31*$E$259)-SUM($M$259:AF259))</f>
        <v>0</v>
      </c>
      <c r="AH259" s="1057">
        <f>IF(SUM($O$29:AH29)&lt;$A$259,0,(AH31*$E$259)-SUM($M$259:AG259))</f>
        <v>0</v>
      </c>
      <c r="AI259" s="1057">
        <f>IF(SUM($O$29:AI29)&lt;$A$259,0,(AI31*$E$259)-SUM($M$259:AH259))</f>
        <v>0</v>
      </c>
      <c r="AJ259" s="1057">
        <f>IF(SUM($O$29:AJ29)&lt;$A$259,0,(AJ31*$E$259)-SUM($M$259:AI259))</f>
        <v>0</v>
      </c>
      <c r="AK259" s="1057">
        <f>IF(SUM($O$29:AK29)&lt;$A$259,0,(AK31*$E$259)-SUM($M$259:AJ259))</f>
        <v>0</v>
      </c>
      <c r="AL259" s="1057">
        <f>IF(SUM($O$29:AL29)&lt;$A$259,0,(AL31*$E$259)-SUM($M$259:AK259))</f>
        <v>0</v>
      </c>
      <c r="AM259" s="1057">
        <f>IF(SUM($O$29:AM29)&lt;$A$259,0,(AM31*$E$259)-SUM($M$259:AL259))</f>
        <v>0</v>
      </c>
      <c r="AN259" s="1057">
        <f>IF(SUM($O$29:AN29)&lt;$A$259,0,(AN31*$E$259)-SUM($M$259:AM259))</f>
        <v>0</v>
      </c>
      <c r="AO259" s="1057">
        <f>IF(SUM($O$29:AO29)&lt;$A$259,0,(AO31*$E$259)-SUM($M$259:AN259))</f>
        <v>0</v>
      </c>
      <c r="AP259" s="1057">
        <f>IF(SUM($O$29:AP29)&lt;$A$259,0,(AP31*$E$259)-SUM($M$259:AO259))</f>
        <v>0</v>
      </c>
      <c r="AQ259" s="1057">
        <f>IF(SUM($O$29:AQ29)&lt;$A$259,0,(AQ31*$E$259)-SUM($M$259:AP259))</f>
        <v>0</v>
      </c>
      <c r="AR259" s="1057">
        <f>IF(SUM($O$29:AR29)&lt;$A$259,0,(AR31*$E$259)-SUM($M$259:AQ259))</f>
        <v>0</v>
      </c>
      <c r="AS259" s="1057">
        <f>IF(SUM($O$29:AS29)&lt;$A$259,0,(AS31*$E$259)-SUM($M$259:AR259))</f>
        <v>0</v>
      </c>
      <c r="AT259" s="1057">
        <f>IF(SUM($O$29:AT29)&lt;$A$259,0,(AT31*$E$259)-SUM($M$259:AS259))</f>
        <v>0</v>
      </c>
      <c r="AU259" s="1057">
        <f>IF(SUM($O$29:AU29)&lt;$A$259,0,(AU31*$E$259)-SUM($M$259:AT259))</f>
        <v>0</v>
      </c>
      <c r="AV259" s="1057">
        <f>IF(SUM($O$29:AV29)&lt;$A$259,0,(AV31*$E$259)-SUM($M$259:AU259))</f>
        <v>0</v>
      </c>
      <c r="AW259" s="1057">
        <f>IF(SUM($O$29:AW29)&lt;$A$259,0,(AW31*$E$259)-SUM($M$259:AV259))</f>
        <v>0</v>
      </c>
      <c r="AX259" s="1057">
        <f>IF(SUM($O$29:AX29)&lt;$A$259,0,(AX31*$E$259)-SUM($M$259:AW259))</f>
        <v>0</v>
      </c>
      <c r="AY259" s="1057">
        <f>IF(SUM($O$29:AY29)&lt;$A$259,0,(AY31*$E$259)-SUM($M$259:AX259))</f>
        <v>0</v>
      </c>
      <c r="AZ259" s="1057">
        <f>IF(SUM($O$29:AZ29)&lt;$A$259,0,(AZ31*$E$259)-SUM($M$259:AY259))</f>
        <v>0</v>
      </c>
      <c r="BA259" s="1057">
        <f>IF(SUM($O$29:BA29)&lt;$A$259,0,(BA31*$E$259)-SUM($M$259:AZ259))</f>
        <v>0</v>
      </c>
      <c r="BB259" s="1057">
        <f>IF(SUM($O$29:BB29)&lt;$A$259,0,(BB31*$E$259)-SUM($M$259:BA259))</f>
        <v>0</v>
      </c>
      <c r="BC259" s="1057">
        <f>IF(SUM($O$29:BC29)&lt;$A$259,0,(BC31*$E$259)-SUM($M$259:BB259))</f>
        <v>0</v>
      </c>
      <c r="BD259" s="1057">
        <f>IF(SUM($O$29:BD29)&lt;$A$259,0,(BD31*$E$259)-SUM($M$259:BC259))</f>
        <v>0</v>
      </c>
      <c r="BE259" s="1057">
        <f>IF(SUM($O$29:BE29)&lt;$A$259,0,(BE31*$E$259)-SUM($M$259:BD259))</f>
        <v>0</v>
      </c>
      <c r="BF259" s="1057">
        <f>IF(SUM($O$29:BF29)&lt;$A$259,0,(BF31*$E$259)-SUM($M$259:BE259))</f>
        <v>0</v>
      </c>
      <c r="BG259" s="1057">
        <f>IF(SUM($O$29:BG29)&lt;$A$259,0,(BG31*$E$259)-SUM($M$259:BF259))</f>
        <v>0</v>
      </c>
      <c r="BH259" s="1057">
        <f>IF(SUM($O$29:BH29)&lt;$A$259,0,(BH31*$E$259)-SUM($M$259:BG259))</f>
        <v>0</v>
      </c>
      <c r="BI259" s="1057">
        <f>IF(SUM($O$29:BI29)&lt;$A$259,0,(BI31*$E$259)-SUM($M$259:BH259))</f>
        <v>0</v>
      </c>
      <c r="BJ259" s="1057">
        <f>IF(SUM($O$29:BJ29)&lt;$A$259,0,(BJ31*$E$259)-SUM($M$259:BI259))</f>
        <v>0</v>
      </c>
      <c r="BK259" s="1057">
        <f>IF(SUM($O$29:BK29)&lt;$A$259,0,(BK31*$E$259)-SUM($M$259:BJ259))</f>
        <v>0</v>
      </c>
      <c r="BL259" s="1057">
        <f>IF(SUM($O$29:BL29)&lt;$A$259,0,(BL31*$E$259)-SUM($M$259:BK259))</f>
        <v>0</v>
      </c>
      <c r="BM259" s="1057">
        <f>IF(SUM($O$29:BM29)&lt;$A$259,0,(BM31*$E$259)-SUM($M$259:BL259))</f>
        <v>0</v>
      </c>
      <c r="BN259" s="1057">
        <f>IF(SUM($O$29:BN29)&lt;$A$259,0,(BN31*$E$259)-SUM($M$259:BM259))</f>
        <v>0</v>
      </c>
      <c r="BO259" s="1057">
        <f>IF(SUM($O$29:BO29)&lt;$A$259,0,(BO31*$E$259)-SUM($M$259:BN259))</f>
        <v>0</v>
      </c>
      <c r="BP259" s="1057">
        <f>IF(SUM($O$29:BP29)&lt;$A$259,0,(BP31*$E$259)-SUM($M$259:BO259))</f>
        <v>0</v>
      </c>
      <c r="BQ259" s="1057">
        <f>IF(SUM($O$29:BQ29)&lt;$A$259,0,(BQ31*$E$259)-SUM($M$259:BP259))</f>
        <v>0</v>
      </c>
      <c r="BR259" s="1057">
        <f>IF(SUM($O$29:BR29)&lt;$A$259,0,(BR31*$E$259)-SUM($M$259:BQ259))</f>
        <v>0</v>
      </c>
      <c r="BS259" s="1057">
        <f>IF(SUM($O$29:BS29)&lt;$A$259,0,(BS31*$E$259)-SUM($M$259:BR259))</f>
        <v>0</v>
      </c>
      <c r="BT259" s="1057">
        <f>IF(SUM($O$29:BT29)&lt;$A$259,0,(BT31*$E$259)-SUM($M$259:BS259))</f>
        <v>0</v>
      </c>
      <c r="BU259" s="1057">
        <f>IF(SUM($O$29:BU29)&lt;$A$259,0,(BU31*$E$259)-SUM($M$259:BT259))</f>
        <v>0</v>
      </c>
      <c r="BV259" s="1057">
        <f>IF(SUM($O$29:BV29)&lt;$A$259,0,(BV31*$E$259)-SUM($M$259:BU259))</f>
        <v>0</v>
      </c>
      <c r="BW259" s="1057">
        <f>IF(SUM($O$29:BW29)&lt;$A$259,0,(BW31*$E$259)-SUM($M$259:BV259))</f>
        <v>0</v>
      </c>
      <c r="BX259" s="1057">
        <f>IF(SUM($O$29:BX29)&lt;$A$259,0,(BX31*$E$259)-SUM($M$259:BW259))</f>
        <v>0</v>
      </c>
      <c r="BY259" s="1067">
        <f t="shared" si="289"/>
        <v>5</v>
      </c>
      <c r="BZ259" s="1068">
        <f t="shared" si="311"/>
        <v>0</v>
      </c>
      <c r="CA259" s="1069" t="b">
        <f t="shared" si="312"/>
        <v>1</v>
      </c>
      <c r="CB259" s="1084"/>
    </row>
    <row r="260" spans="1:80" s="1082" customFormat="1">
      <c r="A260" s="398">
        <v>21</v>
      </c>
      <c r="B260" s="1067">
        <v>6</v>
      </c>
      <c r="C260" s="1898"/>
      <c r="D260" s="1060">
        <f>IF(B260&lt;Equity!$D$33+1,Equity!$I$12/Equity!$D$33,0)</f>
        <v>0</v>
      </c>
      <c r="E260" s="1061">
        <f>분양개요!$O$13*D260</f>
        <v>0</v>
      </c>
      <c r="F260" s="1062" t="b">
        <f t="shared" si="308"/>
        <v>1</v>
      </c>
      <c r="G260" s="1056"/>
      <c r="H260" s="1057"/>
      <c r="I260" s="1057"/>
      <c r="J260" s="1057"/>
      <c r="K260" s="1057">
        <f>IF(SUM(K$29:$O29)&lt;$A$260,0,(K31*$E$260)-SUM(J$260:$M260))</f>
        <v>0</v>
      </c>
      <c r="L260" s="1057">
        <f>IF(SUM(L$29:$O29)&lt;$A$260,0,(L31*$E$260)-SUM(K$260:$M260))</f>
        <v>0</v>
      </c>
      <c r="M260" s="1057">
        <f>IF(SUM(M$29:$O29)&lt;$A$260,0,(M31*$E$260)-SUM(L$260:$M260))</f>
        <v>0</v>
      </c>
      <c r="N260" s="1057">
        <f>IF(SUM(N$29:$O29)&lt;$A$260,0,(N31*$E$260)-SUM($M$260:M260))</f>
        <v>0</v>
      </c>
      <c r="O260" s="1057">
        <f>IF(SUM($O$29:O29)&lt;$A$260,0,(O31*$E$260)-SUM($M$260:N260))</f>
        <v>0</v>
      </c>
      <c r="P260" s="1057">
        <f>IF(SUM($O$29:P29)&lt;$A$260,0,(P31*$E$260)-SUM($M$260:O260))</f>
        <v>0</v>
      </c>
      <c r="Q260" s="1057">
        <f>IF(SUM($O$29:Q29)&lt;$A$260,0,(Q31*$E$260)-SUM($M$260:P260))</f>
        <v>0</v>
      </c>
      <c r="R260" s="1057">
        <f>IF(SUM($O$29:R29)&lt;$A$260,0,(R31*$E$260)-SUM($M$260:Q260))</f>
        <v>0</v>
      </c>
      <c r="S260" s="1057">
        <f>IF(SUM($O$29:S29)&lt;$A$260,0,(S31*$E$260)-SUM($M$260:R260))</f>
        <v>0</v>
      </c>
      <c r="T260" s="1057">
        <f>IF(SUM($O$29:T29)&lt;$A$260,0,(T31*$E$260)-SUM($M$260:S260))</f>
        <v>0</v>
      </c>
      <c r="U260" s="1057">
        <f>IF(SUM($O$29:U29)&lt;$A$260,0,(U31*$E$260)-SUM($M$260:T260))</f>
        <v>0</v>
      </c>
      <c r="V260" s="1057">
        <f>IF(SUM($O$29:V29)&lt;$A$260,0,(V31*$E$260)-SUM($M$260:U260))</f>
        <v>0</v>
      </c>
      <c r="W260" s="1057">
        <f>IF(SUM($O$29:W29)&lt;$A$260,0,(W31*$E$260)-SUM($M$260:V260))</f>
        <v>0</v>
      </c>
      <c r="X260" s="1057">
        <f>IF(SUM($O$29:X29)&lt;$A$260,0,(X31*$E$260)-SUM($M$260:W260))</f>
        <v>0</v>
      </c>
      <c r="Y260" s="1057">
        <f>IF(SUM($O$29:Y29)&lt;$A$260,0,(Y31*$E$260)-SUM($M$260:X260))</f>
        <v>0</v>
      </c>
      <c r="Z260" s="1057">
        <f>IF(SUM($O$29:Z29)&lt;$A$260,0,(Z31*$E$260)-SUM($M$260:Y260))</f>
        <v>0</v>
      </c>
      <c r="AA260" s="1057">
        <f>IF(SUM($O$29:AA29)&lt;$A$260,0,(AA31*$E$260)-SUM($M$260:Z260))</f>
        <v>0</v>
      </c>
      <c r="AB260" s="1057">
        <f>IF(SUM($O$29:AB29)&lt;$A$260,0,(AB31*$E$260)-SUM($M$260:AA260))</f>
        <v>0</v>
      </c>
      <c r="AC260" s="1057">
        <f>IF(SUM($O$29:AC29)&lt;$A$260,0,(AC31*$E$260)-SUM($M$260:AB260))</f>
        <v>0</v>
      </c>
      <c r="AD260" s="1057">
        <f>IF(SUM($O$29:AD29)&lt;$A$260,0,(AD31*$E$260)-SUM($M$260:AC260))</f>
        <v>0</v>
      </c>
      <c r="AE260" s="1057">
        <f>IF(SUM($O$29:AE29)&lt;$A$260,0,(AE31*$E$260)-SUM($M$260:AD260))</f>
        <v>0</v>
      </c>
      <c r="AF260" s="1057">
        <f>IF(SUM($O$29:AF29)&lt;$A$260,0,(AF31*$E$260)-SUM($M$260:AE260))</f>
        <v>0</v>
      </c>
      <c r="AG260" s="1057">
        <f>IF(SUM($O$29:AG29)&lt;$A$260,0,(AG31*$E$260)-SUM($M$260:AF260))</f>
        <v>0</v>
      </c>
      <c r="AH260" s="1057">
        <f>IF(SUM($O$29:AH29)&lt;$A$260,0,(AH31*$E$260)-SUM($M$260:AG260))</f>
        <v>0</v>
      </c>
      <c r="AI260" s="1057">
        <f>IF(SUM($O$29:AI29)&lt;$A$260,0,(AI31*$E$260)-SUM($M$260:AH260))</f>
        <v>0</v>
      </c>
      <c r="AJ260" s="1057">
        <f>IF(SUM($O$29:AJ29)&lt;$A$260,0,(AJ31*$E$260)-SUM($M$260:AI260))</f>
        <v>0</v>
      </c>
      <c r="AK260" s="1057">
        <f>IF(SUM($O$29:AK29)&lt;$A$260,0,(AK31*$E$260)-SUM($M$260:AJ260))</f>
        <v>0</v>
      </c>
      <c r="AL260" s="1057">
        <f>IF(SUM($O$29:AL29)&lt;$A$260,0,(AL31*$E$260)-SUM($M$260:AK260))</f>
        <v>0</v>
      </c>
      <c r="AM260" s="1057">
        <f>IF(SUM($O$29:AM29)&lt;$A$260,0,(AM31*$E$260)-SUM($M$260:AL260))</f>
        <v>0</v>
      </c>
      <c r="AN260" s="1057">
        <f>IF(SUM($O$29:AN29)&lt;$A$260,0,(AN31*$E$260)-SUM($M$260:AM260))</f>
        <v>0</v>
      </c>
      <c r="AO260" s="1057">
        <f>IF(SUM($O$29:AO29)&lt;$A$260,0,(AO31*$E$260)-SUM($M$260:AN260))</f>
        <v>0</v>
      </c>
      <c r="AP260" s="1057">
        <f>IF(SUM($O$29:AP29)&lt;$A$260,0,(AP31*$E$260)-SUM($M$260:AO260))</f>
        <v>0</v>
      </c>
      <c r="AQ260" s="1057">
        <f>IF(SUM($O$29:AQ29)&lt;$A$260,0,(AQ31*$E$260)-SUM($M$260:AP260))</f>
        <v>0</v>
      </c>
      <c r="AR260" s="1057">
        <f>IF(SUM($O$29:AR29)&lt;$A$260,0,(AR31*$E$260)-SUM($M$260:AQ260))</f>
        <v>0</v>
      </c>
      <c r="AS260" s="1057">
        <f>IF(SUM($O$29:AS29)&lt;$A$260,0,(AS31*$E$260)-SUM($M$260:AR260))</f>
        <v>0</v>
      </c>
      <c r="AT260" s="1057">
        <f>IF(SUM($O$29:AT29)&lt;$A$260,0,(AT31*$E$260)-SUM($M$260:AS260))</f>
        <v>0</v>
      </c>
      <c r="AU260" s="1057">
        <f>IF(SUM($O$29:AU29)&lt;$A$260,0,(AU31*$E$260)-SUM($M$260:AT260))</f>
        <v>0</v>
      </c>
      <c r="AV260" s="1057">
        <f>IF(SUM($O$29:AV29)&lt;$A$260,0,(AV31*$E$260)-SUM($M$260:AU260))</f>
        <v>0</v>
      </c>
      <c r="AW260" s="1057">
        <f>IF(SUM($O$29:AW29)&lt;$A$260,0,(AW31*$E$260)-SUM($M$260:AV260))</f>
        <v>0</v>
      </c>
      <c r="AX260" s="1057">
        <f>IF(SUM($O$29:AX29)&lt;$A$260,0,(AX31*$E$260)-SUM($M$260:AW260))</f>
        <v>0</v>
      </c>
      <c r="AY260" s="1057">
        <f>IF(SUM($O$29:AY29)&lt;$A$260,0,(AY31*$E$260)-SUM($M$260:AX260))</f>
        <v>0</v>
      </c>
      <c r="AZ260" s="1057">
        <f>IF(SUM($O$29:AZ29)&lt;$A$260,0,(AZ31*$E$260)-SUM($M$260:AY260))</f>
        <v>0</v>
      </c>
      <c r="BA260" s="1057">
        <f>IF(SUM($O$29:BA29)&lt;$A$260,0,(BA31*$E$260)-SUM($M$260:AZ260))</f>
        <v>0</v>
      </c>
      <c r="BB260" s="1057">
        <f>IF(SUM($O$29:BB29)&lt;$A$260,0,(BB31*$E$260)-SUM($M$260:BA260))</f>
        <v>0</v>
      </c>
      <c r="BC260" s="1057">
        <f>IF(SUM($O$29:BC29)&lt;$A$260,0,(BC31*$E$260)-SUM($M$260:BB260))</f>
        <v>0</v>
      </c>
      <c r="BD260" s="1057">
        <f>IF(SUM($O$29:BD29)&lt;$A$260,0,(BD31*$E$260)-SUM($M$260:BC260))</f>
        <v>0</v>
      </c>
      <c r="BE260" s="1057">
        <f>IF(SUM($O$29:BE29)&lt;$A$260,0,(BE31*$E$260)-SUM($M$260:BD260))</f>
        <v>0</v>
      </c>
      <c r="BF260" s="1057">
        <f>IF(SUM($O$29:BF29)&lt;$A$260,0,(BF31*$E$260)-SUM($M$260:BE260))</f>
        <v>0</v>
      </c>
      <c r="BG260" s="1057">
        <f>IF(SUM($O$29:BG29)&lt;$A$260,0,(BG31*$E$260)-SUM($M$260:BF260))</f>
        <v>0</v>
      </c>
      <c r="BH260" s="1057">
        <f>IF(SUM($O$29:BH29)&lt;$A$260,0,(BH31*$E$260)-SUM($M$260:BG260))</f>
        <v>0</v>
      </c>
      <c r="BI260" s="1057">
        <f>IF(SUM($O$29:BI29)&lt;$A$260,0,(BI31*$E$260)-SUM($M$260:BH260))</f>
        <v>0</v>
      </c>
      <c r="BJ260" s="1057">
        <f>IF(SUM($O$29:BJ29)&lt;$A$260,0,(BJ31*$E$260)-SUM($M$260:BI260))</f>
        <v>0</v>
      </c>
      <c r="BK260" s="1057">
        <f>IF(SUM($O$29:BK29)&lt;$A$260,0,(BK31*$E$260)-SUM($M$260:BJ260))</f>
        <v>0</v>
      </c>
      <c r="BL260" s="1057">
        <f>IF(SUM($O$29:BL29)&lt;$A$260,0,(BL31*$E$260)-SUM($M$260:BK260))</f>
        <v>0</v>
      </c>
      <c r="BM260" s="1057">
        <f>IF(SUM($O$29:BM29)&lt;$A$260,0,(BM31*$E$260)-SUM($M$260:BL260))</f>
        <v>0</v>
      </c>
      <c r="BN260" s="1057">
        <f>IF(SUM($O$29:BN29)&lt;$A$260,0,(BN31*$E$260)-SUM($M$260:BM260))</f>
        <v>0</v>
      </c>
      <c r="BO260" s="1057">
        <f>IF(SUM($O$29:BO29)&lt;$A$260,0,(BO31*$E$260)-SUM($M$260:BN260))</f>
        <v>0</v>
      </c>
      <c r="BP260" s="1057">
        <f>IF(SUM($O$29:BP29)&lt;$A$260,0,(BP31*$E$260)-SUM($M$260:BO260))</f>
        <v>0</v>
      </c>
      <c r="BQ260" s="1057">
        <f>IF(SUM($O$29:BQ29)&lt;$A$260,0,(BQ31*$E$260)-SUM($M$260:BP260))</f>
        <v>0</v>
      </c>
      <c r="BR260" s="1057">
        <f>IF(SUM($O$29:BR29)&lt;$A$260,0,(BR31*$E$260)-SUM($M$260:BQ260))</f>
        <v>0</v>
      </c>
      <c r="BS260" s="1057">
        <f>IF(SUM($O$29:BS29)&lt;$A$260,0,(BS31*$E$260)-SUM($M$260:BR260))</f>
        <v>0</v>
      </c>
      <c r="BT260" s="1057">
        <f>IF(SUM($O$29:BT29)&lt;$A$260,0,(BT31*$E$260)-SUM($M$260:BS260))</f>
        <v>0</v>
      </c>
      <c r="BU260" s="1057">
        <f>IF(SUM($O$29:BU29)&lt;$A$260,0,(BU31*$E$260)-SUM($M$260:BT260))</f>
        <v>0</v>
      </c>
      <c r="BV260" s="1057">
        <f>IF(SUM($O$29:BV29)&lt;$A$260,0,(BV31*$E$260)-SUM($M$260:BU260))</f>
        <v>0</v>
      </c>
      <c r="BW260" s="1057">
        <f>IF(SUM($O$29:BW29)&lt;$A$260,0,(BW31*$E$260)-SUM($M$260:BV260))</f>
        <v>0</v>
      </c>
      <c r="BX260" s="1057">
        <f>IF(SUM($O$29:BX29)&lt;$A$260,0,(BX31*$E$260)-SUM($M$260:BW260))</f>
        <v>0</v>
      </c>
      <c r="BY260" s="1067">
        <f t="shared" si="289"/>
        <v>6</v>
      </c>
      <c r="BZ260" s="1068">
        <f t="shared" si="311"/>
        <v>0</v>
      </c>
      <c r="CA260" s="1069" t="b">
        <f t="shared" si="312"/>
        <v>1</v>
      </c>
      <c r="CB260" s="1084"/>
    </row>
    <row r="261" spans="1:80" s="1082" customFormat="1">
      <c r="B261" s="1086" t="s">
        <v>1035</v>
      </c>
      <c r="C261" s="1902"/>
      <c r="D261" s="1060">
        <f>Equity!J12</f>
        <v>0.4</v>
      </c>
      <c r="E261" s="1061">
        <f>분양개요!$O$13*D261</f>
        <v>0</v>
      </c>
      <c r="F261" s="1062" t="b">
        <f t="shared" si="308"/>
        <v>1</v>
      </c>
      <c r="G261" s="1056"/>
      <c r="H261" s="1057"/>
      <c r="I261" s="1057"/>
      <c r="J261" s="1057"/>
      <c r="K261" s="1057">
        <f t="shared" ref="K261:AP261" si="313">IF(K7&gt;공사기간,$E$261*K253,0)</f>
        <v>0</v>
      </c>
      <c r="L261" s="1057">
        <f t="shared" si="313"/>
        <v>0</v>
      </c>
      <c r="M261" s="1057">
        <f t="shared" si="313"/>
        <v>0</v>
      </c>
      <c r="N261" s="1057">
        <f t="shared" si="313"/>
        <v>0</v>
      </c>
      <c r="O261" s="1057">
        <f t="shared" si="313"/>
        <v>0</v>
      </c>
      <c r="P261" s="1057">
        <f t="shared" si="313"/>
        <v>0</v>
      </c>
      <c r="Q261" s="1057">
        <f t="shared" si="313"/>
        <v>0</v>
      </c>
      <c r="R261" s="1057">
        <f t="shared" si="313"/>
        <v>0</v>
      </c>
      <c r="S261" s="1057">
        <f t="shared" si="313"/>
        <v>0</v>
      </c>
      <c r="T261" s="1057">
        <f t="shared" si="313"/>
        <v>0</v>
      </c>
      <c r="U261" s="1057">
        <f t="shared" si="313"/>
        <v>0</v>
      </c>
      <c r="V261" s="1057">
        <f t="shared" si="313"/>
        <v>0</v>
      </c>
      <c r="W261" s="1057">
        <f t="shared" si="313"/>
        <v>0</v>
      </c>
      <c r="X261" s="1057">
        <f t="shared" si="313"/>
        <v>0</v>
      </c>
      <c r="Y261" s="1057">
        <f t="shared" si="313"/>
        <v>0</v>
      </c>
      <c r="Z261" s="1057">
        <f t="shared" si="313"/>
        <v>0</v>
      </c>
      <c r="AA261" s="1057">
        <f t="shared" si="313"/>
        <v>0</v>
      </c>
      <c r="AB261" s="1057">
        <f t="shared" si="313"/>
        <v>0</v>
      </c>
      <c r="AC261" s="1057">
        <f t="shared" si="313"/>
        <v>0</v>
      </c>
      <c r="AD261" s="1057">
        <f t="shared" si="313"/>
        <v>0</v>
      </c>
      <c r="AE261" s="1057">
        <f t="shared" si="313"/>
        <v>0</v>
      </c>
      <c r="AF261" s="1057">
        <f t="shared" si="313"/>
        <v>0</v>
      </c>
      <c r="AG261" s="1057">
        <f t="shared" si="313"/>
        <v>0</v>
      </c>
      <c r="AH261" s="1057">
        <f t="shared" si="313"/>
        <v>0</v>
      </c>
      <c r="AI261" s="1057">
        <f t="shared" si="313"/>
        <v>0</v>
      </c>
      <c r="AJ261" s="1057">
        <f t="shared" si="313"/>
        <v>0</v>
      </c>
      <c r="AK261" s="1057">
        <f t="shared" si="313"/>
        <v>0</v>
      </c>
      <c r="AL261" s="1057">
        <f t="shared" si="313"/>
        <v>0</v>
      </c>
      <c r="AM261" s="1057">
        <f t="shared" si="313"/>
        <v>0</v>
      </c>
      <c r="AN261" s="1057">
        <f t="shared" si="313"/>
        <v>0</v>
      </c>
      <c r="AO261" s="1057">
        <f t="shared" si="313"/>
        <v>0</v>
      </c>
      <c r="AP261" s="1057">
        <f t="shared" si="313"/>
        <v>0</v>
      </c>
      <c r="AQ261" s="1057">
        <f t="shared" ref="AQ261:BX261" si="314">IF(AQ7&gt;공사기간,$E$261*AQ253,0)</f>
        <v>0</v>
      </c>
      <c r="AR261" s="1057">
        <f t="shared" si="314"/>
        <v>0</v>
      </c>
      <c r="AS261" s="1057">
        <f t="shared" si="314"/>
        <v>0</v>
      </c>
      <c r="AT261" s="1057">
        <f t="shared" si="314"/>
        <v>0</v>
      </c>
      <c r="AU261" s="1057">
        <f t="shared" si="314"/>
        <v>0</v>
      </c>
      <c r="AV261" s="1057">
        <f t="shared" si="314"/>
        <v>0</v>
      </c>
      <c r="AW261" s="1057">
        <f t="shared" si="314"/>
        <v>0</v>
      </c>
      <c r="AX261" s="1057">
        <f t="shared" si="314"/>
        <v>0</v>
      </c>
      <c r="AY261" s="1057">
        <f t="shared" si="314"/>
        <v>0</v>
      </c>
      <c r="AZ261" s="1057">
        <f t="shared" si="314"/>
        <v>0</v>
      </c>
      <c r="BA261" s="1057">
        <f t="shared" si="314"/>
        <v>0</v>
      </c>
      <c r="BB261" s="1057">
        <f t="shared" si="314"/>
        <v>0</v>
      </c>
      <c r="BC261" s="1057">
        <f t="shared" si="314"/>
        <v>0</v>
      </c>
      <c r="BD261" s="1057">
        <f t="shared" si="314"/>
        <v>0</v>
      </c>
      <c r="BE261" s="1057">
        <f t="shared" si="314"/>
        <v>0</v>
      </c>
      <c r="BF261" s="1057">
        <f t="shared" si="314"/>
        <v>0</v>
      </c>
      <c r="BG261" s="1057">
        <f t="shared" si="314"/>
        <v>0</v>
      </c>
      <c r="BH261" s="1057">
        <f t="shared" si="314"/>
        <v>0</v>
      </c>
      <c r="BI261" s="1057">
        <f t="shared" si="314"/>
        <v>0</v>
      </c>
      <c r="BJ261" s="1057">
        <f t="shared" si="314"/>
        <v>0</v>
      </c>
      <c r="BK261" s="1057">
        <f t="shared" si="314"/>
        <v>0</v>
      </c>
      <c r="BL261" s="1057">
        <f t="shared" si="314"/>
        <v>0</v>
      </c>
      <c r="BM261" s="1057">
        <f t="shared" si="314"/>
        <v>0</v>
      </c>
      <c r="BN261" s="1057">
        <f t="shared" si="314"/>
        <v>0</v>
      </c>
      <c r="BO261" s="1057">
        <f t="shared" si="314"/>
        <v>0</v>
      </c>
      <c r="BP261" s="1057">
        <f t="shared" si="314"/>
        <v>0</v>
      </c>
      <c r="BQ261" s="1057">
        <f t="shared" si="314"/>
        <v>0</v>
      </c>
      <c r="BR261" s="1057">
        <f t="shared" si="314"/>
        <v>0</v>
      </c>
      <c r="BS261" s="1057">
        <f t="shared" si="314"/>
        <v>0</v>
      </c>
      <c r="BT261" s="1057">
        <f t="shared" si="314"/>
        <v>0</v>
      </c>
      <c r="BU261" s="1057">
        <f t="shared" si="314"/>
        <v>0</v>
      </c>
      <c r="BV261" s="1057">
        <f t="shared" si="314"/>
        <v>0</v>
      </c>
      <c r="BW261" s="1057">
        <f t="shared" si="314"/>
        <v>0</v>
      </c>
      <c r="BX261" s="1057">
        <f t="shared" si="314"/>
        <v>0</v>
      </c>
      <c r="BY261" s="1074" t="str">
        <f t="shared" si="289"/>
        <v>잔금</v>
      </c>
      <c r="BZ261" s="1068">
        <f t="shared" si="311"/>
        <v>0</v>
      </c>
      <c r="CA261" s="1069" t="b">
        <f t="shared" si="312"/>
        <v>1</v>
      </c>
      <c r="CB261" s="1084"/>
    </row>
    <row r="262" spans="1:80" s="1082" customFormat="1">
      <c r="B262" s="1085" t="s">
        <v>126</v>
      </c>
      <c r="C262" s="1901"/>
      <c r="D262" s="1060">
        <f>SUM(D254:D261)</f>
        <v>1</v>
      </c>
      <c r="E262" s="1061">
        <f>SUM(E254:E261)</f>
        <v>0</v>
      </c>
      <c r="F262" s="1062" t="b">
        <f t="shared" si="308"/>
        <v>1</v>
      </c>
      <c r="G262" s="1056">
        <f t="shared" ref="G262:BR262" si="315">SUM(G254:G261)</f>
        <v>0</v>
      </c>
      <c r="H262" s="1056">
        <f t="shared" si="315"/>
        <v>0</v>
      </c>
      <c r="I262" s="1056">
        <f t="shared" si="315"/>
        <v>0</v>
      </c>
      <c r="J262" s="1056">
        <f t="shared" si="315"/>
        <v>0</v>
      </c>
      <c r="K262" s="1056">
        <f t="shared" si="315"/>
        <v>0</v>
      </c>
      <c r="L262" s="1056">
        <f t="shared" si="315"/>
        <v>0</v>
      </c>
      <c r="M262" s="1056">
        <f t="shared" si="315"/>
        <v>0</v>
      </c>
      <c r="N262" s="1056">
        <f t="shared" si="315"/>
        <v>0</v>
      </c>
      <c r="O262" s="1056">
        <f t="shared" si="315"/>
        <v>0</v>
      </c>
      <c r="P262" s="1056">
        <f t="shared" si="315"/>
        <v>0</v>
      </c>
      <c r="Q262" s="1056">
        <f t="shared" si="315"/>
        <v>0</v>
      </c>
      <c r="R262" s="1056">
        <f t="shared" si="315"/>
        <v>0</v>
      </c>
      <c r="S262" s="1056">
        <f t="shared" si="315"/>
        <v>0</v>
      </c>
      <c r="T262" s="1056">
        <f t="shared" si="315"/>
        <v>0</v>
      </c>
      <c r="U262" s="1056">
        <f t="shared" si="315"/>
        <v>0</v>
      </c>
      <c r="V262" s="1056">
        <f t="shared" si="315"/>
        <v>0</v>
      </c>
      <c r="W262" s="1056">
        <f t="shared" si="315"/>
        <v>0</v>
      </c>
      <c r="X262" s="1056">
        <f t="shared" si="315"/>
        <v>0</v>
      </c>
      <c r="Y262" s="1056">
        <f t="shared" si="315"/>
        <v>0</v>
      </c>
      <c r="Z262" s="1056">
        <f t="shared" si="315"/>
        <v>0</v>
      </c>
      <c r="AA262" s="1056">
        <f t="shared" si="315"/>
        <v>0</v>
      </c>
      <c r="AB262" s="1056">
        <f t="shared" si="315"/>
        <v>0</v>
      </c>
      <c r="AC262" s="1056">
        <f t="shared" si="315"/>
        <v>0</v>
      </c>
      <c r="AD262" s="1056">
        <f t="shared" si="315"/>
        <v>0</v>
      </c>
      <c r="AE262" s="1056">
        <f t="shared" si="315"/>
        <v>0</v>
      </c>
      <c r="AF262" s="1056">
        <f t="shared" si="315"/>
        <v>0</v>
      </c>
      <c r="AG262" s="1056">
        <f t="shared" si="315"/>
        <v>0</v>
      </c>
      <c r="AH262" s="1056">
        <f t="shared" si="315"/>
        <v>0</v>
      </c>
      <c r="AI262" s="1056">
        <f t="shared" si="315"/>
        <v>0</v>
      </c>
      <c r="AJ262" s="1056">
        <f t="shared" si="315"/>
        <v>0</v>
      </c>
      <c r="AK262" s="1056">
        <f t="shared" si="315"/>
        <v>0</v>
      </c>
      <c r="AL262" s="1056">
        <f t="shared" si="315"/>
        <v>0</v>
      </c>
      <c r="AM262" s="1056">
        <f t="shared" si="315"/>
        <v>0</v>
      </c>
      <c r="AN262" s="1056">
        <f t="shared" si="315"/>
        <v>0</v>
      </c>
      <c r="AO262" s="1056">
        <f t="shared" si="315"/>
        <v>0</v>
      </c>
      <c r="AP262" s="1056">
        <f t="shared" si="315"/>
        <v>0</v>
      </c>
      <c r="AQ262" s="1056">
        <f t="shared" si="315"/>
        <v>0</v>
      </c>
      <c r="AR262" s="1056">
        <f t="shared" si="315"/>
        <v>0</v>
      </c>
      <c r="AS262" s="1056">
        <f t="shared" si="315"/>
        <v>0</v>
      </c>
      <c r="AT262" s="1056">
        <f t="shared" si="315"/>
        <v>0</v>
      </c>
      <c r="AU262" s="1056">
        <f t="shared" si="315"/>
        <v>0</v>
      </c>
      <c r="AV262" s="1056">
        <f t="shared" si="315"/>
        <v>0</v>
      </c>
      <c r="AW262" s="1056">
        <f t="shared" si="315"/>
        <v>0</v>
      </c>
      <c r="AX262" s="1056">
        <f t="shared" si="315"/>
        <v>0</v>
      </c>
      <c r="AY262" s="1056">
        <f t="shared" si="315"/>
        <v>0</v>
      </c>
      <c r="AZ262" s="1056">
        <f t="shared" si="315"/>
        <v>0</v>
      </c>
      <c r="BA262" s="1056">
        <f t="shared" si="315"/>
        <v>0</v>
      </c>
      <c r="BB262" s="1056">
        <f t="shared" si="315"/>
        <v>0</v>
      </c>
      <c r="BC262" s="1056">
        <f t="shared" si="315"/>
        <v>0</v>
      </c>
      <c r="BD262" s="1056">
        <f t="shared" si="315"/>
        <v>0</v>
      </c>
      <c r="BE262" s="1056">
        <f t="shared" si="315"/>
        <v>0</v>
      </c>
      <c r="BF262" s="1056">
        <f t="shared" si="315"/>
        <v>0</v>
      </c>
      <c r="BG262" s="1056">
        <f t="shared" si="315"/>
        <v>0</v>
      </c>
      <c r="BH262" s="1056">
        <f t="shared" si="315"/>
        <v>0</v>
      </c>
      <c r="BI262" s="1056">
        <f t="shared" si="315"/>
        <v>0</v>
      </c>
      <c r="BJ262" s="1056">
        <f t="shared" si="315"/>
        <v>0</v>
      </c>
      <c r="BK262" s="1056">
        <f t="shared" si="315"/>
        <v>0</v>
      </c>
      <c r="BL262" s="1056">
        <f t="shared" si="315"/>
        <v>0</v>
      </c>
      <c r="BM262" s="1056">
        <f t="shared" si="315"/>
        <v>0</v>
      </c>
      <c r="BN262" s="1056">
        <f t="shared" si="315"/>
        <v>0</v>
      </c>
      <c r="BO262" s="1056">
        <f t="shared" si="315"/>
        <v>0</v>
      </c>
      <c r="BP262" s="1056">
        <f t="shared" si="315"/>
        <v>0</v>
      </c>
      <c r="BQ262" s="1056">
        <f t="shared" si="315"/>
        <v>0</v>
      </c>
      <c r="BR262" s="1056">
        <f t="shared" si="315"/>
        <v>0</v>
      </c>
      <c r="BS262" s="1056">
        <f t="shared" ref="BS262:BU262" si="316">SUM(BS254:BS261)</f>
        <v>0</v>
      </c>
      <c r="BT262" s="1056">
        <f t="shared" si="316"/>
        <v>0</v>
      </c>
      <c r="BU262" s="1056">
        <f t="shared" si="316"/>
        <v>0</v>
      </c>
      <c r="BV262" s="1056">
        <f t="shared" ref="BV262" si="317">SUM(BV254:BV261)</f>
        <v>0</v>
      </c>
      <c r="BW262" s="1056">
        <f t="shared" ref="BW262:BX262" si="318">SUM(BW254:BW261)</f>
        <v>0</v>
      </c>
      <c r="BX262" s="1056">
        <f t="shared" si="318"/>
        <v>0</v>
      </c>
      <c r="BY262" s="1079" t="str">
        <f t="shared" si="289"/>
        <v>합계</v>
      </c>
      <c r="BZ262" s="1080">
        <f t="shared" si="311"/>
        <v>0</v>
      </c>
      <c r="CA262" s="1087" t="b">
        <f t="shared" si="312"/>
        <v>1</v>
      </c>
      <c r="CB262" s="1084"/>
    </row>
    <row r="263" spans="1:80" s="1082" customFormat="1">
      <c r="B263" s="2378" t="str">
        <f>Equity!G13</f>
        <v>분양형호텔</v>
      </c>
      <c r="C263" s="2379"/>
      <c r="D263" s="2379"/>
      <c r="E263" s="2380"/>
      <c r="F263" s="1062"/>
      <c r="G263" s="1056"/>
      <c r="H263" s="1057"/>
      <c r="I263" s="1057"/>
      <c r="J263" s="1057"/>
      <c r="K263" s="1057"/>
      <c r="L263" s="1057"/>
      <c r="M263" s="1057"/>
      <c r="N263" s="1057"/>
      <c r="O263" s="1057"/>
      <c r="P263" s="1057"/>
      <c r="Q263" s="1057"/>
      <c r="R263" s="1057"/>
      <c r="S263" s="1057"/>
      <c r="T263" s="1057"/>
      <c r="U263" s="1057"/>
      <c r="V263" s="1057"/>
      <c r="W263" s="1057"/>
      <c r="X263" s="1057"/>
      <c r="Y263" s="1057"/>
      <c r="Z263" s="1057"/>
      <c r="AA263" s="1057"/>
      <c r="AB263" s="1057"/>
      <c r="AC263" s="1057"/>
      <c r="AD263" s="1057"/>
      <c r="AE263" s="1057"/>
      <c r="AF263" s="1057"/>
      <c r="AG263" s="1057"/>
      <c r="AH263" s="1057"/>
      <c r="AI263" s="1057"/>
      <c r="AJ263" s="1057"/>
      <c r="AK263" s="1057"/>
      <c r="AL263" s="1057"/>
      <c r="AM263" s="1057"/>
      <c r="AN263" s="1057"/>
      <c r="AO263" s="1057"/>
      <c r="AP263" s="1057"/>
      <c r="AQ263" s="1057"/>
      <c r="AR263" s="1057"/>
      <c r="AS263" s="1057"/>
      <c r="AT263" s="1057"/>
      <c r="AU263" s="1057"/>
      <c r="AV263" s="1057"/>
      <c r="AW263" s="1057"/>
      <c r="AX263" s="1057"/>
      <c r="AY263" s="1057"/>
      <c r="AZ263" s="1057"/>
      <c r="BA263" s="1057"/>
      <c r="BB263" s="1057"/>
      <c r="BC263" s="1057"/>
      <c r="BD263" s="1057"/>
      <c r="BE263" s="1057"/>
      <c r="BF263" s="1057"/>
      <c r="BG263" s="1057"/>
      <c r="BH263" s="1057"/>
      <c r="BI263" s="1057"/>
      <c r="BJ263" s="1057"/>
      <c r="BK263" s="1057"/>
      <c r="BL263" s="1057"/>
      <c r="BM263" s="1057"/>
      <c r="BN263" s="1057"/>
      <c r="BO263" s="1057"/>
      <c r="BP263" s="1057"/>
      <c r="BQ263" s="1057"/>
      <c r="BR263" s="1057"/>
      <c r="BS263" s="1057"/>
      <c r="BT263" s="1057"/>
      <c r="BU263" s="1057"/>
      <c r="BV263" s="1916">
        <f>비용집행계획!BQ29</f>
        <v>0.5</v>
      </c>
      <c r="BW263" s="1916">
        <f>비용집행계획!BR29</f>
        <v>0.3</v>
      </c>
      <c r="BX263" s="1916">
        <f>비용집행계획!BS29</f>
        <v>0.2</v>
      </c>
      <c r="BY263" s="2378" t="str">
        <f t="shared" si="289"/>
        <v>분양형호텔</v>
      </c>
      <c r="BZ263" s="2379"/>
      <c r="CA263" s="1083"/>
      <c r="CB263" s="1084"/>
    </row>
    <row r="264" spans="1:80" s="1082" customFormat="1">
      <c r="B264" s="1085" t="s">
        <v>120</v>
      </c>
      <c r="C264" s="1901"/>
      <c r="D264" s="1060">
        <v>0.1</v>
      </c>
      <c r="E264" s="1061">
        <f>분양개요!$O$14*D264</f>
        <v>0</v>
      </c>
      <c r="F264" s="1062" t="b">
        <f t="shared" ref="F264:F272" si="319">CA264</f>
        <v>1</v>
      </c>
      <c r="G264" s="1056"/>
      <c r="H264" s="1057"/>
      <c r="I264" s="1057"/>
      <c r="J264" s="1057"/>
      <c r="K264" s="1057">
        <f t="shared" ref="K264:AP264" si="320">$E$264*K33</f>
        <v>0</v>
      </c>
      <c r="L264" s="1057">
        <f t="shared" si="320"/>
        <v>0</v>
      </c>
      <c r="M264" s="1057">
        <f t="shared" si="320"/>
        <v>0</v>
      </c>
      <c r="N264" s="1057">
        <f t="shared" si="320"/>
        <v>0</v>
      </c>
      <c r="O264" s="1057">
        <f t="shared" si="320"/>
        <v>0</v>
      </c>
      <c r="P264" s="1057">
        <f t="shared" si="320"/>
        <v>0</v>
      </c>
      <c r="Q264" s="1057">
        <f t="shared" si="320"/>
        <v>0</v>
      </c>
      <c r="R264" s="1057">
        <f t="shared" si="320"/>
        <v>0</v>
      </c>
      <c r="S264" s="1057">
        <f t="shared" si="320"/>
        <v>0</v>
      </c>
      <c r="T264" s="1057">
        <f t="shared" si="320"/>
        <v>0</v>
      </c>
      <c r="U264" s="1057">
        <f t="shared" si="320"/>
        <v>0</v>
      </c>
      <c r="V264" s="1057">
        <f t="shared" si="320"/>
        <v>0</v>
      </c>
      <c r="W264" s="1057">
        <f t="shared" si="320"/>
        <v>0</v>
      </c>
      <c r="X264" s="1057">
        <f t="shared" si="320"/>
        <v>0</v>
      </c>
      <c r="Y264" s="1057">
        <f t="shared" si="320"/>
        <v>0</v>
      </c>
      <c r="Z264" s="1057">
        <f t="shared" si="320"/>
        <v>0</v>
      </c>
      <c r="AA264" s="1057">
        <f t="shared" si="320"/>
        <v>0</v>
      </c>
      <c r="AB264" s="1057">
        <f t="shared" si="320"/>
        <v>0</v>
      </c>
      <c r="AC264" s="1057">
        <f t="shared" si="320"/>
        <v>0</v>
      </c>
      <c r="AD264" s="1057">
        <f t="shared" si="320"/>
        <v>0</v>
      </c>
      <c r="AE264" s="1057">
        <f t="shared" si="320"/>
        <v>0</v>
      </c>
      <c r="AF264" s="1057">
        <f t="shared" si="320"/>
        <v>0</v>
      </c>
      <c r="AG264" s="1057">
        <f t="shared" si="320"/>
        <v>0</v>
      </c>
      <c r="AH264" s="1057">
        <f t="shared" si="320"/>
        <v>0</v>
      </c>
      <c r="AI264" s="1057">
        <f t="shared" si="320"/>
        <v>0</v>
      </c>
      <c r="AJ264" s="1057">
        <f t="shared" si="320"/>
        <v>0</v>
      </c>
      <c r="AK264" s="1057">
        <f t="shared" si="320"/>
        <v>0</v>
      </c>
      <c r="AL264" s="1057">
        <f t="shared" si="320"/>
        <v>0</v>
      </c>
      <c r="AM264" s="1057">
        <f t="shared" si="320"/>
        <v>0</v>
      </c>
      <c r="AN264" s="1057">
        <f t="shared" si="320"/>
        <v>0</v>
      </c>
      <c r="AO264" s="1057">
        <f t="shared" si="320"/>
        <v>0</v>
      </c>
      <c r="AP264" s="1057">
        <f t="shared" si="320"/>
        <v>0</v>
      </c>
      <c r="AQ264" s="1057">
        <f t="shared" ref="AQ264:BX264" si="321">$E$264*AQ33</f>
        <v>0</v>
      </c>
      <c r="AR264" s="1057">
        <f t="shared" si="321"/>
        <v>0</v>
      </c>
      <c r="AS264" s="1057">
        <f t="shared" si="321"/>
        <v>0</v>
      </c>
      <c r="AT264" s="1057">
        <f t="shared" si="321"/>
        <v>0</v>
      </c>
      <c r="AU264" s="1057">
        <f t="shared" si="321"/>
        <v>0</v>
      </c>
      <c r="AV264" s="1057">
        <f t="shared" si="321"/>
        <v>0</v>
      </c>
      <c r="AW264" s="1057">
        <f t="shared" si="321"/>
        <v>0</v>
      </c>
      <c r="AX264" s="1057">
        <f t="shared" si="321"/>
        <v>0</v>
      </c>
      <c r="AY264" s="1057">
        <f t="shared" si="321"/>
        <v>0</v>
      </c>
      <c r="AZ264" s="1057">
        <f t="shared" si="321"/>
        <v>0</v>
      </c>
      <c r="BA264" s="1057">
        <f t="shared" si="321"/>
        <v>0</v>
      </c>
      <c r="BB264" s="1057">
        <f t="shared" si="321"/>
        <v>0</v>
      </c>
      <c r="BC264" s="1057">
        <f t="shared" si="321"/>
        <v>0</v>
      </c>
      <c r="BD264" s="1057">
        <f t="shared" si="321"/>
        <v>0</v>
      </c>
      <c r="BE264" s="1057">
        <f t="shared" si="321"/>
        <v>0</v>
      </c>
      <c r="BF264" s="1057">
        <f t="shared" si="321"/>
        <v>0</v>
      </c>
      <c r="BG264" s="1057">
        <f t="shared" si="321"/>
        <v>0</v>
      </c>
      <c r="BH264" s="1057">
        <f t="shared" si="321"/>
        <v>0</v>
      </c>
      <c r="BI264" s="1057">
        <f t="shared" si="321"/>
        <v>0</v>
      </c>
      <c r="BJ264" s="1057">
        <f t="shared" si="321"/>
        <v>0</v>
      </c>
      <c r="BK264" s="1057">
        <f t="shared" si="321"/>
        <v>0</v>
      </c>
      <c r="BL264" s="1057">
        <f t="shared" si="321"/>
        <v>0</v>
      </c>
      <c r="BM264" s="1057">
        <f t="shared" si="321"/>
        <v>0</v>
      </c>
      <c r="BN264" s="1057">
        <f t="shared" si="321"/>
        <v>0</v>
      </c>
      <c r="BO264" s="1057">
        <f t="shared" si="321"/>
        <v>0</v>
      </c>
      <c r="BP264" s="1057">
        <f t="shared" si="321"/>
        <v>0</v>
      </c>
      <c r="BQ264" s="1057">
        <f t="shared" si="321"/>
        <v>0</v>
      </c>
      <c r="BR264" s="1057">
        <f t="shared" si="321"/>
        <v>0</v>
      </c>
      <c r="BS264" s="1057">
        <f t="shared" si="321"/>
        <v>0</v>
      </c>
      <c r="BT264" s="1057">
        <f t="shared" si="321"/>
        <v>0</v>
      </c>
      <c r="BU264" s="1057">
        <f t="shared" si="321"/>
        <v>0</v>
      </c>
      <c r="BV264" s="1057">
        <f t="shared" si="321"/>
        <v>0</v>
      </c>
      <c r="BW264" s="1057">
        <f t="shared" si="321"/>
        <v>0</v>
      </c>
      <c r="BX264" s="1057">
        <f t="shared" si="321"/>
        <v>0</v>
      </c>
      <c r="BY264" s="1064" t="str">
        <f t="shared" si="289"/>
        <v>계약금</v>
      </c>
      <c r="BZ264" s="1065">
        <f t="shared" ref="BZ264:BZ272" si="322">SUM(G264:BX264)</f>
        <v>0</v>
      </c>
      <c r="CA264" s="1066" t="b">
        <f t="shared" ref="CA264:CA272" si="323">ROUND(BZ264,0)=ROUND(E264,0)</f>
        <v>1</v>
      </c>
      <c r="CB264" s="1084"/>
    </row>
    <row r="265" spans="1:80" s="1082" customFormat="1">
      <c r="A265">
        <v>1</v>
      </c>
      <c r="B265" s="1067">
        <v>1</v>
      </c>
      <c r="C265" s="1898"/>
      <c r="D265" s="1060">
        <f>IF(B265&lt;Equity!$D$34+1,Equity!$I$13/Equity!$D$34,0)</f>
        <v>0.1</v>
      </c>
      <c r="E265" s="1061">
        <f>분양개요!$O$14*D265</f>
        <v>0</v>
      </c>
      <c r="F265" s="1062" t="b">
        <f t="shared" si="319"/>
        <v>1</v>
      </c>
      <c r="G265" s="1056"/>
      <c r="H265" s="1057"/>
      <c r="I265" s="1057"/>
      <c r="J265" s="1057"/>
      <c r="K265" s="1057">
        <f>IF(SUM(K$32:$O32)&lt;$A$265,0,(K34*$E$265)-SUM(J$265:$M265))</f>
        <v>0</v>
      </c>
      <c r="L265" s="1057">
        <f>IF(SUM(L$32:$O32)&lt;$A$265,0,(L34*$E$265)-SUM(K$265:$M265))</f>
        <v>0</v>
      </c>
      <c r="M265" s="1057">
        <f>IF(SUM(M$32:$O32)&lt;$A$265,0,(M34*$E$265)-SUM(L$265:$M265))</f>
        <v>0</v>
      </c>
      <c r="N265" s="1057">
        <f>IF(SUM(N$32:$O32)&lt;$A$265,0,(N34*$E$265)-SUM($M$265:M265))</f>
        <v>0</v>
      </c>
      <c r="O265" s="1057">
        <f>IF(SUM($O$32:O32)&lt;$A$265,0,(O34*$E$265)-SUM($M$265:N265))</f>
        <v>0</v>
      </c>
      <c r="P265" s="1057">
        <f>IF(SUM($O$32:P32)&lt;$A$265,0,(P34*$E$265)-SUM($M$265:O265))</f>
        <v>0</v>
      </c>
      <c r="Q265" s="1057">
        <f>IF(SUM($O$32:Q32)&lt;$A$265,0,(Q34*$E$265)-SUM($M$265:P265))</f>
        <v>0</v>
      </c>
      <c r="R265" s="1057">
        <f>IF(SUM($O$32:R32)&lt;$A$265,0,(R34*$E$265)-SUM($M$265:Q265))</f>
        <v>0</v>
      </c>
      <c r="S265" s="1057">
        <f>IF(SUM($O$32:S32)&lt;$A$265,0,(S34*$E$265)-SUM($M$265:R265))</f>
        <v>0</v>
      </c>
      <c r="T265" s="1057">
        <f>IF(SUM($O$32:T32)&lt;$A$265,0,(T34*$E$265)-SUM($M$265:S265))</f>
        <v>0</v>
      </c>
      <c r="U265" s="1057">
        <f>IF(SUM($O$32:U32)&lt;$A$265,0,(U34*$E$265)-SUM($M$265:T265))</f>
        <v>0</v>
      </c>
      <c r="V265" s="1057">
        <f>IF(SUM($O$32:V32)&lt;$A$265,0,(V34*$E$265)-SUM($M$265:U265))</f>
        <v>0</v>
      </c>
      <c r="W265" s="1057">
        <f>IF(SUM($O$32:W32)&lt;$A$265,0,(W34*$E$265)-SUM($M$265:V265))</f>
        <v>0</v>
      </c>
      <c r="X265" s="1057">
        <f>IF(SUM($O$32:X32)&lt;$A$265,0,(X34*$E$265)-SUM($M$265:W265))</f>
        <v>0</v>
      </c>
      <c r="Y265" s="1057">
        <f>IF(SUM($O$32:Y32)&lt;$A$265,0,(Y34*$E$265)-SUM($M$265:X265))</f>
        <v>0</v>
      </c>
      <c r="Z265" s="1057">
        <f>IF(SUM($O$32:Z32)&lt;$A$265,0,(Z34*$E$265)-SUM($M$265:Y265))</f>
        <v>0</v>
      </c>
      <c r="AA265" s="1057">
        <f>IF(SUM($O$32:AA32)&lt;$A$265,0,(AA34*$E$265)-SUM($M$265:Z265))</f>
        <v>0</v>
      </c>
      <c r="AB265" s="1057">
        <f>IF(SUM($O$32:AB32)&lt;$A$265,0,(AB34*$E$265)-SUM($M$265:AA265))</f>
        <v>0</v>
      </c>
      <c r="AC265" s="1057">
        <f>IF(SUM($O$32:AC32)&lt;$A$265,0,(AC34*$E$265)-SUM($M$265:AB265))</f>
        <v>0</v>
      </c>
      <c r="AD265" s="1057">
        <f>IF(SUM($O$32:AD32)&lt;$A$265,0,(AD34*$E$265)-SUM($M$265:AC265))</f>
        <v>0</v>
      </c>
      <c r="AE265" s="1057">
        <f>IF(SUM($O$32:AE32)&lt;$A$265,0,(AE34*$E$265)-SUM($M$265:AD265))</f>
        <v>0</v>
      </c>
      <c r="AF265" s="1057">
        <f>IF(SUM($O$32:AF32)&lt;$A$265,0,(AF34*$E$265)-SUM($M$265:AE265))</f>
        <v>0</v>
      </c>
      <c r="AG265" s="1057">
        <f>IF(SUM($O$32:AG32)&lt;$A$265,0,(AG34*$E$265)-SUM($M$265:AF265))</f>
        <v>0</v>
      </c>
      <c r="AH265" s="1057">
        <f>IF(SUM($O$32:AH32)&lt;$A$265,0,(AH34*$E$265)-SUM($M$265:AG265))</f>
        <v>0</v>
      </c>
      <c r="AI265" s="1057">
        <f>IF(SUM($O$32:AI32)&lt;$A$265,0,(AI34*$E$265)-SUM($M$265:AH265))</f>
        <v>0</v>
      </c>
      <c r="AJ265" s="1057">
        <f>IF(SUM($O$32:AJ32)&lt;$A$265,0,(AJ34*$E$265)-SUM($M$265:AI265))</f>
        <v>0</v>
      </c>
      <c r="AK265" s="1057">
        <f>IF(SUM($O$32:AK32)&lt;$A$265,0,(AK34*$E$265)-SUM($M$265:AJ265))</f>
        <v>0</v>
      </c>
      <c r="AL265" s="1057">
        <f>IF(SUM($O$32:AL32)&lt;$A$265,0,(AL34*$E$265)-SUM($M$265:AK265))</f>
        <v>0</v>
      </c>
      <c r="AM265" s="1057">
        <f>IF(SUM($O$32:AM32)&lt;$A$265,0,(AM34*$E$265)-SUM($M$265:AL265))</f>
        <v>0</v>
      </c>
      <c r="AN265" s="1057">
        <f>IF(SUM($O$32:AN32)&lt;$A$265,0,(AN34*$E$265)-SUM($M$265:AM265))</f>
        <v>0</v>
      </c>
      <c r="AO265" s="1057">
        <f>IF(SUM($O$32:AO32)&lt;$A$265,0,(AO34*$E$265)-SUM($M$265:AN265))</f>
        <v>0</v>
      </c>
      <c r="AP265" s="1057">
        <f>IF(SUM($O$32:AP32)&lt;$A$265,0,(AP34*$E$265)-SUM($M$265:AO265))</f>
        <v>0</v>
      </c>
      <c r="AQ265" s="1057">
        <f>IF(SUM($O$32:AQ32)&lt;$A$265,0,(AQ34*$E$265)-SUM($M$265:AP265))</f>
        <v>0</v>
      </c>
      <c r="AR265" s="1057">
        <f>IF(SUM($O$32:AR32)&lt;$A$265,0,(AR34*$E$265)-SUM($M$265:AQ265))</f>
        <v>0</v>
      </c>
      <c r="AS265" s="1057">
        <f>IF(SUM($O$32:AS32)&lt;$A$265,0,(AS34*$E$265)-SUM($M$265:AR265))</f>
        <v>0</v>
      </c>
      <c r="AT265" s="1057">
        <f>IF(SUM($O$32:AT32)&lt;$A$265,0,(AT34*$E$265)-SUM($M$265:AS265))</f>
        <v>0</v>
      </c>
      <c r="AU265" s="1057">
        <f>IF(SUM($O$32:AU32)&lt;$A$265,0,(AU34*$E$265)-SUM($M$265:AT265))</f>
        <v>0</v>
      </c>
      <c r="AV265" s="1057">
        <f>IF(SUM($O$32:AV32)&lt;$A$265,0,(AV34*$E$265)-SUM($M$265:AU265))</f>
        <v>0</v>
      </c>
      <c r="AW265" s="1057">
        <f>IF(SUM($O$32:AW32)&lt;$A$265,0,(AW34*$E$265)-SUM($M$265:AV265))</f>
        <v>0</v>
      </c>
      <c r="AX265" s="1057">
        <f>IF(SUM($O$32:AX32)&lt;$A$265,0,(AX34*$E$265)-SUM($M$265:AW265))</f>
        <v>0</v>
      </c>
      <c r="AY265" s="1057">
        <f>IF(SUM($O$32:AY32)&lt;$A$265,0,(AY34*$E$265)-SUM($M$265:AX265))</f>
        <v>0</v>
      </c>
      <c r="AZ265" s="1057">
        <f>IF(SUM($O$32:AZ32)&lt;$A$265,0,(AZ34*$E$265)-SUM($M$265:AY265))</f>
        <v>0</v>
      </c>
      <c r="BA265" s="1057">
        <f>IF(SUM($O$32:BA32)&lt;$A$265,0,(BA34*$E$265)-SUM($M$265:AZ265))</f>
        <v>0</v>
      </c>
      <c r="BB265" s="1057">
        <f>IF(SUM($O$32:BB32)&lt;$A$265,0,(BB34*$E$265)-SUM($M$265:BA265))</f>
        <v>0</v>
      </c>
      <c r="BC265" s="1057">
        <f>IF(SUM($O$32:BC32)&lt;$A$265,0,(BC34*$E$265)-SUM($M$265:BB265))</f>
        <v>0</v>
      </c>
      <c r="BD265" s="1057">
        <f>IF(SUM($O$32:BD32)&lt;$A$265,0,(BD34*$E$265)-SUM($M$265:BC265))</f>
        <v>0</v>
      </c>
      <c r="BE265" s="1057">
        <f>IF(SUM($O$32:BE32)&lt;$A$265,0,(BE34*$E$265)-SUM($M$265:BD265))</f>
        <v>0</v>
      </c>
      <c r="BF265" s="1057">
        <f>IF(SUM($O$32:BF32)&lt;$A$265,0,(BF34*$E$265)-SUM($M$265:BE265))</f>
        <v>0</v>
      </c>
      <c r="BG265" s="1057">
        <f>IF(SUM($O$32:BG32)&lt;$A$265,0,(BG34*$E$265)-SUM($M$265:BF265))</f>
        <v>0</v>
      </c>
      <c r="BH265" s="1057">
        <f>IF(SUM($O$32:BH32)&lt;$A$265,0,(BH34*$E$265)-SUM($M$265:BG265))</f>
        <v>0</v>
      </c>
      <c r="BI265" s="1057">
        <f>IF(SUM($O$32:BI32)&lt;$A$265,0,(BI34*$E$265)-SUM($M$265:BH265))</f>
        <v>0</v>
      </c>
      <c r="BJ265" s="1057">
        <f>IF(SUM($O$32:BJ32)&lt;$A$265,0,(BJ34*$E$265)-SUM($M$265:BI265))</f>
        <v>0</v>
      </c>
      <c r="BK265" s="1057">
        <f>IF(SUM($O$32:BK32)&lt;$A$265,0,(BK34*$E$265)-SUM($M$265:BJ265))</f>
        <v>0</v>
      </c>
      <c r="BL265" s="1057">
        <f>IF(SUM($O$32:BL32)&lt;$A$265,0,(BL34*$E$265)-SUM($M$265:BK265))</f>
        <v>0</v>
      </c>
      <c r="BM265" s="1057">
        <f>IF(SUM($O$32:BM32)&lt;$A$265,0,(BM34*$E$265)-SUM($M$265:BL265))</f>
        <v>0</v>
      </c>
      <c r="BN265" s="1057">
        <f>IF(SUM($O$32:BN32)&lt;$A$265,0,(BN34*$E$265)-SUM($M$265:BM265))</f>
        <v>0</v>
      </c>
      <c r="BO265" s="1057">
        <f>IF(SUM($O$32:BO32)&lt;$A$265,0,(BO34*$E$265)-SUM($M$265:BN265))</f>
        <v>0</v>
      </c>
      <c r="BP265" s="1057">
        <f>IF(SUM($O$32:BP32)&lt;$A$265,0,(BP34*$E$265)-SUM($M$265:BO265))</f>
        <v>0</v>
      </c>
      <c r="BQ265" s="1057">
        <f>IF(SUM($O$32:BQ32)&lt;$A$265,0,(BQ34*$E$265)-SUM($M$265:BP265))</f>
        <v>0</v>
      </c>
      <c r="BR265" s="1057">
        <f>IF(SUM($O$32:BR32)&lt;$A$265,0,(BR34*$E$265)-SUM($M$265:BQ265))</f>
        <v>0</v>
      </c>
      <c r="BS265" s="1057">
        <f>IF(SUM($O$32:BS32)&lt;$A$265,0,(BS34*$E$265)-SUM($M$265:BR265))</f>
        <v>0</v>
      </c>
      <c r="BT265" s="1057">
        <f>IF(SUM($O$32:BT32)&lt;$A$265,0,(BT34*$E$265)-SUM($M$265:BS265))</f>
        <v>0</v>
      </c>
      <c r="BU265" s="1057">
        <f>IF(SUM($O$32:BU32)&lt;$A$265,0,(BU34*$E$265)-SUM($M$265:BT265))</f>
        <v>0</v>
      </c>
      <c r="BV265" s="1057">
        <f>IF(SUM($O$32:BV32)&lt;$A$265,0,(BV34*$E$265)-SUM($M$265:BU265))</f>
        <v>0</v>
      </c>
      <c r="BW265" s="1057">
        <f>IF(SUM($O$32:BW32)&lt;$A$265,0,(BW34*$E$265)-SUM($M$265:BV265))</f>
        <v>0</v>
      </c>
      <c r="BX265" s="1057">
        <f>IF(SUM($O$32:BX32)&lt;$A$265,0,(BX34*$E$265)-SUM($M$265:BW265))</f>
        <v>0</v>
      </c>
      <c r="BY265" s="1067">
        <f t="shared" si="289"/>
        <v>1</v>
      </c>
      <c r="BZ265" s="1068">
        <f t="shared" si="322"/>
        <v>0</v>
      </c>
      <c r="CA265" s="1069" t="b">
        <f t="shared" si="323"/>
        <v>1</v>
      </c>
      <c r="CB265" s="1084"/>
    </row>
    <row r="266" spans="1:80" s="1082" customFormat="1">
      <c r="A266" s="398">
        <v>3</v>
      </c>
      <c r="B266" s="1067">
        <v>2</v>
      </c>
      <c r="C266" s="1898"/>
      <c r="D266" s="1060">
        <f>IF(B266&lt;Equity!$D$34+1,Equity!$I$13/Equity!$D$34,0)</f>
        <v>0.1</v>
      </c>
      <c r="E266" s="1061">
        <f>분양개요!$O$14*D266</f>
        <v>0</v>
      </c>
      <c r="F266" s="1062" t="b">
        <f t="shared" si="319"/>
        <v>1</v>
      </c>
      <c r="G266" s="1056"/>
      <c r="H266" s="1057"/>
      <c r="I266" s="1057"/>
      <c r="J266" s="1057"/>
      <c r="K266" s="1057">
        <f>IF(SUM(K$32:$O32)&lt;$A$266,0,(K34*$E$266)-SUM(J$266:$M266))</f>
        <v>0</v>
      </c>
      <c r="L266" s="1057">
        <f>IF(SUM(L$32:$O32)&lt;$A$266,0,(L34*$E$266)-SUM(K$266:$M266))</f>
        <v>0</v>
      </c>
      <c r="M266" s="1057">
        <f>IF(SUM(M$32:$O32)&lt;$A$266,0,(M34*$E$266)-SUM(L$266:$M266))</f>
        <v>0</v>
      </c>
      <c r="N266" s="1057">
        <f>IF(SUM(N$32:$O32)&lt;$A$266,0,(N34*$E$266)-SUM($M$266:M266))</f>
        <v>0</v>
      </c>
      <c r="O266" s="1057">
        <f>IF(SUM($O$32:O32)&lt;$A$266,0,(O34*$E$266)-SUM($M$266:N266))</f>
        <v>0</v>
      </c>
      <c r="P266" s="1057">
        <f>IF(SUM($O$32:P32)&lt;$A$266,0,(P34*$E$266)-SUM($M$266:O266))</f>
        <v>0</v>
      </c>
      <c r="Q266" s="1057">
        <f>IF(SUM($O$32:Q32)&lt;$A$266,0,(Q34*$E$266)-SUM($M$266:P266))</f>
        <v>0</v>
      </c>
      <c r="R266" s="1057">
        <f>IF(SUM($O$32:R32)&lt;$A$266,0,(R34*$E$266)-SUM($M$266:Q266))</f>
        <v>0</v>
      </c>
      <c r="S266" s="1057">
        <f>IF(SUM($O$32:S32)&lt;$A$266,0,(S34*$E$266)-SUM($M$266:R266))</f>
        <v>0</v>
      </c>
      <c r="T266" s="1057">
        <f>IF(SUM($O$32:T32)&lt;$A$266,0,(T34*$E$266)-SUM($M$266:S266))</f>
        <v>0</v>
      </c>
      <c r="U266" s="1057">
        <f>IF(SUM($O$32:U32)&lt;$A$266,0,(U34*$E$266)-SUM($M$266:T266))</f>
        <v>0</v>
      </c>
      <c r="V266" s="1057">
        <f>IF(SUM($O$32:V32)&lt;$A$266,0,(V34*$E$266)-SUM($M$266:U266))</f>
        <v>0</v>
      </c>
      <c r="W266" s="1057">
        <f>IF(SUM($O$32:W32)&lt;$A$266,0,(W34*$E$266)-SUM($M$266:V266))</f>
        <v>0</v>
      </c>
      <c r="X266" s="1057">
        <f>IF(SUM($O$32:X32)&lt;$A$266,0,(X34*$E$266)-SUM($M$266:W266))</f>
        <v>0</v>
      </c>
      <c r="Y266" s="1057">
        <f>IF(SUM($O$32:Y32)&lt;$A$266,0,(Y34*$E$266)-SUM($M$266:X266))</f>
        <v>0</v>
      </c>
      <c r="Z266" s="1057">
        <f>IF(SUM($O$32:Z32)&lt;$A$266,0,(Z34*$E$266)-SUM($M$266:Y266))</f>
        <v>0</v>
      </c>
      <c r="AA266" s="1057">
        <f>IF(SUM($O$32:AA32)&lt;$A$266,0,(AA34*$E$266)-SUM($M$266:Z266))</f>
        <v>0</v>
      </c>
      <c r="AB266" s="1057">
        <f>IF(SUM($O$32:AB32)&lt;$A$266,0,(AB34*$E$266)-SUM($M$266:AA266))</f>
        <v>0</v>
      </c>
      <c r="AC266" s="1057">
        <f>IF(SUM($O$32:AC32)&lt;$A$266,0,(AC34*$E$266)-SUM($M$266:AB266))</f>
        <v>0</v>
      </c>
      <c r="AD266" s="1057">
        <f>IF(SUM($O$32:AD32)&lt;$A$266,0,(AD34*$E$266)-SUM($M$266:AC266))</f>
        <v>0</v>
      </c>
      <c r="AE266" s="1057">
        <f>IF(SUM($O$32:AE32)&lt;$A$266,0,(AE34*$E$266)-SUM($M$266:AD266))</f>
        <v>0</v>
      </c>
      <c r="AF266" s="1057">
        <f>IF(SUM($O$32:AF32)&lt;$A$266,0,(AF34*$E$266)-SUM($M$266:AE266))</f>
        <v>0</v>
      </c>
      <c r="AG266" s="1057">
        <f>IF(SUM($O$32:AG32)&lt;$A$266,0,(AG34*$E$266)-SUM($M$266:AF266))</f>
        <v>0</v>
      </c>
      <c r="AH266" s="1057">
        <f>IF(SUM($O$32:AH32)&lt;$A$266,0,(AH34*$E$266)-SUM($M$266:AG266))</f>
        <v>0</v>
      </c>
      <c r="AI266" s="1057">
        <f>IF(SUM($O$32:AI32)&lt;$A$266,0,(AI34*$E$266)-SUM($M$266:AH266))</f>
        <v>0</v>
      </c>
      <c r="AJ266" s="1057">
        <f>IF(SUM($O$32:AJ32)&lt;$A$266,0,(AJ34*$E$266)-SUM($M$266:AI266))</f>
        <v>0</v>
      </c>
      <c r="AK266" s="1057">
        <f>IF(SUM($O$32:AK32)&lt;$A$266,0,(AK34*$E$266)-SUM($M$266:AJ266))</f>
        <v>0</v>
      </c>
      <c r="AL266" s="1057">
        <f>IF(SUM($O$32:AL32)&lt;$A$266,0,(AL34*$E$266)-SUM($M$266:AK266))</f>
        <v>0</v>
      </c>
      <c r="AM266" s="1057">
        <f>IF(SUM($O$32:AM32)&lt;$A$266,0,(AM34*$E$266)-SUM($M$266:AL266))</f>
        <v>0</v>
      </c>
      <c r="AN266" s="1057">
        <f>IF(SUM($O$32:AN32)&lt;$A$266,0,(AN34*$E$266)-SUM($M$266:AM266))</f>
        <v>0</v>
      </c>
      <c r="AO266" s="1057">
        <f>IF(SUM($O$32:AO32)&lt;$A$266,0,(AO34*$E$266)-SUM($M$266:AN266))</f>
        <v>0</v>
      </c>
      <c r="AP266" s="1057">
        <f>IF(SUM($O$32:AP32)&lt;$A$266,0,(AP34*$E$266)-SUM($M$266:AO266))</f>
        <v>0</v>
      </c>
      <c r="AQ266" s="1057">
        <f>IF(SUM($O$32:AQ32)&lt;$A$266,0,(AQ34*$E$266)-SUM($M$266:AP266))</f>
        <v>0</v>
      </c>
      <c r="AR266" s="1057">
        <f>IF(SUM($O$32:AR32)&lt;$A$266,0,(AR34*$E$266)-SUM($M$266:AQ266))</f>
        <v>0</v>
      </c>
      <c r="AS266" s="1057">
        <f>IF(SUM($O$32:AS32)&lt;$A$266,0,(AS34*$E$266)-SUM($M$266:AR266))</f>
        <v>0</v>
      </c>
      <c r="AT266" s="1057">
        <f>IF(SUM($O$32:AT32)&lt;$A$266,0,(AT34*$E$266)-SUM($M$266:AS266))</f>
        <v>0</v>
      </c>
      <c r="AU266" s="1057">
        <f>IF(SUM($O$32:AU32)&lt;$A$266,0,(AU34*$E$266)-SUM($M$266:AT266))</f>
        <v>0</v>
      </c>
      <c r="AV266" s="1057">
        <f>IF(SUM($O$32:AV32)&lt;$A$266,0,(AV34*$E$266)-SUM($M$266:AU266))</f>
        <v>0</v>
      </c>
      <c r="AW266" s="1057">
        <f>IF(SUM($O$32:AW32)&lt;$A$266,0,(AW34*$E$266)-SUM($M$266:AV266))</f>
        <v>0</v>
      </c>
      <c r="AX266" s="1057">
        <f>IF(SUM($O$32:AX32)&lt;$A$266,0,(AX34*$E$266)-SUM($M$266:AW266))</f>
        <v>0</v>
      </c>
      <c r="AY266" s="1057">
        <f>IF(SUM($O$32:AY32)&lt;$A$266,0,(AY34*$E$266)-SUM($M$266:AX266))</f>
        <v>0</v>
      </c>
      <c r="AZ266" s="1057">
        <f>IF(SUM($O$32:AZ32)&lt;$A$266,0,(AZ34*$E$266)-SUM($M$266:AY266))</f>
        <v>0</v>
      </c>
      <c r="BA266" s="1057">
        <f>IF(SUM($O$32:BA32)&lt;$A$266,0,(BA34*$E$266)-SUM($M$266:AZ266))</f>
        <v>0</v>
      </c>
      <c r="BB266" s="1057">
        <f>IF(SUM($O$32:BB32)&lt;$A$266,0,(BB34*$E$266)-SUM($M$266:BA266))</f>
        <v>0</v>
      </c>
      <c r="BC266" s="1057">
        <f>IF(SUM($O$32:BC32)&lt;$A$266,0,(BC34*$E$266)-SUM($M$266:BB266))</f>
        <v>0</v>
      </c>
      <c r="BD266" s="1057">
        <f>IF(SUM($O$32:BD32)&lt;$A$266,0,(BD34*$E$266)-SUM($M$266:BC266))</f>
        <v>0</v>
      </c>
      <c r="BE266" s="1057">
        <f>IF(SUM($O$32:BE32)&lt;$A$266,0,(BE34*$E$266)-SUM($M$266:BD266))</f>
        <v>0</v>
      </c>
      <c r="BF266" s="1057">
        <f>IF(SUM($O$32:BF32)&lt;$A$266,0,(BF34*$E$266)-SUM($M$266:BE266))</f>
        <v>0</v>
      </c>
      <c r="BG266" s="1057">
        <f>IF(SUM($O$32:BG32)&lt;$A$266,0,(BG34*$E$266)-SUM($M$266:BF266))</f>
        <v>0</v>
      </c>
      <c r="BH266" s="1057">
        <f>IF(SUM($O$32:BH32)&lt;$A$266,0,(BH34*$E$266)-SUM($M$266:BG266))</f>
        <v>0</v>
      </c>
      <c r="BI266" s="1057">
        <f>IF(SUM($O$32:BI32)&lt;$A$266,0,(BI34*$E$266)-SUM($M$266:BH266))</f>
        <v>0</v>
      </c>
      <c r="BJ266" s="1057">
        <f>IF(SUM($O$32:BJ32)&lt;$A$266,0,(BJ34*$E$266)-SUM($M$266:BI266))</f>
        <v>0</v>
      </c>
      <c r="BK266" s="1057">
        <f>IF(SUM($O$32:BK32)&lt;$A$266,0,(BK34*$E$266)-SUM($M$266:BJ266))</f>
        <v>0</v>
      </c>
      <c r="BL266" s="1057">
        <f>IF(SUM($O$32:BL32)&lt;$A$266,0,(BL34*$E$266)-SUM($M$266:BK266))</f>
        <v>0</v>
      </c>
      <c r="BM266" s="1057">
        <f>IF(SUM($O$32:BM32)&lt;$A$266,0,(BM34*$E$266)-SUM($M$266:BL266))</f>
        <v>0</v>
      </c>
      <c r="BN266" s="1057">
        <f>IF(SUM($O$32:BN32)&lt;$A$266,0,(BN34*$E$266)-SUM($M$266:BM266))</f>
        <v>0</v>
      </c>
      <c r="BO266" s="1057">
        <f>IF(SUM($O$32:BO32)&lt;$A$266,0,(BO34*$E$266)-SUM($M$266:BN266))</f>
        <v>0</v>
      </c>
      <c r="BP266" s="1057">
        <f>IF(SUM($O$32:BP32)&lt;$A$266,0,(BP34*$E$266)-SUM($M$266:BO266))</f>
        <v>0</v>
      </c>
      <c r="BQ266" s="1057">
        <f>IF(SUM($O$32:BQ32)&lt;$A$266,0,(BQ34*$E$266)-SUM($M$266:BP266))</f>
        <v>0</v>
      </c>
      <c r="BR266" s="1057">
        <f>IF(SUM($O$32:BR32)&lt;$A$266,0,(BR34*$E$266)-SUM($M$266:BQ266))</f>
        <v>0</v>
      </c>
      <c r="BS266" s="1057">
        <f>IF(SUM($O$32:BS32)&lt;$A$266,0,(BS34*$E$266)-SUM($M$266:BR266))</f>
        <v>0</v>
      </c>
      <c r="BT266" s="1057">
        <f>IF(SUM($O$32:BT32)&lt;$A$266,0,(BT34*$E$266)-SUM($M$266:BS266))</f>
        <v>0</v>
      </c>
      <c r="BU266" s="1057">
        <f>IF(SUM($O$32:BU32)&lt;$A$266,0,(BU34*$E$266)-SUM($M$266:BT266))</f>
        <v>0</v>
      </c>
      <c r="BV266" s="1057">
        <f>IF(SUM($O$32:BV32)&lt;$A$266,0,(BV34*$E$266)-SUM($M$266:BU266))</f>
        <v>0</v>
      </c>
      <c r="BW266" s="1057">
        <f>IF(SUM($O$32:BW32)&lt;$A$266,0,(BW34*$E$266)-SUM($M$266:BV266))</f>
        <v>0</v>
      </c>
      <c r="BX266" s="1057">
        <f>IF(SUM($O$32:BX32)&lt;$A$266,0,(BX34*$E$266)-SUM($M$266:BW266))</f>
        <v>0</v>
      </c>
      <c r="BY266" s="1067">
        <f t="shared" si="289"/>
        <v>2</v>
      </c>
      <c r="BZ266" s="1068">
        <f t="shared" si="322"/>
        <v>0</v>
      </c>
      <c r="CA266" s="1069" t="b">
        <f t="shared" si="323"/>
        <v>1</v>
      </c>
      <c r="CB266" s="1084"/>
    </row>
    <row r="267" spans="1:80" s="1082" customFormat="1">
      <c r="A267" s="398">
        <v>6</v>
      </c>
      <c r="B267" s="1067">
        <v>3</v>
      </c>
      <c r="C267" s="1898"/>
      <c r="D267" s="1060">
        <f>IF(B267&lt;Equity!$D$34+1,Equity!$I$13/Equity!$D$34,0)</f>
        <v>0.1</v>
      </c>
      <c r="E267" s="1061">
        <f>분양개요!$O$14*D267</f>
        <v>0</v>
      </c>
      <c r="F267" s="1062" t="b">
        <f t="shared" si="319"/>
        <v>1</v>
      </c>
      <c r="G267" s="1056"/>
      <c r="H267" s="1057"/>
      <c r="I267" s="1057"/>
      <c r="J267" s="1057"/>
      <c r="K267" s="1057">
        <f>IF(SUM(K$32:$O32)&lt;$A$267,0,(K34*$E$267)-SUM(J$267:$M267))</f>
        <v>0</v>
      </c>
      <c r="L267" s="1057">
        <f>IF(SUM(L$32:$O32)&lt;$A$267,0,(L34*$E$267)-SUM(K$267:$M267))</f>
        <v>0</v>
      </c>
      <c r="M267" s="1057">
        <f>IF(SUM(M$32:$O32)&lt;$A$267,0,(M34*$E$267)-SUM(L$267:$M267))</f>
        <v>0</v>
      </c>
      <c r="N267" s="1057">
        <f>IF(SUM(N$32:$O32)&lt;$A$267,0,(N34*$E$267)-SUM($M$267:M267))</f>
        <v>0</v>
      </c>
      <c r="O267" s="1057">
        <f>IF(SUM($O$32:O32)&lt;$A$267,0,(O34*$E$267)-SUM($M$267:N267))</f>
        <v>0</v>
      </c>
      <c r="P267" s="1057">
        <f>IF(SUM($O$32:P32)&lt;$A$267,0,(P34*$E$267)-SUM($M$267:O267))</f>
        <v>0</v>
      </c>
      <c r="Q267" s="1057">
        <f>IF(SUM($O$32:Q32)&lt;$A$267,0,(Q34*$E$267)-SUM($M$267:P267))</f>
        <v>0</v>
      </c>
      <c r="R267" s="1057">
        <f>IF(SUM($O$32:R32)&lt;$A$267,0,(R34*$E$267)-SUM($M$267:Q267))</f>
        <v>0</v>
      </c>
      <c r="S267" s="1057">
        <f>IF(SUM($O$32:S32)&lt;$A$267,0,(S34*$E$267)-SUM($M$267:R267))</f>
        <v>0</v>
      </c>
      <c r="T267" s="1057">
        <f>IF(SUM($O$32:T32)&lt;$A$267,0,(T34*$E$267)-SUM($M$267:S267))</f>
        <v>0</v>
      </c>
      <c r="U267" s="1057">
        <f>IF(SUM($O$32:U32)&lt;$A$267,0,(U34*$E$267)-SUM($M$267:T267))</f>
        <v>0</v>
      </c>
      <c r="V267" s="1057">
        <f>IF(SUM($O$32:V32)&lt;$A$267,0,(V34*$E$267)-SUM($M$267:U267))</f>
        <v>0</v>
      </c>
      <c r="W267" s="1057">
        <f>IF(SUM($O$32:W32)&lt;$A$267,0,(W34*$E$267)-SUM($M$267:V267))</f>
        <v>0</v>
      </c>
      <c r="X267" s="1057">
        <f>IF(SUM($O$32:X32)&lt;$A$267,0,(X34*$E$267)-SUM($M$267:W267))</f>
        <v>0</v>
      </c>
      <c r="Y267" s="1057">
        <f>IF(SUM($O$32:Y32)&lt;$A$267,0,(Y34*$E$267)-SUM($M$267:X267))</f>
        <v>0</v>
      </c>
      <c r="Z267" s="1057">
        <f>IF(SUM($O$32:Z32)&lt;$A$267,0,(Z34*$E$267)-SUM($M$267:Y267))</f>
        <v>0</v>
      </c>
      <c r="AA267" s="1057">
        <f>IF(SUM($O$32:AA32)&lt;$A$267,0,(AA34*$E$267)-SUM($M$267:Z267))</f>
        <v>0</v>
      </c>
      <c r="AB267" s="1057">
        <f>IF(SUM($O$32:AB32)&lt;$A$267,0,(AB34*$E$267)-SUM($M$267:AA267))</f>
        <v>0</v>
      </c>
      <c r="AC267" s="1057">
        <f>IF(SUM($O$32:AC32)&lt;$A$267,0,(AC34*$E$267)-SUM($M$267:AB267))</f>
        <v>0</v>
      </c>
      <c r="AD267" s="1057">
        <f>IF(SUM($O$32:AD32)&lt;$A$267,0,(AD34*$E$267)-SUM($M$267:AC267))</f>
        <v>0</v>
      </c>
      <c r="AE267" s="1057">
        <f>IF(SUM($O$32:AE32)&lt;$A$267,0,(AE34*$E$267)-SUM($M$267:AD267))</f>
        <v>0</v>
      </c>
      <c r="AF267" s="1057">
        <f>IF(SUM($O$32:AF32)&lt;$A$267,0,(AF34*$E$267)-SUM($M$267:AE267))</f>
        <v>0</v>
      </c>
      <c r="AG267" s="1057">
        <f>IF(SUM($O$32:AG32)&lt;$A$267,0,(AG34*$E$267)-SUM($M$267:AF267))</f>
        <v>0</v>
      </c>
      <c r="AH267" s="1057">
        <f>IF(SUM($O$32:AH32)&lt;$A$267,0,(AH34*$E$267)-SUM($M$267:AG267))</f>
        <v>0</v>
      </c>
      <c r="AI267" s="1057">
        <f>IF(SUM($O$32:AI32)&lt;$A$267,0,(AI34*$E$267)-SUM($M$267:AH267))</f>
        <v>0</v>
      </c>
      <c r="AJ267" s="1057">
        <f>IF(SUM($O$32:AJ32)&lt;$A$267,0,(AJ34*$E$267)-SUM($M$267:AI267))</f>
        <v>0</v>
      </c>
      <c r="AK267" s="1057">
        <f>IF(SUM($O$32:AK32)&lt;$A$267,0,(AK34*$E$267)-SUM($M$267:AJ267))</f>
        <v>0</v>
      </c>
      <c r="AL267" s="1057">
        <f>IF(SUM($O$32:AL32)&lt;$A$267,0,(AL34*$E$267)-SUM($M$267:AK267))</f>
        <v>0</v>
      </c>
      <c r="AM267" s="1057">
        <f>IF(SUM($O$32:AM32)&lt;$A$267,0,(AM34*$E$267)-SUM($M$267:AL267))</f>
        <v>0</v>
      </c>
      <c r="AN267" s="1057">
        <f>IF(SUM($O$32:AN32)&lt;$A$267,0,(AN34*$E$267)-SUM($M$267:AM267))</f>
        <v>0</v>
      </c>
      <c r="AO267" s="1057">
        <f>IF(SUM($O$32:AO32)&lt;$A$267,0,(AO34*$E$267)-SUM($M$267:AN267))</f>
        <v>0</v>
      </c>
      <c r="AP267" s="1057">
        <f>IF(SUM($O$32:AP32)&lt;$A$267,0,(AP34*$E$267)-SUM($M$267:AO267))</f>
        <v>0</v>
      </c>
      <c r="AQ267" s="1057">
        <f>IF(SUM($O$32:AQ32)&lt;$A$267,0,(AQ34*$E$267)-SUM($M$267:AP267))</f>
        <v>0</v>
      </c>
      <c r="AR267" s="1057">
        <f>IF(SUM($O$32:AR32)&lt;$A$267,0,(AR34*$E$267)-SUM($M$267:AQ267))</f>
        <v>0</v>
      </c>
      <c r="AS267" s="1057">
        <f>IF(SUM($O$32:AS32)&lt;$A$267,0,(AS34*$E$267)-SUM($M$267:AR267))</f>
        <v>0</v>
      </c>
      <c r="AT267" s="1057">
        <f>IF(SUM($O$32:AT32)&lt;$A$267,0,(AT34*$E$267)-SUM($M$267:AS267))</f>
        <v>0</v>
      </c>
      <c r="AU267" s="1057">
        <f>IF(SUM($O$32:AU32)&lt;$A$267,0,(AU34*$E$267)-SUM($M$267:AT267))</f>
        <v>0</v>
      </c>
      <c r="AV267" s="1057">
        <f>IF(SUM($O$32:AV32)&lt;$A$267,0,(AV34*$E$267)-SUM($M$267:AU267))</f>
        <v>0</v>
      </c>
      <c r="AW267" s="1057">
        <f>IF(SUM($O$32:AW32)&lt;$A$267,0,(AW34*$E$267)-SUM($M$267:AV267))</f>
        <v>0</v>
      </c>
      <c r="AX267" s="1057">
        <f>IF(SUM($O$32:AX32)&lt;$A$267,0,(AX34*$E$267)-SUM($M$267:AW267))</f>
        <v>0</v>
      </c>
      <c r="AY267" s="1057">
        <f>IF(SUM($O$32:AY32)&lt;$A$267,0,(AY34*$E$267)-SUM($M$267:AX267))</f>
        <v>0</v>
      </c>
      <c r="AZ267" s="1057">
        <f>IF(SUM($O$32:AZ32)&lt;$A$267,0,(AZ34*$E$267)-SUM($M$267:AY267))</f>
        <v>0</v>
      </c>
      <c r="BA267" s="1057">
        <f>IF(SUM($O$32:BA32)&lt;$A$267,0,(BA34*$E$267)-SUM($M$267:AZ267))</f>
        <v>0</v>
      </c>
      <c r="BB267" s="1057">
        <f>IF(SUM($O$32:BB32)&lt;$A$267,0,(BB34*$E$267)-SUM($M$267:BA267))</f>
        <v>0</v>
      </c>
      <c r="BC267" s="1057">
        <f>IF(SUM($O$32:BC32)&lt;$A$267,0,(BC34*$E$267)-SUM($M$267:BB267))</f>
        <v>0</v>
      </c>
      <c r="BD267" s="1057">
        <f>IF(SUM($O$32:BD32)&lt;$A$267,0,(BD34*$E$267)-SUM($M$267:BC267))</f>
        <v>0</v>
      </c>
      <c r="BE267" s="1057">
        <f>IF(SUM($O$32:BE32)&lt;$A$267,0,(BE34*$E$267)-SUM($M$267:BD267))</f>
        <v>0</v>
      </c>
      <c r="BF267" s="1057">
        <f>IF(SUM($O$32:BF32)&lt;$A$267,0,(BF34*$E$267)-SUM($M$267:BE267))</f>
        <v>0</v>
      </c>
      <c r="BG267" s="1057">
        <f>IF(SUM($O$32:BG32)&lt;$A$267,0,(BG34*$E$267)-SUM($M$267:BF267))</f>
        <v>0</v>
      </c>
      <c r="BH267" s="1057">
        <f>IF(SUM($O$32:BH32)&lt;$A$267,0,(BH34*$E$267)-SUM($M$267:BG267))</f>
        <v>0</v>
      </c>
      <c r="BI267" s="1057">
        <f>IF(SUM($O$32:BI32)&lt;$A$267,0,(BI34*$E$267)-SUM($M$267:BH267))</f>
        <v>0</v>
      </c>
      <c r="BJ267" s="1057">
        <f>IF(SUM($O$32:BJ32)&lt;$A$267,0,(BJ34*$E$267)-SUM($M$267:BI267))</f>
        <v>0</v>
      </c>
      <c r="BK267" s="1057">
        <f>IF(SUM($O$32:BK32)&lt;$A$267,0,(BK34*$E$267)-SUM($M$267:BJ267))</f>
        <v>0</v>
      </c>
      <c r="BL267" s="1057">
        <f>IF(SUM($O$32:BL32)&lt;$A$267,0,(BL34*$E$267)-SUM($M$267:BK267))</f>
        <v>0</v>
      </c>
      <c r="BM267" s="1057">
        <f>IF(SUM($O$32:BM32)&lt;$A$267,0,(BM34*$E$267)-SUM($M$267:BL267))</f>
        <v>0</v>
      </c>
      <c r="BN267" s="1057">
        <f>IF(SUM($O$32:BN32)&lt;$A$267,0,(BN34*$E$267)-SUM($M$267:BM267))</f>
        <v>0</v>
      </c>
      <c r="BO267" s="1057">
        <f>IF(SUM($O$32:BO32)&lt;$A$267,0,(BO34*$E$267)-SUM($M$267:BN267))</f>
        <v>0</v>
      </c>
      <c r="BP267" s="1057">
        <f>IF(SUM($O$32:BP32)&lt;$A$267,0,(BP34*$E$267)-SUM($M$267:BO267))</f>
        <v>0</v>
      </c>
      <c r="BQ267" s="1057">
        <f>IF(SUM($O$32:BQ32)&lt;$A$267,0,(BQ34*$E$267)-SUM($M$267:BP267))</f>
        <v>0</v>
      </c>
      <c r="BR267" s="1057">
        <f>IF(SUM($O$32:BR32)&lt;$A$267,0,(BR34*$E$267)-SUM($M$267:BQ267))</f>
        <v>0</v>
      </c>
      <c r="BS267" s="1057">
        <f>IF(SUM($O$32:BS32)&lt;$A$267,0,(BS34*$E$267)-SUM($M$267:BR267))</f>
        <v>0</v>
      </c>
      <c r="BT267" s="1057">
        <f>IF(SUM($O$32:BT32)&lt;$A$267,0,(BT34*$E$267)-SUM($M$267:BS267))</f>
        <v>0</v>
      </c>
      <c r="BU267" s="1057">
        <f>IF(SUM($O$32:BU32)&lt;$A$267,0,(BU34*$E$267)-SUM($M$267:BT267))</f>
        <v>0</v>
      </c>
      <c r="BV267" s="1057">
        <f>IF(SUM($O$32:BV32)&lt;$A$267,0,(BV34*$E$267)-SUM($M$267:BU267))</f>
        <v>0</v>
      </c>
      <c r="BW267" s="1057">
        <f>IF(SUM($O$32:BW32)&lt;$A$267,0,(BW34*$E$267)-SUM($M$267:BV267))</f>
        <v>0</v>
      </c>
      <c r="BX267" s="1057">
        <f>IF(SUM($O$32:BX32)&lt;$A$267,0,(BX34*$E$267)-SUM($M$267:BW267))</f>
        <v>0</v>
      </c>
      <c r="BY267" s="1067">
        <f t="shared" si="289"/>
        <v>3</v>
      </c>
      <c r="BZ267" s="1068">
        <f t="shared" si="322"/>
        <v>0</v>
      </c>
      <c r="CA267" s="1069" t="b">
        <f t="shared" si="323"/>
        <v>1</v>
      </c>
      <c r="CB267" s="1084"/>
    </row>
    <row r="268" spans="1:80" s="1082" customFormat="1">
      <c r="A268" s="398">
        <v>10</v>
      </c>
      <c r="B268" s="1067">
        <v>4</v>
      </c>
      <c r="C268" s="1898"/>
      <c r="D268" s="1060">
        <f>IF(B268&lt;Equity!$D$34+1,Equity!$I$13/Equity!$D$34,0)</f>
        <v>0.1</v>
      </c>
      <c r="E268" s="1061">
        <f>분양개요!$O$14*D268</f>
        <v>0</v>
      </c>
      <c r="F268" s="1062" t="b">
        <f t="shared" si="319"/>
        <v>1</v>
      </c>
      <c r="G268" s="1056"/>
      <c r="H268" s="1057"/>
      <c r="I268" s="1057"/>
      <c r="J268" s="1057"/>
      <c r="K268" s="1057">
        <f>IF(SUM(K$32:$O32)&lt;$A$268,0,(K34*$E$268)-SUM(J$268:$M268))</f>
        <v>0</v>
      </c>
      <c r="L268" s="1057">
        <f>IF(SUM(L$32:$O32)&lt;$A$268,0,(L34*$E$268)-SUM(K$268:$M268))</f>
        <v>0</v>
      </c>
      <c r="M268" s="1057">
        <f>IF(SUM(M$32:$O32)&lt;$A$268,0,(M34*$E$268)-SUM(L$268:$M268))</f>
        <v>0</v>
      </c>
      <c r="N268" s="1057">
        <f>IF(SUM(N$32:$O32)&lt;$A$268,0,(N34*$E$268)-SUM($M$268:M268))</f>
        <v>0</v>
      </c>
      <c r="O268" s="1057">
        <f>IF(SUM($O$32:O32)&lt;$A$268,0,(O34*$E$268)-SUM($M$268:N268))</f>
        <v>0</v>
      </c>
      <c r="P268" s="1057">
        <f>IF(SUM($O$32:P32)&lt;$A$268,0,(P34*$E$268)-SUM($M$268:O268))</f>
        <v>0</v>
      </c>
      <c r="Q268" s="1057">
        <f>IF(SUM($O$32:Q32)&lt;$A$268,0,(Q34*$E$268)-SUM($M$268:P268))</f>
        <v>0</v>
      </c>
      <c r="R268" s="1057">
        <f>IF(SUM($O$32:R32)&lt;$A$268,0,(R34*$E$268)-SUM($M$268:Q268))</f>
        <v>0</v>
      </c>
      <c r="S268" s="1057">
        <f>IF(SUM($O$32:S32)&lt;$A$268,0,(S34*$E$268)-SUM($M$268:R268))</f>
        <v>0</v>
      </c>
      <c r="T268" s="1057">
        <f>IF(SUM($O$32:T32)&lt;$A$268,0,(T34*$E$268)-SUM($M$268:S268))</f>
        <v>0</v>
      </c>
      <c r="U268" s="1057">
        <f>IF(SUM($O$32:U32)&lt;$A$268,0,(U34*$E$268)-SUM($M$268:T268))</f>
        <v>0</v>
      </c>
      <c r="V268" s="1057">
        <f>IF(SUM($O$32:V32)&lt;$A$268,0,(V34*$E$268)-SUM($M$268:U268))</f>
        <v>0</v>
      </c>
      <c r="W268" s="1057">
        <f>IF(SUM($O$32:W32)&lt;$A$268,0,(W34*$E$268)-SUM($M$268:V268))</f>
        <v>0</v>
      </c>
      <c r="X268" s="1057">
        <f>IF(SUM($O$32:X32)&lt;$A$268,0,(X34*$E$268)-SUM($M$268:W268))</f>
        <v>0</v>
      </c>
      <c r="Y268" s="1057">
        <f>IF(SUM($O$32:Y32)&lt;$A$268,0,(Y34*$E$268)-SUM($M$268:X268))</f>
        <v>0</v>
      </c>
      <c r="Z268" s="1057">
        <f>IF(SUM($O$32:Z32)&lt;$A$268,0,(Z34*$E$268)-SUM($M$268:Y268))</f>
        <v>0</v>
      </c>
      <c r="AA268" s="1057">
        <f>IF(SUM($O$32:AA32)&lt;$A$268,0,(AA34*$E$268)-SUM($M$268:Z268))</f>
        <v>0</v>
      </c>
      <c r="AB268" s="1057">
        <f>IF(SUM($O$32:AB32)&lt;$A$268,0,(AB34*$E$268)-SUM($M$268:AA268))</f>
        <v>0</v>
      </c>
      <c r="AC268" s="1057">
        <f>IF(SUM($O$32:AC32)&lt;$A$268,0,(AC34*$E$268)-SUM($M$268:AB268))</f>
        <v>0</v>
      </c>
      <c r="AD268" s="1057">
        <f>IF(SUM($O$32:AD32)&lt;$A$268,0,(AD34*$E$268)-SUM($M$268:AC268))</f>
        <v>0</v>
      </c>
      <c r="AE268" s="1057">
        <f>IF(SUM($O$32:AE32)&lt;$A$268,0,(AE34*$E$268)-SUM($M$268:AD268))</f>
        <v>0</v>
      </c>
      <c r="AF268" s="1057">
        <f>IF(SUM($O$32:AF32)&lt;$A$268,0,(AF34*$E$268)-SUM($M$268:AE268))</f>
        <v>0</v>
      </c>
      <c r="AG268" s="1057">
        <f>IF(SUM($O$32:AG32)&lt;$A$268,0,(AG34*$E$268)-SUM($M$268:AF268))</f>
        <v>0</v>
      </c>
      <c r="AH268" s="1057">
        <f>IF(SUM($O$32:AH32)&lt;$A$268,0,(AH34*$E$268)-SUM($M$268:AG268))</f>
        <v>0</v>
      </c>
      <c r="AI268" s="1057">
        <f>IF(SUM($O$32:AI32)&lt;$A$268,0,(AI34*$E$268)-SUM($M$268:AH268))</f>
        <v>0</v>
      </c>
      <c r="AJ268" s="1057">
        <f>IF(SUM($O$32:AJ32)&lt;$A$268,0,(AJ34*$E$268)-SUM($M$268:AI268))</f>
        <v>0</v>
      </c>
      <c r="AK268" s="1057">
        <f>IF(SUM($O$32:AK32)&lt;$A$268,0,(AK34*$E$268)-SUM($M$268:AJ268))</f>
        <v>0</v>
      </c>
      <c r="AL268" s="1057">
        <f>IF(SUM($O$32:AL32)&lt;$A$268,0,(AL34*$E$268)-SUM($M$268:AK268))</f>
        <v>0</v>
      </c>
      <c r="AM268" s="1057">
        <f>IF(SUM($O$32:AM32)&lt;$A$268,0,(AM34*$E$268)-SUM($M$268:AL268))</f>
        <v>0</v>
      </c>
      <c r="AN268" s="1057">
        <f>IF(SUM($O$32:AN32)&lt;$A$268,0,(AN34*$E$268)-SUM($M$268:AM268))</f>
        <v>0</v>
      </c>
      <c r="AO268" s="1057">
        <f>IF(SUM($O$32:AO32)&lt;$A$268,0,(AO34*$E$268)-SUM($M$268:AN268))</f>
        <v>0</v>
      </c>
      <c r="AP268" s="1057">
        <f>IF(SUM($O$32:AP32)&lt;$A$268,0,(AP34*$E$268)-SUM($M$268:AO268))</f>
        <v>0</v>
      </c>
      <c r="AQ268" s="1057">
        <f>IF(SUM($O$32:AQ32)&lt;$A$268,0,(AQ34*$E$268)-SUM($M$268:AP268))</f>
        <v>0</v>
      </c>
      <c r="AR268" s="1057">
        <f>IF(SUM($O$32:AR32)&lt;$A$268,0,(AR34*$E$268)-SUM($M$268:AQ268))</f>
        <v>0</v>
      </c>
      <c r="AS268" s="1057">
        <f>IF(SUM($O$32:AS32)&lt;$A$268,0,(AS34*$E$268)-SUM($M$268:AR268))</f>
        <v>0</v>
      </c>
      <c r="AT268" s="1057">
        <f>IF(SUM($O$32:AT32)&lt;$A$268,0,(AT34*$E$268)-SUM($M$268:AS268))</f>
        <v>0</v>
      </c>
      <c r="AU268" s="1057">
        <f>IF(SUM($O$32:AU32)&lt;$A$268,0,(AU34*$E$268)-SUM($M$268:AT268))</f>
        <v>0</v>
      </c>
      <c r="AV268" s="1057">
        <f>IF(SUM($O$32:AV32)&lt;$A$268,0,(AV34*$E$268)-SUM($M$268:AU268))</f>
        <v>0</v>
      </c>
      <c r="AW268" s="1057">
        <f>IF(SUM($O$32:AW32)&lt;$A$268,0,(AW34*$E$268)-SUM($M$268:AV268))</f>
        <v>0</v>
      </c>
      <c r="AX268" s="1057">
        <f>IF(SUM($O$32:AX32)&lt;$A$268,0,(AX34*$E$268)-SUM($M$268:AW268))</f>
        <v>0</v>
      </c>
      <c r="AY268" s="1057">
        <f>IF(SUM($O$32:AY32)&lt;$A$268,0,(AY34*$E$268)-SUM($M$268:AX268))</f>
        <v>0</v>
      </c>
      <c r="AZ268" s="1057">
        <f>IF(SUM($O$32:AZ32)&lt;$A$268,0,(AZ34*$E$268)-SUM($M$268:AY268))</f>
        <v>0</v>
      </c>
      <c r="BA268" s="1057">
        <f>IF(SUM($O$32:BA32)&lt;$A$268,0,(BA34*$E$268)-SUM($M$268:AZ268))</f>
        <v>0</v>
      </c>
      <c r="BB268" s="1057">
        <f>IF(SUM($O$32:BB32)&lt;$A$268,0,(BB34*$E$268)-SUM($M$268:BA268))</f>
        <v>0</v>
      </c>
      <c r="BC268" s="1057">
        <f>IF(SUM($O$32:BC32)&lt;$A$268,0,(BC34*$E$268)-SUM($M$268:BB268))</f>
        <v>0</v>
      </c>
      <c r="BD268" s="1057">
        <f>IF(SUM($O$32:BD32)&lt;$A$268,0,(BD34*$E$268)-SUM($M$268:BC268))</f>
        <v>0</v>
      </c>
      <c r="BE268" s="1057">
        <f>IF(SUM($O$32:BE32)&lt;$A$268,0,(BE34*$E$268)-SUM($M$268:BD268))</f>
        <v>0</v>
      </c>
      <c r="BF268" s="1057">
        <f>IF(SUM($O$32:BF32)&lt;$A$268,0,(BF34*$E$268)-SUM($M$268:BE268))</f>
        <v>0</v>
      </c>
      <c r="BG268" s="1057">
        <f>IF(SUM($O$32:BG32)&lt;$A$268,0,(BG34*$E$268)-SUM($M$268:BF268))</f>
        <v>0</v>
      </c>
      <c r="BH268" s="1057">
        <f>IF(SUM($O$32:BH32)&lt;$A$268,0,(BH34*$E$268)-SUM($M$268:BG268))</f>
        <v>0</v>
      </c>
      <c r="BI268" s="1057">
        <f>IF(SUM($O$32:BI32)&lt;$A$268,0,(BI34*$E$268)-SUM($M$268:BH268))</f>
        <v>0</v>
      </c>
      <c r="BJ268" s="1057">
        <f>IF(SUM($O$32:BJ32)&lt;$A$268,0,(BJ34*$E$268)-SUM($M$268:BI268))</f>
        <v>0</v>
      </c>
      <c r="BK268" s="1057">
        <f>IF(SUM($O$32:BK32)&lt;$A$268,0,(BK34*$E$268)-SUM($M$268:BJ268))</f>
        <v>0</v>
      </c>
      <c r="BL268" s="1057">
        <f>IF(SUM($O$32:BL32)&lt;$A$268,0,(BL34*$E$268)-SUM($M$268:BK268))</f>
        <v>0</v>
      </c>
      <c r="BM268" s="1057">
        <f>IF(SUM($O$32:BM32)&lt;$A$268,0,(BM34*$E$268)-SUM($M$268:BL268))</f>
        <v>0</v>
      </c>
      <c r="BN268" s="1057">
        <f>IF(SUM($O$32:BN32)&lt;$A$268,0,(BN34*$E$268)-SUM($M$268:BM268))</f>
        <v>0</v>
      </c>
      <c r="BO268" s="1057">
        <f>IF(SUM($O$32:BO32)&lt;$A$268,0,(BO34*$E$268)-SUM($M$268:BN268))</f>
        <v>0</v>
      </c>
      <c r="BP268" s="1057">
        <f>IF(SUM($O$32:BP32)&lt;$A$268,0,(BP34*$E$268)-SUM($M$268:BO268))</f>
        <v>0</v>
      </c>
      <c r="BQ268" s="1057">
        <f>IF(SUM($O$32:BQ32)&lt;$A$268,0,(BQ34*$E$268)-SUM($M$268:BP268))</f>
        <v>0</v>
      </c>
      <c r="BR268" s="1057">
        <f>IF(SUM($O$32:BR32)&lt;$A$268,0,(BR34*$E$268)-SUM($M$268:BQ268))</f>
        <v>0</v>
      </c>
      <c r="BS268" s="1057">
        <f>IF(SUM($O$32:BS32)&lt;$A$268,0,(BS34*$E$268)-SUM($M$268:BR268))</f>
        <v>0</v>
      </c>
      <c r="BT268" s="1057">
        <f>IF(SUM($O$32:BT32)&lt;$A$268,0,(BT34*$E$268)-SUM($M$268:BS268))</f>
        <v>0</v>
      </c>
      <c r="BU268" s="1057">
        <f>IF(SUM($O$32:BU32)&lt;$A$268,0,(BU34*$E$268)-SUM($M$268:BT268))</f>
        <v>0</v>
      </c>
      <c r="BV268" s="1057">
        <f>IF(SUM($O$32:BV32)&lt;$A$268,0,(BV34*$E$268)-SUM($M$268:BU268))</f>
        <v>0</v>
      </c>
      <c r="BW268" s="1057">
        <f>IF(SUM($O$32:BW32)&lt;$A$268,0,(BW34*$E$268)-SUM($M$268:BV268))</f>
        <v>0</v>
      </c>
      <c r="BX268" s="1057">
        <f>IF(SUM($O$32:BX32)&lt;$A$268,0,(BX34*$E$268)-SUM($M$268:BW268))</f>
        <v>0</v>
      </c>
      <c r="BY268" s="1067">
        <f t="shared" si="289"/>
        <v>4</v>
      </c>
      <c r="BZ268" s="1068">
        <f t="shared" si="322"/>
        <v>0</v>
      </c>
      <c r="CA268" s="1069" t="b">
        <f t="shared" si="323"/>
        <v>1</v>
      </c>
      <c r="CB268" s="1084"/>
    </row>
    <row r="269" spans="1:80" s="1082" customFormat="1">
      <c r="A269" s="398">
        <v>15</v>
      </c>
      <c r="B269" s="1067">
        <v>5</v>
      </c>
      <c r="C269" s="1898"/>
      <c r="D269" s="1060">
        <f>IF(B269&lt;Equity!$D$34+1,Equity!$I$13/Equity!$D$34,0)</f>
        <v>0.1</v>
      </c>
      <c r="E269" s="1061">
        <f>분양개요!$O$14*D269</f>
        <v>0</v>
      </c>
      <c r="F269" s="1062" t="b">
        <f t="shared" si="319"/>
        <v>1</v>
      </c>
      <c r="G269" s="1056"/>
      <c r="H269" s="1057"/>
      <c r="I269" s="1057"/>
      <c r="J269" s="1057"/>
      <c r="K269" s="1057">
        <f>IF(SUM(K$32:$O32)&lt;$A$269,0,(K34*$E$269)-SUM(J$269:$M269))</f>
        <v>0</v>
      </c>
      <c r="L269" s="1057">
        <f>IF(SUM(L$32:$O32)&lt;$A$269,0,(L34*$E$269)-SUM(K$269:$M269))</f>
        <v>0</v>
      </c>
      <c r="M269" s="1057">
        <f>IF(SUM(M$32:$O32)&lt;$A$269,0,(M34*$E$269)-SUM(L$269:$M269))</f>
        <v>0</v>
      </c>
      <c r="N269" s="1057">
        <f>IF(SUM(N$32:$O32)&lt;$A$269,0,(N34*$E$269)-SUM($M$269:M269))</f>
        <v>0</v>
      </c>
      <c r="O269" s="1057">
        <f>IF(SUM($O$32:O32)&lt;$A$269,0,(O34*$E$269)-SUM($M$269:N269))</f>
        <v>0</v>
      </c>
      <c r="P269" s="1057">
        <f>IF(SUM($O$32:P32)&lt;$A$269,0,(P34*$E$269)-SUM($M$269:O269))</f>
        <v>0</v>
      </c>
      <c r="Q269" s="1057">
        <f>IF(SUM($O$32:Q32)&lt;$A$269,0,(Q34*$E$269)-SUM($M$269:P269))</f>
        <v>0</v>
      </c>
      <c r="R269" s="1057">
        <f>IF(SUM($O$32:R32)&lt;$A$269,0,(R34*$E$269)-SUM($M$269:Q269))</f>
        <v>0</v>
      </c>
      <c r="S269" s="1057">
        <f>IF(SUM($O$32:S32)&lt;$A$269,0,(S34*$E$269)-SUM($M$269:R269))</f>
        <v>0</v>
      </c>
      <c r="T269" s="1057">
        <f>IF(SUM($O$32:T32)&lt;$A$269,0,(T34*$E$269)-SUM($M$269:S269))</f>
        <v>0</v>
      </c>
      <c r="U269" s="1057">
        <f>IF(SUM($O$32:U32)&lt;$A$269,0,(U34*$E$269)-SUM($M$269:T269))</f>
        <v>0</v>
      </c>
      <c r="V269" s="1057">
        <f>IF(SUM($O$32:V32)&lt;$A$269,0,(V34*$E$269)-SUM($M$269:U269))</f>
        <v>0</v>
      </c>
      <c r="W269" s="1057">
        <f>IF(SUM($O$32:W32)&lt;$A$269,0,(W34*$E$269)-SUM($M$269:V269))</f>
        <v>0</v>
      </c>
      <c r="X269" s="1057">
        <f>IF(SUM($O$32:X32)&lt;$A$269,0,(X34*$E$269)-SUM($M$269:W269))</f>
        <v>0</v>
      </c>
      <c r="Y269" s="1057">
        <f>IF(SUM($O$32:Y32)&lt;$A$269,0,(Y34*$E$269)-SUM($M$269:X269))</f>
        <v>0</v>
      </c>
      <c r="Z269" s="1057">
        <f>IF(SUM($O$32:Z32)&lt;$A$269,0,(Z34*$E$269)-SUM($M$269:Y269))</f>
        <v>0</v>
      </c>
      <c r="AA269" s="1057">
        <f>IF(SUM($O$32:AA32)&lt;$A$269,0,(AA34*$E$269)-SUM($M$269:Z269))</f>
        <v>0</v>
      </c>
      <c r="AB269" s="1057">
        <f>IF(SUM($O$32:AB32)&lt;$A$269,0,(AB34*$E$269)-SUM($M$269:AA269))</f>
        <v>0</v>
      </c>
      <c r="AC269" s="1057">
        <f>IF(SUM($O$32:AC32)&lt;$A$269,0,(AC34*$E$269)-SUM($M$269:AB269))</f>
        <v>0</v>
      </c>
      <c r="AD269" s="1057">
        <f>IF(SUM($O$32:AD32)&lt;$A$269,0,(AD34*$E$269)-SUM($M$269:AC269))</f>
        <v>0</v>
      </c>
      <c r="AE269" s="1057">
        <f>IF(SUM($O$32:AE32)&lt;$A$269,0,(AE34*$E$269)-SUM($M$269:AD269))</f>
        <v>0</v>
      </c>
      <c r="AF269" s="1057">
        <f>IF(SUM($O$32:AF32)&lt;$A$269,0,(AF34*$E$269)-SUM($M$269:AE269))</f>
        <v>0</v>
      </c>
      <c r="AG269" s="1057">
        <f>IF(SUM($O$32:AG32)&lt;$A$269,0,(AG34*$E$269)-SUM($M$269:AF269))</f>
        <v>0</v>
      </c>
      <c r="AH269" s="1057">
        <f>IF(SUM($O$32:AH32)&lt;$A$269,0,(AH34*$E$269)-SUM($M$269:AG269))</f>
        <v>0</v>
      </c>
      <c r="AI269" s="1057">
        <f>IF(SUM($O$32:AI32)&lt;$A$269,0,(AI34*$E$269)-SUM($M$269:AH269))</f>
        <v>0</v>
      </c>
      <c r="AJ269" s="1057">
        <f>IF(SUM($O$32:AJ32)&lt;$A$269,0,(AJ34*$E$269)-SUM($M$269:AI269))</f>
        <v>0</v>
      </c>
      <c r="AK269" s="1057">
        <f>IF(SUM($O$32:AK32)&lt;$A$269,0,(AK34*$E$269)-SUM($M$269:AJ269))</f>
        <v>0</v>
      </c>
      <c r="AL269" s="1057">
        <f>IF(SUM($O$32:AL32)&lt;$A$269,0,(AL34*$E$269)-SUM($M$269:AK269))</f>
        <v>0</v>
      </c>
      <c r="AM269" s="1057">
        <f>IF(SUM($O$32:AM32)&lt;$A$269,0,(AM34*$E$269)-SUM($M$269:AL269))</f>
        <v>0</v>
      </c>
      <c r="AN269" s="1057">
        <f>IF(SUM($O$32:AN32)&lt;$A$269,0,(AN34*$E$269)-SUM($M$269:AM269))</f>
        <v>0</v>
      </c>
      <c r="AO269" s="1057">
        <f>IF(SUM($O$32:AO32)&lt;$A$269,0,(AO34*$E$269)-SUM($M$269:AN269))</f>
        <v>0</v>
      </c>
      <c r="AP269" s="1057">
        <f>IF(SUM($O$32:AP32)&lt;$A$269,0,(AP34*$E$269)-SUM($M$269:AO269))</f>
        <v>0</v>
      </c>
      <c r="AQ269" s="1057">
        <f>IF(SUM($O$32:AQ32)&lt;$A$269,0,(AQ34*$E$269)-SUM($M$269:AP269))</f>
        <v>0</v>
      </c>
      <c r="AR269" s="1057">
        <f>IF(SUM($O$32:AR32)&lt;$A$269,0,(AR34*$E$269)-SUM($M$269:AQ269))</f>
        <v>0</v>
      </c>
      <c r="AS269" s="1057">
        <f>IF(SUM($O$32:AS32)&lt;$A$269,0,(AS34*$E$269)-SUM($M$269:AR269))</f>
        <v>0</v>
      </c>
      <c r="AT269" s="1057">
        <f>IF(SUM($O$32:AT32)&lt;$A$269,0,(AT34*$E$269)-SUM($M$269:AS269))</f>
        <v>0</v>
      </c>
      <c r="AU269" s="1057">
        <f>IF(SUM($O$32:AU32)&lt;$A$269,0,(AU34*$E$269)-SUM($M$269:AT269))</f>
        <v>0</v>
      </c>
      <c r="AV269" s="1057">
        <f>IF(SUM($O$32:AV32)&lt;$A$269,0,(AV34*$E$269)-SUM($M$269:AU269))</f>
        <v>0</v>
      </c>
      <c r="AW269" s="1057">
        <f>IF(SUM($O$32:AW32)&lt;$A$269,0,(AW34*$E$269)-SUM($M$269:AV269))</f>
        <v>0</v>
      </c>
      <c r="AX269" s="1057">
        <f>IF(SUM($O$32:AX32)&lt;$A$269,0,(AX34*$E$269)-SUM($M$269:AW269))</f>
        <v>0</v>
      </c>
      <c r="AY269" s="1057">
        <f>IF(SUM($O$32:AY32)&lt;$A$269,0,(AY34*$E$269)-SUM($M$269:AX269))</f>
        <v>0</v>
      </c>
      <c r="AZ269" s="1057">
        <f>IF(SUM($O$32:AZ32)&lt;$A$269,0,(AZ34*$E$269)-SUM($M$269:AY269))</f>
        <v>0</v>
      </c>
      <c r="BA269" s="1057">
        <f>IF(SUM($O$32:BA32)&lt;$A$269,0,(BA34*$E$269)-SUM($M$269:AZ269))</f>
        <v>0</v>
      </c>
      <c r="BB269" s="1057">
        <f>IF(SUM($O$32:BB32)&lt;$A$269,0,(BB34*$E$269)-SUM($M$269:BA269))</f>
        <v>0</v>
      </c>
      <c r="BC269" s="1057">
        <f>IF(SUM($O$32:BC32)&lt;$A$269,0,(BC34*$E$269)-SUM($M$269:BB269))</f>
        <v>0</v>
      </c>
      <c r="BD269" s="1057">
        <f>IF(SUM($O$32:BD32)&lt;$A$269,0,(BD34*$E$269)-SUM($M$269:BC269))</f>
        <v>0</v>
      </c>
      <c r="BE269" s="1057">
        <f>IF(SUM($O$32:BE32)&lt;$A$269,0,(BE34*$E$269)-SUM($M$269:BD269))</f>
        <v>0</v>
      </c>
      <c r="BF269" s="1057">
        <f>IF(SUM($O$32:BF32)&lt;$A$269,0,(BF34*$E$269)-SUM($M$269:BE269))</f>
        <v>0</v>
      </c>
      <c r="BG269" s="1057">
        <f>IF(SUM($O$32:BG32)&lt;$A$269,0,(BG34*$E$269)-SUM($M$269:BF269))</f>
        <v>0</v>
      </c>
      <c r="BH269" s="1057">
        <f>IF(SUM($O$32:BH32)&lt;$A$269,0,(BH34*$E$269)-SUM($M$269:BG269))</f>
        <v>0</v>
      </c>
      <c r="BI269" s="1057">
        <f>IF(SUM($O$32:BI32)&lt;$A$269,0,(BI34*$E$269)-SUM($M$269:BH269))</f>
        <v>0</v>
      </c>
      <c r="BJ269" s="1057">
        <f>IF(SUM($O$32:BJ32)&lt;$A$269,0,(BJ34*$E$269)-SUM($M$269:BI269))</f>
        <v>0</v>
      </c>
      <c r="BK269" s="1057">
        <f>IF(SUM($O$32:BK32)&lt;$A$269,0,(BK34*$E$269)-SUM($M$269:BJ269))</f>
        <v>0</v>
      </c>
      <c r="BL269" s="1057">
        <f>IF(SUM($O$32:BL32)&lt;$A$269,0,(BL34*$E$269)-SUM($M$269:BK269))</f>
        <v>0</v>
      </c>
      <c r="BM269" s="1057">
        <f>IF(SUM($O$32:BM32)&lt;$A$269,0,(BM34*$E$269)-SUM($M$269:BL269))</f>
        <v>0</v>
      </c>
      <c r="BN269" s="1057">
        <f>IF(SUM($O$32:BN32)&lt;$A$269,0,(BN34*$E$269)-SUM($M$269:BM269))</f>
        <v>0</v>
      </c>
      <c r="BO269" s="1057">
        <f>IF(SUM($O$32:BO32)&lt;$A$269,0,(BO34*$E$269)-SUM($M$269:BN269))</f>
        <v>0</v>
      </c>
      <c r="BP269" s="1057">
        <f>IF(SUM($O$32:BP32)&lt;$A$269,0,(BP34*$E$269)-SUM($M$269:BO269))</f>
        <v>0</v>
      </c>
      <c r="BQ269" s="1057">
        <f>IF(SUM($O$32:BQ32)&lt;$A$269,0,(BQ34*$E$269)-SUM($M$269:BP269))</f>
        <v>0</v>
      </c>
      <c r="BR269" s="1057">
        <f>IF(SUM($O$32:BR32)&lt;$A$269,0,(BR34*$E$269)-SUM($M$269:BQ269))</f>
        <v>0</v>
      </c>
      <c r="BS269" s="1057">
        <f>IF(SUM($O$32:BS32)&lt;$A$269,0,(BS34*$E$269)-SUM($M$269:BR269))</f>
        <v>0</v>
      </c>
      <c r="BT269" s="1057">
        <f>IF(SUM($O$32:BT32)&lt;$A$269,0,(BT34*$E$269)-SUM($M$269:BS269))</f>
        <v>0</v>
      </c>
      <c r="BU269" s="1057">
        <f>IF(SUM($O$32:BU32)&lt;$A$269,0,(BU34*$E$269)-SUM($M$269:BT269))</f>
        <v>0</v>
      </c>
      <c r="BV269" s="1057">
        <f>IF(SUM($O$32:BV32)&lt;$A$269,0,(BV34*$E$269)-SUM($M$269:BU269))</f>
        <v>0</v>
      </c>
      <c r="BW269" s="1057">
        <f>IF(SUM($O$32:BW32)&lt;$A$269,0,(BW34*$E$269)-SUM($M$269:BV269))</f>
        <v>0</v>
      </c>
      <c r="BX269" s="1057">
        <f>IF(SUM($O$32:BX32)&lt;$A$269,0,(BX34*$E$269)-SUM($M$269:BW269))</f>
        <v>0</v>
      </c>
      <c r="BY269" s="1067">
        <f t="shared" si="289"/>
        <v>5</v>
      </c>
      <c r="BZ269" s="1068">
        <f t="shared" si="322"/>
        <v>0</v>
      </c>
      <c r="CA269" s="1069" t="b">
        <f t="shared" si="323"/>
        <v>1</v>
      </c>
      <c r="CB269" s="1084"/>
    </row>
    <row r="270" spans="1:80" s="1082" customFormat="1">
      <c r="A270" s="398">
        <v>21</v>
      </c>
      <c r="B270" s="1067">
        <v>6</v>
      </c>
      <c r="C270" s="1898"/>
      <c r="D270" s="1060">
        <f>IF(B270&lt;Equity!$D$34+1,Equity!$I$13/Equity!$D$34,0)</f>
        <v>0</v>
      </c>
      <c r="E270" s="1061">
        <f>분양개요!$O$14*D270</f>
        <v>0</v>
      </c>
      <c r="F270" s="1062" t="b">
        <f t="shared" si="319"/>
        <v>1</v>
      </c>
      <c r="G270" s="1056"/>
      <c r="H270" s="1057"/>
      <c r="I270" s="1057"/>
      <c r="J270" s="1057"/>
      <c r="K270" s="1057">
        <f>IF(SUM(K$32:$O32)&lt;$A$270,0,(K34*$E$270)-SUM(J$270:$M270))</f>
        <v>0</v>
      </c>
      <c r="L270" s="1057">
        <f>IF(SUM(L$32:$O32)&lt;$A$270,0,(L34*$E$270)-SUM(K$270:$M270))</f>
        <v>0</v>
      </c>
      <c r="M270" s="1057">
        <f>IF(SUM(M$32:$O32)&lt;$A$270,0,(M34*$E$270)-SUM(L$270:$M270))</f>
        <v>0</v>
      </c>
      <c r="N270" s="1057">
        <f>IF(SUM(N$32:$O32)&lt;$A$270,0,(N34*$E$270)-SUM($M$270:M270))</f>
        <v>0</v>
      </c>
      <c r="O270" s="1057">
        <f>IF(SUM($O$32:O32)&lt;$A$270,0,(O34*$E$270)-SUM($M$270:N270))</f>
        <v>0</v>
      </c>
      <c r="P270" s="1057">
        <f>IF(SUM($O$32:P32)&lt;$A$270,0,(P34*$E$270)-SUM($M$270:O270))</f>
        <v>0</v>
      </c>
      <c r="Q270" s="1057">
        <f>IF(SUM($O$32:Q32)&lt;$A$270,0,(Q34*$E$270)-SUM($M$270:P270))</f>
        <v>0</v>
      </c>
      <c r="R270" s="1057">
        <f>IF(SUM($O$32:R32)&lt;$A$270,0,(R34*$E$270)-SUM($M$270:Q270))</f>
        <v>0</v>
      </c>
      <c r="S270" s="1057">
        <f>IF(SUM($O$32:S32)&lt;$A$270,0,(S34*$E$270)-SUM($M$270:R270))</f>
        <v>0</v>
      </c>
      <c r="T270" s="1057">
        <f>IF(SUM($O$32:T32)&lt;$A$270,0,(T34*$E$270)-SUM($M$270:S270))</f>
        <v>0</v>
      </c>
      <c r="U270" s="1057">
        <f>IF(SUM($O$32:U32)&lt;$A$270,0,(U34*$E$270)-SUM($M$270:T270))</f>
        <v>0</v>
      </c>
      <c r="V270" s="1057">
        <f>IF(SUM($O$32:V32)&lt;$A$270,0,(V34*$E$270)-SUM($M$270:U270))</f>
        <v>0</v>
      </c>
      <c r="W270" s="1057">
        <f>IF(SUM($O$32:W32)&lt;$A$270,0,(W34*$E$270)-SUM($M$270:V270))</f>
        <v>0</v>
      </c>
      <c r="X270" s="1057">
        <f>IF(SUM($O$32:X32)&lt;$A$270,0,(X34*$E$270)-SUM($M$270:W270))</f>
        <v>0</v>
      </c>
      <c r="Y270" s="1057">
        <f>IF(SUM($O$32:Y32)&lt;$A$270,0,(Y34*$E$270)-SUM($M$270:X270))</f>
        <v>0</v>
      </c>
      <c r="Z270" s="1057">
        <f>IF(SUM($O$32:Z32)&lt;$A$270,0,(Z34*$E$270)-SUM($M$270:Y270))</f>
        <v>0</v>
      </c>
      <c r="AA270" s="1057">
        <f>IF(SUM($O$32:AA32)&lt;$A$270,0,(AA34*$E$270)-SUM($M$270:Z270))</f>
        <v>0</v>
      </c>
      <c r="AB270" s="1057">
        <f>IF(SUM($O$32:AB32)&lt;$A$270,0,(AB34*$E$270)-SUM($M$270:AA270))</f>
        <v>0</v>
      </c>
      <c r="AC270" s="1057">
        <f>IF(SUM($O$32:AC32)&lt;$A$270,0,(AC34*$E$270)-SUM($M$270:AB270))</f>
        <v>0</v>
      </c>
      <c r="AD270" s="1057">
        <f>IF(SUM($O$32:AD32)&lt;$A$270,0,(AD34*$E$270)-SUM($M$270:AC270))</f>
        <v>0</v>
      </c>
      <c r="AE270" s="1057">
        <f>IF(SUM($O$32:AE32)&lt;$A$270,0,(AE34*$E$270)-SUM($M$270:AD270))</f>
        <v>0</v>
      </c>
      <c r="AF270" s="1057">
        <f>IF(SUM($O$32:AF32)&lt;$A$270,0,(AF34*$E$270)-SUM($M$270:AE270))</f>
        <v>0</v>
      </c>
      <c r="AG270" s="1057">
        <f>IF(SUM($O$32:AG32)&lt;$A$270,0,(AG34*$E$270)-SUM($M$270:AF270))</f>
        <v>0</v>
      </c>
      <c r="AH270" s="1057">
        <f>IF(SUM($O$32:AH32)&lt;$A$270,0,(AH34*$E$270)-SUM($M$270:AG270))</f>
        <v>0</v>
      </c>
      <c r="AI270" s="1057">
        <f>IF(SUM($O$32:AI32)&lt;$A$270,0,(AI34*$E$270)-SUM($M$270:AH270))</f>
        <v>0</v>
      </c>
      <c r="AJ270" s="1057">
        <f>IF(SUM($O$32:AJ32)&lt;$A$270,0,(AJ34*$E$270)-SUM($M$270:AI270))</f>
        <v>0</v>
      </c>
      <c r="AK270" s="1057">
        <f>IF(SUM($O$32:AK32)&lt;$A$270,0,(AK34*$E$270)-SUM($M$270:AJ270))</f>
        <v>0</v>
      </c>
      <c r="AL270" s="1057">
        <f>IF(SUM($O$32:AL32)&lt;$A$270,0,(AL34*$E$270)-SUM($M$270:AK270))</f>
        <v>0</v>
      </c>
      <c r="AM270" s="1057">
        <f>IF(SUM($O$32:AM32)&lt;$A$270,0,(AM34*$E$270)-SUM($M$270:AL270))</f>
        <v>0</v>
      </c>
      <c r="AN270" s="1057">
        <f>IF(SUM($O$32:AN32)&lt;$A$270,0,(AN34*$E$270)-SUM($M$270:AM270))</f>
        <v>0</v>
      </c>
      <c r="AO270" s="1057">
        <f>IF(SUM($O$32:AO32)&lt;$A$270,0,(AO34*$E$270)-SUM($M$270:AN270))</f>
        <v>0</v>
      </c>
      <c r="AP270" s="1057">
        <f>IF(SUM($O$32:AP32)&lt;$A$270,0,(AP34*$E$270)-SUM($M$270:AO270))</f>
        <v>0</v>
      </c>
      <c r="AQ270" s="1057">
        <f>IF(SUM($O$32:AQ32)&lt;$A$270,0,(AQ34*$E$270)-SUM($M$270:AP270))</f>
        <v>0</v>
      </c>
      <c r="AR270" s="1057">
        <f>IF(SUM($O$32:AR32)&lt;$A$270,0,(AR34*$E$270)-SUM($M$270:AQ270))</f>
        <v>0</v>
      </c>
      <c r="AS270" s="1057">
        <f>IF(SUM($O$32:AS32)&lt;$A$270,0,(AS34*$E$270)-SUM($M$270:AR270))</f>
        <v>0</v>
      </c>
      <c r="AT270" s="1057">
        <f>IF(SUM($O$32:AT32)&lt;$A$270,0,(AT34*$E$270)-SUM($M$270:AS270))</f>
        <v>0</v>
      </c>
      <c r="AU270" s="1057">
        <f>IF(SUM($O$32:AU32)&lt;$A$270,0,(AU34*$E$270)-SUM($M$270:AT270))</f>
        <v>0</v>
      </c>
      <c r="AV270" s="1057">
        <f>IF(SUM($O$32:AV32)&lt;$A$270,0,(AV34*$E$270)-SUM($M$270:AU270))</f>
        <v>0</v>
      </c>
      <c r="AW270" s="1057">
        <f>IF(SUM($O$32:AW32)&lt;$A$270,0,(AW34*$E$270)-SUM($M$270:AV270))</f>
        <v>0</v>
      </c>
      <c r="AX270" s="1057">
        <f>IF(SUM($O$32:AX32)&lt;$A$270,0,(AX34*$E$270)-SUM($M$270:AW270))</f>
        <v>0</v>
      </c>
      <c r="AY270" s="1057">
        <f>IF(SUM($O$32:AY32)&lt;$A$270,0,(AY34*$E$270)-SUM($M$270:AX270))</f>
        <v>0</v>
      </c>
      <c r="AZ270" s="1057">
        <f>IF(SUM($O$32:AZ32)&lt;$A$270,0,(AZ34*$E$270)-SUM($M$270:AY270))</f>
        <v>0</v>
      </c>
      <c r="BA270" s="1057">
        <f>IF(SUM($O$32:BA32)&lt;$A$270,0,(BA34*$E$270)-SUM($M$270:AZ270))</f>
        <v>0</v>
      </c>
      <c r="BB270" s="1057">
        <f>IF(SUM($O$32:BB32)&lt;$A$270,0,(BB34*$E$270)-SUM($M$270:BA270))</f>
        <v>0</v>
      </c>
      <c r="BC270" s="1057">
        <f>IF(SUM($O$32:BC32)&lt;$A$270,0,(BC34*$E$270)-SUM($M$270:BB270))</f>
        <v>0</v>
      </c>
      <c r="BD270" s="1057">
        <f>IF(SUM($O$32:BD32)&lt;$A$270,0,(BD34*$E$270)-SUM($M$270:BC270))</f>
        <v>0</v>
      </c>
      <c r="BE270" s="1057">
        <f>IF(SUM($O$32:BE32)&lt;$A$270,0,(BE34*$E$270)-SUM($M$270:BD270))</f>
        <v>0</v>
      </c>
      <c r="BF270" s="1057">
        <f>IF(SUM($O$32:BF32)&lt;$A$270,0,(BF34*$E$270)-SUM($M$270:BE270))</f>
        <v>0</v>
      </c>
      <c r="BG270" s="1057">
        <f>IF(SUM($O$32:BG32)&lt;$A$270,0,(BG34*$E$270)-SUM($M$270:BF270))</f>
        <v>0</v>
      </c>
      <c r="BH270" s="1057">
        <f>IF(SUM($O$32:BH32)&lt;$A$270,0,(BH34*$E$270)-SUM($M$270:BG270))</f>
        <v>0</v>
      </c>
      <c r="BI270" s="1057">
        <f>IF(SUM($O$32:BI32)&lt;$A$270,0,(BI34*$E$270)-SUM($M$270:BH270))</f>
        <v>0</v>
      </c>
      <c r="BJ270" s="1057">
        <f>IF(SUM($O$32:BJ32)&lt;$A$270,0,(BJ34*$E$270)-SUM($M$270:BI270))</f>
        <v>0</v>
      </c>
      <c r="BK270" s="1057">
        <f>IF(SUM($O$32:BK32)&lt;$A$270,0,(BK34*$E$270)-SUM($M$270:BJ270))</f>
        <v>0</v>
      </c>
      <c r="BL270" s="1057">
        <f>IF(SUM($O$32:BL32)&lt;$A$270,0,(BL34*$E$270)-SUM($M$270:BK270))</f>
        <v>0</v>
      </c>
      <c r="BM270" s="1057">
        <f>IF(SUM($O$32:BM32)&lt;$A$270,0,(BM34*$E$270)-SUM($M$270:BL270))</f>
        <v>0</v>
      </c>
      <c r="BN270" s="1057">
        <f>IF(SUM($O$32:BN32)&lt;$A$270,0,(BN34*$E$270)-SUM($M$270:BM270))</f>
        <v>0</v>
      </c>
      <c r="BO270" s="1057">
        <f>IF(SUM($O$32:BO32)&lt;$A$270,0,(BO34*$E$270)-SUM($M$270:BN270))</f>
        <v>0</v>
      </c>
      <c r="BP270" s="1057">
        <f>IF(SUM($O$32:BP32)&lt;$A$270,0,(BP34*$E$270)-SUM($M$270:BO270))</f>
        <v>0</v>
      </c>
      <c r="BQ270" s="1057">
        <f>IF(SUM($O$32:BQ32)&lt;$A$270,0,(BQ34*$E$270)-SUM($M$270:BP270))</f>
        <v>0</v>
      </c>
      <c r="BR270" s="1057">
        <f>IF(SUM($O$32:BR32)&lt;$A$270,0,(BR34*$E$270)-SUM($M$270:BQ270))</f>
        <v>0</v>
      </c>
      <c r="BS270" s="1057">
        <f>IF(SUM($O$32:BS32)&lt;$A$270,0,(BS34*$E$270)-SUM($M$270:BR270))</f>
        <v>0</v>
      </c>
      <c r="BT270" s="1057">
        <f>IF(SUM($O$32:BT32)&lt;$A$270,0,(BT34*$E$270)-SUM($M$270:BS270))</f>
        <v>0</v>
      </c>
      <c r="BU270" s="1057">
        <f>IF(SUM($O$32:BU32)&lt;$A$270,0,(BU34*$E$270)-SUM($M$270:BT270))</f>
        <v>0</v>
      </c>
      <c r="BV270" s="1057">
        <f>IF(SUM($O$32:BV32)&lt;$A$270,0,(BV34*$E$270)-SUM($M$270:BU270))</f>
        <v>0</v>
      </c>
      <c r="BW270" s="1057">
        <f>IF(SUM($O$32:BW32)&lt;$A$270,0,(BW34*$E$270)-SUM($M$270:BV270))</f>
        <v>0</v>
      </c>
      <c r="BX270" s="1057">
        <f>IF(SUM($O$32:BX32)&lt;$A$270,0,(BX34*$E$270)-SUM($M$270:BW270))</f>
        <v>0</v>
      </c>
      <c r="BY270" s="1067">
        <f t="shared" si="289"/>
        <v>6</v>
      </c>
      <c r="BZ270" s="1068">
        <f t="shared" si="322"/>
        <v>0</v>
      </c>
      <c r="CA270" s="1069" t="b">
        <f t="shared" si="323"/>
        <v>1</v>
      </c>
      <c r="CB270" s="1084"/>
    </row>
    <row r="271" spans="1:80" s="1082" customFormat="1">
      <c r="B271" s="1086" t="s">
        <v>1035</v>
      </c>
      <c r="C271" s="1902"/>
      <c r="D271" s="1060">
        <f>Equity!J13</f>
        <v>0.4</v>
      </c>
      <c r="E271" s="1061">
        <f>분양개요!$O$14*D271</f>
        <v>0</v>
      </c>
      <c r="F271" s="1062" t="b">
        <f t="shared" si="319"/>
        <v>1</v>
      </c>
      <c r="G271" s="1056"/>
      <c r="H271" s="1057"/>
      <c r="I271" s="1057"/>
      <c r="J271" s="1057"/>
      <c r="K271" s="1057">
        <f t="shared" ref="K271:AP271" si="324">IF(K7&gt;공사기간,$E$271*K263,0)</f>
        <v>0</v>
      </c>
      <c r="L271" s="1057">
        <f t="shared" si="324"/>
        <v>0</v>
      </c>
      <c r="M271" s="1057">
        <f t="shared" si="324"/>
        <v>0</v>
      </c>
      <c r="N271" s="1057">
        <f t="shared" si="324"/>
        <v>0</v>
      </c>
      <c r="O271" s="1057">
        <f t="shared" si="324"/>
        <v>0</v>
      </c>
      <c r="P271" s="1057">
        <f t="shared" si="324"/>
        <v>0</v>
      </c>
      <c r="Q271" s="1057">
        <f t="shared" si="324"/>
        <v>0</v>
      </c>
      <c r="R271" s="1057">
        <f t="shared" si="324"/>
        <v>0</v>
      </c>
      <c r="S271" s="1057">
        <f t="shared" si="324"/>
        <v>0</v>
      </c>
      <c r="T271" s="1057">
        <f t="shared" si="324"/>
        <v>0</v>
      </c>
      <c r="U271" s="1057">
        <f t="shared" si="324"/>
        <v>0</v>
      </c>
      <c r="V271" s="1057">
        <f t="shared" si="324"/>
        <v>0</v>
      </c>
      <c r="W271" s="1057">
        <f t="shared" si="324"/>
        <v>0</v>
      </c>
      <c r="X271" s="1057">
        <f t="shared" si="324"/>
        <v>0</v>
      </c>
      <c r="Y271" s="1057">
        <f t="shared" si="324"/>
        <v>0</v>
      </c>
      <c r="Z271" s="1057">
        <f t="shared" si="324"/>
        <v>0</v>
      </c>
      <c r="AA271" s="1057">
        <f t="shared" si="324"/>
        <v>0</v>
      </c>
      <c r="AB271" s="1057">
        <f t="shared" si="324"/>
        <v>0</v>
      </c>
      <c r="AC271" s="1057">
        <f t="shared" si="324"/>
        <v>0</v>
      </c>
      <c r="AD271" s="1057">
        <f t="shared" si="324"/>
        <v>0</v>
      </c>
      <c r="AE271" s="1057">
        <f t="shared" si="324"/>
        <v>0</v>
      </c>
      <c r="AF271" s="1057">
        <f t="shared" si="324"/>
        <v>0</v>
      </c>
      <c r="AG271" s="1057">
        <f t="shared" si="324"/>
        <v>0</v>
      </c>
      <c r="AH271" s="1057">
        <f t="shared" si="324"/>
        <v>0</v>
      </c>
      <c r="AI271" s="1057">
        <f t="shared" si="324"/>
        <v>0</v>
      </c>
      <c r="AJ271" s="1057">
        <f t="shared" si="324"/>
        <v>0</v>
      </c>
      <c r="AK271" s="1057">
        <f t="shared" si="324"/>
        <v>0</v>
      </c>
      <c r="AL271" s="1057">
        <f t="shared" si="324"/>
        <v>0</v>
      </c>
      <c r="AM271" s="1057">
        <f t="shared" si="324"/>
        <v>0</v>
      </c>
      <c r="AN271" s="1057">
        <f t="shared" si="324"/>
        <v>0</v>
      </c>
      <c r="AO271" s="1057">
        <f t="shared" si="324"/>
        <v>0</v>
      </c>
      <c r="AP271" s="1057">
        <f t="shared" si="324"/>
        <v>0</v>
      </c>
      <c r="AQ271" s="1057">
        <f t="shared" ref="AQ271:BX271" si="325">IF(AQ7&gt;공사기간,$E$271*AQ263,0)</f>
        <v>0</v>
      </c>
      <c r="AR271" s="1057">
        <f t="shared" si="325"/>
        <v>0</v>
      </c>
      <c r="AS271" s="1057">
        <f t="shared" si="325"/>
        <v>0</v>
      </c>
      <c r="AT271" s="1057">
        <f t="shared" si="325"/>
        <v>0</v>
      </c>
      <c r="AU271" s="1057">
        <f t="shared" si="325"/>
        <v>0</v>
      </c>
      <c r="AV271" s="1057">
        <f t="shared" si="325"/>
        <v>0</v>
      </c>
      <c r="AW271" s="1057">
        <f t="shared" si="325"/>
        <v>0</v>
      </c>
      <c r="AX271" s="1057">
        <f t="shared" si="325"/>
        <v>0</v>
      </c>
      <c r="AY271" s="1057">
        <f t="shared" si="325"/>
        <v>0</v>
      </c>
      <c r="AZ271" s="1057">
        <f t="shared" si="325"/>
        <v>0</v>
      </c>
      <c r="BA271" s="1057">
        <f t="shared" si="325"/>
        <v>0</v>
      </c>
      <c r="BB271" s="1057">
        <f t="shared" si="325"/>
        <v>0</v>
      </c>
      <c r="BC271" s="1057">
        <f t="shared" si="325"/>
        <v>0</v>
      </c>
      <c r="BD271" s="1057">
        <f t="shared" si="325"/>
        <v>0</v>
      </c>
      <c r="BE271" s="1057">
        <f t="shared" si="325"/>
        <v>0</v>
      </c>
      <c r="BF271" s="1057">
        <f t="shared" si="325"/>
        <v>0</v>
      </c>
      <c r="BG271" s="1057">
        <f t="shared" si="325"/>
        <v>0</v>
      </c>
      <c r="BH271" s="1057">
        <f t="shared" si="325"/>
        <v>0</v>
      </c>
      <c r="BI271" s="1057">
        <f t="shared" si="325"/>
        <v>0</v>
      </c>
      <c r="BJ271" s="1057">
        <f t="shared" si="325"/>
        <v>0</v>
      </c>
      <c r="BK271" s="1057">
        <f t="shared" si="325"/>
        <v>0</v>
      </c>
      <c r="BL271" s="1057">
        <f t="shared" si="325"/>
        <v>0</v>
      </c>
      <c r="BM271" s="1057">
        <f t="shared" si="325"/>
        <v>0</v>
      </c>
      <c r="BN271" s="1057">
        <f t="shared" si="325"/>
        <v>0</v>
      </c>
      <c r="BO271" s="1057">
        <f t="shared" si="325"/>
        <v>0</v>
      </c>
      <c r="BP271" s="1057">
        <f t="shared" si="325"/>
        <v>0</v>
      </c>
      <c r="BQ271" s="1057">
        <f t="shared" si="325"/>
        <v>0</v>
      </c>
      <c r="BR271" s="1057">
        <f t="shared" si="325"/>
        <v>0</v>
      </c>
      <c r="BS271" s="1057">
        <f t="shared" si="325"/>
        <v>0</v>
      </c>
      <c r="BT271" s="1057">
        <f t="shared" si="325"/>
        <v>0</v>
      </c>
      <c r="BU271" s="1057">
        <f t="shared" si="325"/>
        <v>0</v>
      </c>
      <c r="BV271" s="1057">
        <f t="shared" si="325"/>
        <v>0</v>
      </c>
      <c r="BW271" s="1057">
        <f t="shared" si="325"/>
        <v>0</v>
      </c>
      <c r="BX271" s="1057">
        <f t="shared" si="325"/>
        <v>0</v>
      </c>
      <c r="BY271" s="1074" t="str">
        <f t="shared" si="289"/>
        <v>잔금</v>
      </c>
      <c r="BZ271" s="1068">
        <f t="shared" si="322"/>
        <v>0</v>
      </c>
      <c r="CA271" s="1069" t="b">
        <f t="shared" si="323"/>
        <v>1</v>
      </c>
      <c r="CB271" s="1084"/>
    </row>
    <row r="272" spans="1:80" s="1082" customFormat="1">
      <c r="B272" s="1085" t="s">
        <v>126</v>
      </c>
      <c r="C272" s="1901"/>
      <c r="D272" s="1060">
        <f>SUM(D264:D271)</f>
        <v>1</v>
      </c>
      <c r="E272" s="1061">
        <f>SUM(E264:E271)</f>
        <v>0</v>
      </c>
      <c r="F272" s="1062" t="b">
        <f t="shared" si="319"/>
        <v>1</v>
      </c>
      <c r="G272" s="1056">
        <f t="shared" ref="G272:BR272" si="326">SUM(G264:G271)</f>
        <v>0</v>
      </c>
      <c r="H272" s="1056">
        <f t="shared" si="326"/>
        <v>0</v>
      </c>
      <c r="I272" s="1056">
        <f t="shared" si="326"/>
        <v>0</v>
      </c>
      <c r="J272" s="1056">
        <f t="shared" si="326"/>
        <v>0</v>
      </c>
      <c r="K272" s="1056">
        <f t="shared" si="326"/>
        <v>0</v>
      </c>
      <c r="L272" s="1056">
        <f t="shared" si="326"/>
        <v>0</v>
      </c>
      <c r="M272" s="1056">
        <f t="shared" si="326"/>
        <v>0</v>
      </c>
      <c r="N272" s="1056">
        <f t="shared" si="326"/>
        <v>0</v>
      </c>
      <c r="O272" s="1056">
        <f t="shared" si="326"/>
        <v>0</v>
      </c>
      <c r="P272" s="1056">
        <f t="shared" si="326"/>
        <v>0</v>
      </c>
      <c r="Q272" s="1056">
        <f t="shared" si="326"/>
        <v>0</v>
      </c>
      <c r="R272" s="1056">
        <f t="shared" si="326"/>
        <v>0</v>
      </c>
      <c r="S272" s="1056">
        <f t="shared" si="326"/>
        <v>0</v>
      </c>
      <c r="T272" s="1056">
        <f t="shared" si="326"/>
        <v>0</v>
      </c>
      <c r="U272" s="1056">
        <f t="shared" si="326"/>
        <v>0</v>
      </c>
      <c r="V272" s="1056">
        <f t="shared" si="326"/>
        <v>0</v>
      </c>
      <c r="W272" s="1056">
        <f t="shared" si="326"/>
        <v>0</v>
      </c>
      <c r="X272" s="1056">
        <f t="shared" si="326"/>
        <v>0</v>
      </c>
      <c r="Y272" s="1056">
        <f t="shared" si="326"/>
        <v>0</v>
      </c>
      <c r="Z272" s="1056">
        <f t="shared" si="326"/>
        <v>0</v>
      </c>
      <c r="AA272" s="1056">
        <f t="shared" si="326"/>
        <v>0</v>
      </c>
      <c r="AB272" s="1056">
        <f t="shared" si="326"/>
        <v>0</v>
      </c>
      <c r="AC272" s="1056">
        <f t="shared" si="326"/>
        <v>0</v>
      </c>
      <c r="AD272" s="1056">
        <f t="shared" si="326"/>
        <v>0</v>
      </c>
      <c r="AE272" s="1056">
        <f t="shared" si="326"/>
        <v>0</v>
      </c>
      <c r="AF272" s="1056">
        <f t="shared" si="326"/>
        <v>0</v>
      </c>
      <c r="AG272" s="1056">
        <f t="shared" si="326"/>
        <v>0</v>
      </c>
      <c r="AH272" s="1056">
        <f t="shared" si="326"/>
        <v>0</v>
      </c>
      <c r="AI272" s="1056">
        <f t="shared" si="326"/>
        <v>0</v>
      </c>
      <c r="AJ272" s="1056">
        <f t="shared" si="326"/>
        <v>0</v>
      </c>
      <c r="AK272" s="1056">
        <f t="shared" si="326"/>
        <v>0</v>
      </c>
      <c r="AL272" s="1056">
        <f t="shared" si="326"/>
        <v>0</v>
      </c>
      <c r="AM272" s="1056">
        <f t="shared" si="326"/>
        <v>0</v>
      </c>
      <c r="AN272" s="1056">
        <f t="shared" si="326"/>
        <v>0</v>
      </c>
      <c r="AO272" s="1056">
        <f t="shared" si="326"/>
        <v>0</v>
      </c>
      <c r="AP272" s="1056">
        <f t="shared" si="326"/>
        <v>0</v>
      </c>
      <c r="AQ272" s="1056">
        <f t="shared" si="326"/>
        <v>0</v>
      </c>
      <c r="AR272" s="1056">
        <f t="shared" si="326"/>
        <v>0</v>
      </c>
      <c r="AS272" s="1056">
        <f t="shared" si="326"/>
        <v>0</v>
      </c>
      <c r="AT272" s="1056">
        <f t="shared" si="326"/>
        <v>0</v>
      </c>
      <c r="AU272" s="1056">
        <f t="shared" si="326"/>
        <v>0</v>
      </c>
      <c r="AV272" s="1056">
        <f t="shared" si="326"/>
        <v>0</v>
      </c>
      <c r="AW272" s="1056">
        <f t="shared" si="326"/>
        <v>0</v>
      </c>
      <c r="AX272" s="1056">
        <f t="shared" si="326"/>
        <v>0</v>
      </c>
      <c r="AY272" s="1056">
        <f t="shared" si="326"/>
        <v>0</v>
      </c>
      <c r="AZ272" s="1056">
        <f t="shared" si="326"/>
        <v>0</v>
      </c>
      <c r="BA272" s="1056">
        <f t="shared" si="326"/>
        <v>0</v>
      </c>
      <c r="BB272" s="1056">
        <f t="shared" si="326"/>
        <v>0</v>
      </c>
      <c r="BC272" s="1056">
        <f t="shared" si="326"/>
        <v>0</v>
      </c>
      <c r="BD272" s="1056">
        <f t="shared" si="326"/>
        <v>0</v>
      </c>
      <c r="BE272" s="1056">
        <f t="shared" si="326"/>
        <v>0</v>
      </c>
      <c r="BF272" s="1056">
        <f t="shared" si="326"/>
        <v>0</v>
      </c>
      <c r="BG272" s="1056">
        <f t="shared" si="326"/>
        <v>0</v>
      </c>
      <c r="BH272" s="1056">
        <f t="shared" si="326"/>
        <v>0</v>
      </c>
      <c r="BI272" s="1056">
        <f t="shared" si="326"/>
        <v>0</v>
      </c>
      <c r="BJ272" s="1056">
        <f t="shared" si="326"/>
        <v>0</v>
      </c>
      <c r="BK272" s="1056">
        <f t="shared" si="326"/>
        <v>0</v>
      </c>
      <c r="BL272" s="1056">
        <f t="shared" si="326"/>
        <v>0</v>
      </c>
      <c r="BM272" s="1056">
        <f t="shared" si="326"/>
        <v>0</v>
      </c>
      <c r="BN272" s="1056">
        <f t="shared" si="326"/>
        <v>0</v>
      </c>
      <c r="BO272" s="1056">
        <f t="shared" si="326"/>
        <v>0</v>
      </c>
      <c r="BP272" s="1056">
        <f t="shared" si="326"/>
        <v>0</v>
      </c>
      <c r="BQ272" s="1056">
        <f t="shared" si="326"/>
        <v>0</v>
      </c>
      <c r="BR272" s="1056">
        <f t="shared" si="326"/>
        <v>0</v>
      </c>
      <c r="BS272" s="1056">
        <f t="shared" ref="BS272:BU272" si="327">SUM(BS264:BS271)</f>
        <v>0</v>
      </c>
      <c r="BT272" s="1056">
        <f t="shared" si="327"/>
        <v>0</v>
      </c>
      <c r="BU272" s="1056">
        <f t="shared" si="327"/>
        <v>0</v>
      </c>
      <c r="BV272" s="1056">
        <f t="shared" ref="BV272" si="328">SUM(BV264:BV271)</f>
        <v>0</v>
      </c>
      <c r="BW272" s="1056">
        <f t="shared" ref="BW272:BX272" si="329">SUM(BW264:BW271)</f>
        <v>0</v>
      </c>
      <c r="BX272" s="1056">
        <f t="shared" si="329"/>
        <v>0</v>
      </c>
      <c r="BY272" s="1079" t="str">
        <f t="shared" si="289"/>
        <v>합계</v>
      </c>
      <c r="BZ272" s="1080">
        <f t="shared" si="322"/>
        <v>0</v>
      </c>
      <c r="CA272" s="1087" t="b">
        <f t="shared" si="323"/>
        <v>1</v>
      </c>
      <c r="CB272" s="1084"/>
    </row>
    <row r="273" spans="2:83" s="1082" customFormat="1">
      <c r="B273" s="2372" t="str">
        <f>Equity!G14</f>
        <v>발코니확장비</v>
      </c>
      <c r="C273" s="2373"/>
      <c r="D273" s="2373"/>
      <c r="E273" s="2374"/>
      <c r="F273" s="1062"/>
      <c r="G273" s="1056"/>
      <c r="H273" s="1057"/>
      <c r="I273" s="1057"/>
      <c r="J273" s="1057"/>
      <c r="K273" s="1057"/>
      <c r="L273" s="1057"/>
      <c r="M273" s="1057"/>
      <c r="N273" s="1057"/>
      <c r="O273" s="1057"/>
      <c r="P273" s="1057"/>
      <c r="Q273" s="1057"/>
      <c r="R273" s="1057"/>
      <c r="S273" s="1057"/>
      <c r="T273" s="1057"/>
      <c r="U273" s="1057"/>
      <c r="V273" s="1057"/>
      <c r="W273" s="1057"/>
      <c r="X273" s="1057"/>
      <c r="Y273" s="1057"/>
      <c r="Z273" s="1057"/>
      <c r="AA273" s="1057"/>
      <c r="AB273" s="1057"/>
      <c r="AC273" s="1057"/>
      <c r="AD273" s="1057"/>
      <c r="AE273" s="1057"/>
      <c r="AF273" s="1057"/>
      <c r="AG273" s="1057"/>
      <c r="AH273" s="1057"/>
      <c r="AI273" s="1057"/>
      <c r="AJ273" s="1057"/>
      <c r="AK273" s="1057"/>
      <c r="AL273" s="1057"/>
      <c r="AM273" s="1057"/>
      <c r="AN273" s="1057"/>
      <c r="AO273" s="1057"/>
      <c r="AP273" s="1057"/>
      <c r="AQ273" s="1057"/>
      <c r="AR273" s="1057"/>
      <c r="AS273" s="1057"/>
      <c r="AT273" s="1057"/>
      <c r="AU273" s="1057"/>
      <c r="AV273" s="1057"/>
      <c r="AW273" s="1057"/>
      <c r="AX273" s="1057"/>
      <c r="AY273" s="1057"/>
      <c r="AZ273" s="1057"/>
      <c r="BA273" s="1057"/>
      <c r="BB273" s="1057"/>
      <c r="BC273" s="1057"/>
      <c r="BD273" s="1057"/>
      <c r="BE273" s="1057"/>
      <c r="BF273" s="1057"/>
      <c r="BG273" s="1057"/>
      <c r="BH273" s="1057"/>
      <c r="BI273" s="1057"/>
      <c r="BJ273" s="1057"/>
      <c r="BK273" s="1057"/>
      <c r="BL273" s="1057"/>
      <c r="BM273" s="1057"/>
      <c r="BN273" s="1057"/>
      <c r="BO273" s="1057"/>
      <c r="BP273" s="1057"/>
      <c r="BQ273" s="1057"/>
      <c r="BR273" s="1057"/>
      <c r="BS273" s="1057"/>
      <c r="BT273" s="1057"/>
      <c r="BU273" s="1057"/>
      <c r="BV273" s="1917">
        <f>비용집행계획!BQ8</f>
        <v>0.1</v>
      </c>
      <c r="BW273" s="1917">
        <f>비용집행계획!BR8</f>
        <v>0.2</v>
      </c>
      <c r="BX273" s="1917">
        <f>비용집행계획!BS8</f>
        <v>0.7</v>
      </c>
      <c r="BY273" s="2372" t="str">
        <f t="shared" si="289"/>
        <v>발코니확장비</v>
      </c>
      <c r="BZ273" s="2373"/>
      <c r="CA273" s="1083"/>
      <c r="CB273" s="1084"/>
    </row>
    <row r="274" spans="2:83" s="1082" customFormat="1">
      <c r="B274" s="1085" t="s">
        <v>120</v>
      </c>
      <c r="C274" s="1901"/>
      <c r="D274" s="1060">
        <f>Equity!H14</f>
        <v>0.1</v>
      </c>
      <c r="E274" s="1061">
        <f>분양개요!$O$15*D274</f>
        <v>439201.97640000004</v>
      </c>
      <c r="F274" s="1062" t="b">
        <f>CA274</f>
        <v>1</v>
      </c>
      <c r="G274" s="1056"/>
      <c r="H274" s="1057"/>
      <c r="I274" s="1057"/>
      <c r="J274" s="1057"/>
      <c r="K274" s="1057">
        <f t="shared" ref="K274:AP274" si="330">$E$274*K12</f>
        <v>0</v>
      </c>
      <c r="L274" s="1057">
        <f t="shared" si="330"/>
        <v>0</v>
      </c>
      <c r="M274" s="1057">
        <f t="shared" si="330"/>
        <v>0</v>
      </c>
      <c r="N274" s="1057">
        <f t="shared" si="330"/>
        <v>87840.395280000012</v>
      </c>
      <c r="O274" s="1057">
        <f t="shared" si="330"/>
        <v>65880.296459999998</v>
      </c>
      <c r="P274" s="1057">
        <f t="shared" si="330"/>
        <v>52704.237168</v>
      </c>
      <c r="Q274" s="1057">
        <f t="shared" si="330"/>
        <v>43920.197640000006</v>
      </c>
      <c r="R274" s="1057">
        <f t="shared" si="330"/>
        <v>35136.158112000005</v>
      </c>
      <c r="S274" s="1057">
        <f t="shared" si="330"/>
        <v>30744.138348000008</v>
      </c>
      <c r="T274" s="1057">
        <f t="shared" si="330"/>
        <v>26352.118584</v>
      </c>
      <c r="U274" s="1057">
        <f t="shared" si="330"/>
        <v>21960.098820000003</v>
      </c>
      <c r="V274" s="1057">
        <f t="shared" si="330"/>
        <v>21960.098820000003</v>
      </c>
      <c r="W274" s="1057">
        <f t="shared" si="330"/>
        <v>17568.079056000002</v>
      </c>
      <c r="X274" s="1057">
        <f t="shared" si="330"/>
        <v>17568.079056000002</v>
      </c>
      <c r="Y274" s="1057">
        <f t="shared" si="330"/>
        <v>17568.079056000002</v>
      </c>
      <c r="Z274" s="1057">
        <f t="shared" si="330"/>
        <v>0</v>
      </c>
      <c r="AA274" s="1057">
        <f t="shared" si="330"/>
        <v>0</v>
      </c>
      <c r="AB274" s="1057">
        <f t="shared" si="330"/>
        <v>0</v>
      </c>
      <c r="AC274" s="1057">
        <f t="shared" si="330"/>
        <v>0</v>
      </c>
      <c r="AD274" s="1057">
        <f t="shared" si="330"/>
        <v>0</v>
      </c>
      <c r="AE274" s="1057">
        <f t="shared" si="330"/>
        <v>0</v>
      </c>
      <c r="AF274" s="1057">
        <f t="shared" si="330"/>
        <v>0</v>
      </c>
      <c r="AG274" s="1057">
        <f t="shared" si="330"/>
        <v>0</v>
      </c>
      <c r="AH274" s="1057">
        <f t="shared" si="330"/>
        <v>0</v>
      </c>
      <c r="AI274" s="1057">
        <f t="shared" si="330"/>
        <v>0</v>
      </c>
      <c r="AJ274" s="1057">
        <f t="shared" si="330"/>
        <v>0</v>
      </c>
      <c r="AK274" s="1057">
        <f t="shared" si="330"/>
        <v>0</v>
      </c>
      <c r="AL274" s="1057">
        <f t="shared" si="330"/>
        <v>0</v>
      </c>
      <c r="AM274" s="1057">
        <f t="shared" si="330"/>
        <v>0</v>
      </c>
      <c r="AN274" s="1057">
        <f t="shared" si="330"/>
        <v>0</v>
      </c>
      <c r="AO274" s="1057">
        <f t="shared" si="330"/>
        <v>0</v>
      </c>
      <c r="AP274" s="1057">
        <f t="shared" si="330"/>
        <v>0</v>
      </c>
      <c r="AQ274" s="1057">
        <f t="shared" ref="AQ274:BX274" si="331">$E$274*AQ12</f>
        <v>0</v>
      </c>
      <c r="AR274" s="1057">
        <f t="shared" si="331"/>
        <v>0</v>
      </c>
      <c r="AS274" s="1057">
        <f t="shared" si="331"/>
        <v>0</v>
      </c>
      <c r="AT274" s="1057">
        <f t="shared" si="331"/>
        <v>0</v>
      </c>
      <c r="AU274" s="1057">
        <f t="shared" si="331"/>
        <v>0</v>
      </c>
      <c r="AV274" s="1057">
        <f t="shared" si="331"/>
        <v>0</v>
      </c>
      <c r="AW274" s="1057">
        <f t="shared" si="331"/>
        <v>0</v>
      </c>
      <c r="AX274" s="1057">
        <f t="shared" si="331"/>
        <v>0</v>
      </c>
      <c r="AY274" s="1057">
        <f t="shared" si="331"/>
        <v>0</v>
      </c>
      <c r="AZ274" s="1057">
        <f t="shared" si="331"/>
        <v>0</v>
      </c>
      <c r="BA274" s="1057">
        <f t="shared" si="331"/>
        <v>0</v>
      </c>
      <c r="BB274" s="1057">
        <f t="shared" si="331"/>
        <v>0</v>
      </c>
      <c r="BC274" s="1057">
        <f t="shared" si="331"/>
        <v>0</v>
      </c>
      <c r="BD274" s="1057">
        <f t="shared" si="331"/>
        <v>0</v>
      </c>
      <c r="BE274" s="1057">
        <f t="shared" si="331"/>
        <v>0</v>
      </c>
      <c r="BF274" s="1057">
        <f t="shared" si="331"/>
        <v>0</v>
      </c>
      <c r="BG274" s="1057">
        <f t="shared" si="331"/>
        <v>0</v>
      </c>
      <c r="BH274" s="1057">
        <f t="shared" si="331"/>
        <v>0</v>
      </c>
      <c r="BI274" s="1057">
        <f t="shared" si="331"/>
        <v>0</v>
      </c>
      <c r="BJ274" s="1057">
        <f t="shared" si="331"/>
        <v>0</v>
      </c>
      <c r="BK274" s="1057">
        <f t="shared" si="331"/>
        <v>0</v>
      </c>
      <c r="BL274" s="1057">
        <f t="shared" si="331"/>
        <v>0</v>
      </c>
      <c r="BM274" s="1057">
        <f t="shared" si="331"/>
        <v>0</v>
      </c>
      <c r="BN274" s="1057">
        <f t="shared" si="331"/>
        <v>0</v>
      </c>
      <c r="BO274" s="1057">
        <f t="shared" si="331"/>
        <v>0</v>
      </c>
      <c r="BP274" s="1057">
        <f t="shared" si="331"/>
        <v>0</v>
      </c>
      <c r="BQ274" s="1057">
        <f t="shared" si="331"/>
        <v>0</v>
      </c>
      <c r="BR274" s="1057">
        <f t="shared" si="331"/>
        <v>0</v>
      </c>
      <c r="BS274" s="1057">
        <f t="shared" si="331"/>
        <v>0</v>
      </c>
      <c r="BT274" s="1057">
        <f t="shared" si="331"/>
        <v>0</v>
      </c>
      <c r="BU274" s="1057">
        <f t="shared" si="331"/>
        <v>0</v>
      </c>
      <c r="BV274" s="1057">
        <f t="shared" si="331"/>
        <v>0</v>
      </c>
      <c r="BW274" s="1057">
        <f t="shared" si="331"/>
        <v>0</v>
      </c>
      <c r="BX274" s="1057">
        <f t="shared" si="331"/>
        <v>0</v>
      </c>
      <c r="BY274" s="1064" t="str">
        <f t="shared" si="289"/>
        <v>계약금</v>
      </c>
      <c r="BZ274" s="1065">
        <f>SUM(G274:BX274)</f>
        <v>439201.97639999999</v>
      </c>
      <c r="CA274" s="1066" t="b">
        <f>ROUND(BZ274,0)=ROUND(E274,0)</f>
        <v>1</v>
      </c>
      <c r="CB274" s="1084"/>
    </row>
    <row r="275" spans="2:83" s="1082" customFormat="1">
      <c r="B275" s="1086" t="s">
        <v>1035</v>
      </c>
      <c r="C275" s="1902"/>
      <c r="D275" s="1060">
        <f>Equity!J14</f>
        <v>0.9</v>
      </c>
      <c r="E275" s="1061">
        <f>분양개요!$O$15*D275</f>
        <v>3952817.7876000004</v>
      </c>
      <c r="F275" s="1062" t="b">
        <f>CA275</f>
        <v>1</v>
      </c>
      <c r="G275" s="1056"/>
      <c r="H275" s="1057"/>
      <c r="I275" s="1057"/>
      <c r="J275" s="1057"/>
      <c r="K275" s="1057">
        <f t="shared" ref="K275:AP275" si="332">IF(K7&gt;공사기간,$E$275*K273,0)</f>
        <v>0</v>
      </c>
      <c r="L275" s="1057">
        <f t="shared" si="332"/>
        <v>0</v>
      </c>
      <c r="M275" s="1057">
        <f t="shared" si="332"/>
        <v>0</v>
      </c>
      <c r="N275" s="1057">
        <f t="shared" si="332"/>
        <v>0</v>
      </c>
      <c r="O275" s="1057">
        <f t="shared" si="332"/>
        <v>0</v>
      </c>
      <c r="P275" s="1057">
        <f t="shared" si="332"/>
        <v>0</v>
      </c>
      <c r="Q275" s="1057">
        <f t="shared" si="332"/>
        <v>0</v>
      </c>
      <c r="R275" s="1057">
        <f t="shared" si="332"/>
        <v>0</v>
      </c>
      <c r="S275" s="1057">
        <f t="shared" si="332"/>
        <v>0</v>
      </c>
      <c r="T275" s="1057">
        <f t="shared" si="332"/>
        <v>0</v>
      </c>
      <c r="U275" s="1057">
        <f t="shared" si="332"/>
        <v>0</v>
      </c>
      <c r="V275" s="1057">
        <f t="shared" si="332"/>
        <v>0</v>
      </c>
      <c r="W275" s="1057">
        <f t="shared" si="332"/>
        <v>0</v>
      </c>
      <c r="X275" s="1057">
        <f t="shared" si="332"/>
        <v>0</v>
      </c>
      <c r="Y275" s="1057">
        <f t="shared" si="332"/>
        <v>0</v>
      </c>
      <c r="Z275" s="1057">
        <f t="shared" si="332"/>
        <v>0</v>
      </c>
      <c r="AA275" s="1057">
        <f t="shared" si="332"/>
        <v>0</v>
      </c>
      <c r="AB275" s="1057">
        <f t="shared" si="332"/>
        <v>0</v>
      </c>
      <c r="AC275" s="1057">
        <f t="shared" si="332"/>
        <v>0</v>
      </c>
      <c r="AD275" s="1057">
        <f t="shared" si="332"/>
        <v>0</v>
      </c>
      <c r="AE275" s="1057">
        <f t="shared" si="332"/>
        <v>0</v>
      </c>
      <c r="AF275" s="1057">
        <f t="shared" si="332"/>
        <v>0</v>
      </c>
      <c r="AG275" s="1057">
        <f t="shared" si="332"/>
        <v>0</v>
      </c>
      <c r="AH275" s="1057">
        <f t="shared" si="332"/>
        <v>0</v>
      </c>
      <c r="AI275" s="1057">
        <f t="shared" si="332"/>
        <v>0</v>
      </c>
      <c r="AJ275" s="1057">
        <f t="shared" si="332"/>
        <v>0</v>
      </c>
      <c r="AK275" s="1057">
        <f t="shared" si="332"/>
        <v>0</v>
      </c>
      <c r="AL275" s="1057">
        <f t="shared" si="332"/>
        <v>0</v>
      </c>
      <c r="AM275" s="1057">
        <f t="shared" si="332"/>
        <v>0</v>
      </c>
      <c r="AN275" s="1057">
        <f t="shared" si="332"/>
        <v>0</v>
      </c>
      <c r="AO275" s="1057">
        <f t="shared" si="332"/>
        <v>0</v>
      </c>
      <c r="AP275" s="1057">
        <f t="shared" si="332"/>
        <v>0</v>
      </c>
      <c r="AQ275" s="1057">
        <f t="shared" ref="AQ275:BX275" si="333">IF(AQ7&gt;공사기간,$E$275*AQ273,0)</f>
        <v>0</v>
      </c>
      <c r="AR275" s="1057">
        <f t="shared" si="333"/>
        <v>0</v>
      </c>
      <c r="AS275" s="1057">
        <f t="shared" si="333"/>
        <v>0</v>
      </c>
      <c r="AT275" s="1057">
        <f t="shared" si="333"/>
        <v>0</v>
      </c>
      <c r="AU275" s="1057">
        <f t="shared" si="333"/>
        <v>0</v>
      </c>
      <c r="AV275" s="1057">
        <f t="shared" si="333"/>
        <v>0</v>
      </c>
      <c r="AW275" s="1057">
        <f t="shared" si="333"/>
        <v>0</v>
      </c>
      <c r="AX275" s="1057">
        <f t="shared" si="333"/>
        <v>0</v>
      </c>
      <c r="AY275" s="1057">
        <f t="shared" si="333"/>
        <v>0</v>
      </c>
      <c r="AZ275" s="1057">
        <f t="shared" si="333"/>
        <v>0</v>
      </c>
      <c r="BA275" s="1057">
        <f t="shared" si="333"/>
        <v>0</v>
      </c>
      <c r="BB275" s="1057">
        <f t="shared" si="333"/>
        <v>0</v>
      </c>
      <c r="BC275" s="1057">
        <f t="shared" si="333"/>
        <v>0</v>
      </c>
      <c r="BD275" s="1057">
        <f t="shared" si="333"/>
        <v>0</v>
      </c>
      <c r="BE275" s="1057">
        <f t="shared" si="333"/>
        <v>0</v>
      </c>
      <c r="BF275" s="1057">
        <f t="shared" si="333"/>
        <v>0</v>
      </c>
      <c r="BG275" s="1057">
        <f t="shared" si="333"/>
        <v>0</v>
      </c>
      <c r="BH275" s="1057">
        <f t="shared" si="333"/>
        <v>0</v>
      </c>
      <c r="BI275" s="1057">
        <f t="shared" si="333"/>
        <v>0</v>
      </c>
      <c r="BJ275" s="1057">
        <f t="shared" si="333"/>
        <v>0</v>
      </c>
      <c r="BK275" s="1057">
        <f t="shared" si="333"/>
        <v>0</v>
      </c>
      <c r="BL275" s="1057">
        <f t="shared" si="333"/>
        <v>0</v>
      </c>
      <c r="BM275" s="1057">
        <f t="shared" si="333"/>
        <v>0</v>
      </c>
      <c r="BN275" s="1057">
        <f t="shared" si="333"/>
        <v>0</v>
      </c>
      <c r="BO275" s="1057">
        <f t="shared" si="333"/>
        <v>0</v>
      </c>
      <c r="BP275" s="1057">
        <f t="shared" si="333"/>
        <v>0</v>
      </c>
      <c r="BQ275" s="1057">
        <f t="shared" si="333"/>
        <v>0</v>
      </c>
      <c r="BR275" s="1057">
        <f t="shared" si="333"/>
        <v>0</v>
      </c>
      <c r="BS275" s="1057">
        <f t="shared" si="333"/>
        <v>0</v>
      </c>
      <c r="BT275" s="1057">
        <f t="shared" si="333"/>
        <v>0</v>
      </c>
      <c r="BU275" s="1057">
        <f t="shared" si="333"/>
        <v>0</v>
      </c>
      <c r="BV275" s="1057">
        <f t="shared" si="333"/>
        <v>395281.77876000007</v>
      </c>
      <c r="BW275" s="1057">
        <f t="shared" si="333"/>
        <v>790563.55752000015</v>
      </c>
      <c r="BX275" s="1057">
        <f t="shared" si="333"/>
        <v>2766972.45132</v>
      </c>
      <c r="BY275" s="1074" t="str">
        <f t="shared" si="289"/>
        <v>잔금</v>
      </c>
      <c r="BZ275" s="1068">
        <f>SUM(G275:BX275)</f>
        <v>3952817.7876000004</v>
      </c>
      <c r="CA275" s="1069" t="b">
        <f>ROUND(BZ275,0)=ROUND(E275,0)</f>
        <v>1</v>
      </c>
      <c r="CB275" s="1084"/>
    </row>
    <row r="276" spans="2:83" s="1082" customFormat="1">
      <c r="B276" s="1085" t="s">
        <v>126</v>
      </c>
      <c r="C276" s="1901"/>
      <c r="D276" s="1060">
        <f>SUM(D274:D275)</f>
        <v>1</v>
      </c>
      <c r="E276" s="1061">
        <f>SUM(E274:E275)</f>
        <v>4392019.7640000004</v>
      </c>
      <c r="F276" s="1062" t="b">
        <f>CA276</f>
        <v>1</v>
      </c>
      <c r="G276" s="1056">
        <f t="shared" ref="G276:BR276" si="334">SUM(G274:G275)</f>
        <v>0</v>
      </c>
      <c r="H276" s="1056">
        <f t="shared" si="334"/>
        <v>0</v>
      </c>
      <c r="I276" s="1056">
        <f t="shared" si="334"/>
        <v>0</v>
      </c>
      <c r="J276" s="1056">
        <f t="shared" si="334"/>
        <v>0</v>
      </c>
      <c r="K276" s="1056">
        <f t="shared" si="334"/>
        <v>0</v>
      </c>
      <c r="L276" s="1056">
        <f t="shared" si="334"/>
        <v>0</v>
      </c>
      <c r="M276" s="1056">
        <f t="shared" si="334"/>
        <v>0</v>
      </c>
      <c r="N276" s="1056">
        <f t="shared" si="334"/>
        <v>87840.395280000012</v>
      </c>
      <c r="O276" s="1056">
        <f t="shared" si="334"/>
        <v>65880.296459999998</v>
      </c>
      <c r="P276" s="1056">
        <f t="shared" si="334"/>
        <v>52704.237168</v>
      </c>
      <c r="Q276" s="1056">
        <f t="shared" si="334"/>
        <v>43920.197640000006</v>
      </c>
      <c r="R276" s="1056">
        <f t="shared" si="334"/>
        <v>35136.158112000005</v>
      </c>
      <c r="S276" s="1056">
        <f t="shared" si="334"/>
        <v>30744.138348000008</v>
      </c>
      <c r="T276" s="1056">
        <f t="shared" si="334"/>
        <v>26352.118584</v>
      </c>
      <c r="U276" s="1056">
        <f t="shared" si="334"/>
        <v>21960.098820000003</v>
      </c>
      <c r="V276" s="1056">
        <f t="shared" si="334"/>
        <v>21960.098820000003</v>
      </c>
      <c r="W276" s="1056">
        <f t="shared" si="334"/>
        <v>17568.079056000002</v>
      </c>
      <c r="X276" s="1056">
        <f t="shared" si="334"/>
        <v>17568.079056000002</v>
      </c>
      <c r="Y276" s="1056">
        <f t="shared" si="334"/>
        <v>17568.079056000002</v>
      </c>
      <c r="Z276" s="1056">
        <f t="shared" si="334"/>
        <v>0</v>
      </c>
      <c r="AA276" s="1056">
        <f t="shared" si="334"/>
        <v>0</v>
      </c>
      <c r="AB276" s="1056">
        <f t="shared" si="334"/>
        <v>0</v>
      </c>
      <c r="AC276" s="1056">
        <f t="shared" si="334"/>
        <v>0</v>
      </c>
      <c r="AD276" s="1056">
        <f t="shared" si="334"/>
        <v>0</v>
      </c>
      <c r="AE276" s="1056">
        <f t="shared" si="334"/>
        <v>0</v>
      </c>
      <c r="AF276" s="1056">
        <f t="shared" si="334"/>
        <v>0</v>
      </c>
      <c r="AG276" s="1056">
        <f t="shared" si="334"/>
        <v>0</v>
      </c>
      <c r="AH276" s="1056">
        <f t="shared" si="334"/>
        <v>0</v>
      </c>
      <c r="AI276" s="1056">
        <f t="shared" si="334"/>
        <v>0</v>
      </c>
      <c r="AJ276" s="1056">
        <f t="shared" si="334"/>
        <v>0</v>
      </c>
      <c r="AK276" s="1056">
        <f t="shared" si="334"/>
        <v>0</v>
      </c>
      <c r="AL276" s="1056">
        <f t="shared" si="334"/>
        <v>0</v>
      </c>
      <c r="AM276" s="1056">
        <f t="shared" si="334"/>
        <v>0</v>
      </c>
      <c r="AN276" s="1056">
        <f t="shared" si="334"/>
        <v>0</v>
      </c>
      <c r="AO276" s="1056">
        <f t="shared" si="334"/>
        <v>0</v>
      </c>
      <c r="AP276" s="1056">
        <f t="shared" si="334"/>
        <v>0</v>
      </c>
      <c r="AQ276" s="1056">
        <f t="shared" si="334"/>
        <v>0</v>
      </c>
      <c r="AR276" s="1056">
        <f t="shared" si="334"/>
        <v>0</v>
      </c>
      <c r="AS276" s="1056">
        <f t="shared" si="334"/>
        <v>0</v>
      </c>
      <c r="AT276" s="1056">
        <f t="shared" si="334"/>
        <v>0</v>
      </c>
      <c r="AU276" s="1056">
        <f t="shared" si="334"/>
        <v>0</v>
      </c>
      <c r="AV276" s="1056">
        <f t="shared" si="334"/>
        <v>0</v>
      </c>
      <c r="AW276" s="1056">
        <f t="shared" si="334"/>
        <v>0</v>
      </c>
      <c r="AX276" s="1056">
        <f t="shared" si="334"/>
        <v>0</v>
      </c>
      <c r="AY276" s="1056">
        <f t="shared" si="334"/>
        <v>0</v>
      </c>
      <c r="AZ276" s="1056">
        <f t="shared" si="334"/>
        <v>0</v>
      </c>
      <c r="BA276" s="1056">
        <f t="shared" si="334"/>
        <v>0</v>
      </c>
      <c r="BB276" s="1056">
        <f t="shared" si="334"/>
        <v>0</v>
      </c>
      <c r="BC276" s="1056">
        <f t="shared" si="334"/>
        <v>0</v>
      </c>
      <c r="BD276" s="1056">
        <f t="shared" si="334"/>
        <v>0</v>
      </c>
      <c r="BE276" s="1056">
        <f t="shared" si="334"/>
        <v>0</v>
      </c>
      <c r="BF276" s="1056">
        <f t="shared" si="334"/>
        <v>0</v>
      </c>
      <c r="BG276" s="1056">
        <f t="shared" si="334"/>
        <v>0</v>
      </c>
      <c r="BH276" s="1056">
        <f t="shared" si="334"/>
        <v>0</v>
      </c>
      <c r="BI276" s="1056">
        <f t="shared" si="334"/>
        <v>0</v>
      </c>
      <c r="BJ276" s="1056">
        <f t="shared" si="334"/>
        <v>0</v>
      </c>
      <c r="BK276" s="1056">
        <f t="shared" si="334"/>
        <v>0</v>
      </c>
      <c r="BL276" s="1056">
        <f t="shared" si="334"/>
        <v>0</v>
      </c>
      <c r="BM276" s="1056">
        <f t="shared" si="334"/>
        <v>0</v>
      </c>
      <c r="BN276" s="1056">
        <f t="shared" si="334"/>
        <v>0</v>
      </c>
      <c r="BO276" s="1056">
        <f t="shared" si="334"/>
        <v>0</v>
      </c>
      <c r="BP276" s="1056">
        <f t="shared" si="334"/>
        <v>0</v>
      </c>
      <c r="BQ276" s="1056">
        <f t="shared" si="334"/>
        <v>0</v>
      </c>
      <c r="BR276" s="1056">
        <f t="shared" si="334"/>
        <v>0</v>
      </c>
      <c r="BS276" s="1056">
        <f t="shared" ref="BS276:BU276" si="335">SUM(BS274:BS275)</f>
        <v>0</v>
      </c>
      <c r="BT276" s="1056">
        <f t="shared" si="335"/>
        <v>0</v>
      </c>
      <c r="BU276" s="1056">
        <f t="shared" si="335"/>
        <v>0</v>
      </c>
      <c r="BV276" s="1056">
        <f>SUM(BV274:BV275)</f>
        <v>395281.77876000007</v>
      </c>
      <c r="BW276" s="1056">
        <f t="shared" ref="BW276:BX276" si="336">SUM(BW274:BW275)</f>
        <v>790563.55752000015</v>
      </c>
      <c r="BX276" s="1056">
        <f t="shared" si="336"/>
        <v>2766972.45132</v>
      </c>
      <c r="BY276" s="1079" t="str">
        <f t="shared" si="289"/>
        <v>합계</v>
      </c>
      <c r="BZ276" s="1080">
        <f>SUM(G276:BX276)</f>
        <v>4392019.7640000004</v>
      </c>
      <c r="CA276" s="1087" t="b">
        <f>ROUND(BZ276,0)=ROUND(E276,0)</f>
        <v>1</v>
      </c>
      <c r="CB276" s="1084"/>
    </row>
    <row r="277" spans="2:83">
      <c r="B277" s="1091" t="s">
        <v>1077</v>
      </c>
      <c r="C277" s="1903"/>
      <c r="D277" s="1092"/>
      <c r="E277" s="1337">
        <f>SUM(E202,E212,E222,E232,E242,E262,E272,E276,E252)</f>
        <v>158252065.389</v>
      </c>
      <c r="F277" s="1062" t="b">
        <f>CA277</f>
        <v>1</v>
      </c>
      <c r="G277" s="1056">
        <f>G202+G212+G222+G232+G242+G262+G272+G276</f>
        <v>0</v>
      </c>
      <c r="H277" s="1056">
        <f t="shared" ref="H277:J277" si="337">H202+H212+H222+H232+H242+H262+H272+H276</f>
        <v>0</v>
      </c>
      <c r="I277" s="1056">
        <f t="shared" si="337"/>
        <v>0</v>
      </c>
      <c r="J277" s="1056">
        <f t="shared" si="337"/>
        <v>0</v>
      </c>
      <c r="K277" s="1056">
        <f t="shared" ref="K277:BU277" si="338">K202+K212+K222+K232+K242+K262+K272+K276+K252</f>
        <v>0</v>
      </c>
      <c r="L277" s="1056">
        <f t="shared" si="338"/>
        <v>0</v>
      </c>
      <c r="M277" s="1056">
        <f t="shared" si="338"/>
        <v>0</v>
      </c>
      <c r="N277" s="1056">
        <f t="shared" si="338"/>
        <v>3141083.3077799999</v>
      </c>
      <c r="O277" s="1056">
        <f t="shared" si="338"/>
        <v>2355812.4808349996</v>
      </c>
      <c r="P277" s="1056">
        <f t="shared" si="338"/>
        <v>1884649.9846679999</v>
      </c>
      <c r="Q277" s="1056">
        <f t="shared" si="338"/>
        <v>1570541.65389</v>
      </c>
      <c r="R277" s="1056">
        <f t="shared" si="338"/>
        <v>11179472.788736999</v>
      </c>
      <c r="S277" s="1056">
        <f t="shared" si="338"/>
        <v>2168014.1770980004</v>
      </c>
      <c r="T277" s="1056">
        <f t="shared" si="338"/>
        <v>1858297.866084001</v>
      </c>
      <c r="U277" s="1056">
        <f t="shared" si="338"/>
        <v>1548581.5550700002</v>
      </c>
      <c r="V277" s="1056">
        <f t="shared" si="338"/>
        <v>14982850.370070001</v>
      </c>
      <c r="W277" s="1056">
        <f t="shared" si="338"/>
        <v>1849513.826556003</v>
      </c>
      <c r="X277" s="1056">
        <f t="shared" si="338"/>
        <v>1849513.8265559992</v>
      </c>
      <c r="Y277" s="1056">
        <f t="shared" si="338"/>
        <v>1849513.826556003</v>
      </c>
      <c r="Z277" s="1056">
        <f t="shared" si="338"/>
        <v>15266214.562500002</v>
      </c>
      <c r="AA277" s="1056">
        <f t="shared" si="338"/>
        <v>0</v>
      </c>
      <c r="AB277" s="1056">
        <f t="shared" si="338"/>
        <v>0</v>
      </c>
      <c r="AC277" s="1056">
        <f t="shared" si="338"/>
        <v>0</v>
      </c>
      <c r="AD277" s="1056">
        <f t="shared" si="338"/>
        <v>15266214.562500002</v>
      </c>
      <c r="AE277" s="1056">
        <f t="shared" si="338"/>
        <v>0</v>
      </c>
      <c r="AF277" s="1056">
        <f t="shared" si="338"/>
        <v>0</v>
      </c>
      <c r="AG277" s="1056">
        <f t="shared" si="338"/>
        <v>0</v>
      </c>
      <c r="AH277" s="1056">
        <f t="shared" si="338"/>
        <v>15266214.562500002</v>
      </c>
      <c r="AI277" s="1056">
        <f t="shared" si="338"/>
        <v>0</v>
      </c>
      <c r="AJ277" s="1056">
        <f t="shared" si="338"/>
        <v>0</v>
      </c>
      <c r="AK277" s="1056">
        <f t="shared" si="338"/>
        <v>95832</v>
      </c>
      <c r="AL277" s="1056">
        <f t="shared" si="338"/>
        <v>15290172.562500002</v>
      </c>
      <c r="AM277" s="1056">
        <f t="shared" si="338"/>
        <v>119790</v>
      </c>
      <c r="AN277" s="1056">
        <f t="shared" si="338"/>
        <v>0</v>
      </c>
      <c r="AO277" s="1056">
        <f t="shared" si="338"/>
        <v>179685</v>
      </c>
      <c r="AP277" s="1056">
        <f t="shared" si="338"/>
        <v>0</v>
      </c>
      <c r="AQ277" s="1056">
        <f t="shared" si="338"/>
        <v>179685</v>
      </c>
      <c r="AR277" s="1056">
        <f t="shared" si="338"/>
        <v>0</v>
      </c>
      <c r="AS277" s="1056">
        <f t="shared" si="338"/>
        <v>0</v>
      </c>
      <c r="AT277" s="1056">
        <f t="shared" si="338"/>
        <v>0</v>
      </c>
      <c r="AU277" s="1056">
        <f t="shared" si="338"/>
        <v>0</v>
      </c>
      <c r="AV277" s="1056">
        <f t="shared" si="338"/>
        <v>0</v>
      </c>
      <c r="AW277" s="1056">
        <f t="shared" si="338"/>
        <v>0</v>
      </c>
      <c r="AX277" s="1056">
        <f t="shared" si="338"/>
        <v>0</v>
      </c>
      <c r="AY277" s="1056">
        <f t="shared" si="338"/>
        <v>0</v>
      </c>
      <c r="AZ277" s="1056">
        <f t="shared" si="338"/>
        <v>0</v>
      </c>
      <c r="BA277" s="1056">
        <f t="shared" si="338"/>
        <v>0</v>
      </c>
      <c r="BB277" s="1056">
        <f t="shared" si="338"/>
        <v>0</v>
      </c>
      <c r="BC277" s="1056">
        <f t="shared" si="338"/>
        <v>0</v>
      </c>
      <c r="BD277" s="1056">
        <f t="shared" si="338"/>
        <v>0</v>
      </c>
      <c r="BE277" s="1056">
        <f t="shared" si="338"/>
        <v>0</v>
      </c>
      <c r="BF277" s="1056">
        <f t="shared" si="338"/>
        <v>0</v>
      </c>
      <c r="BG277" s="1056">
        <f t="shared" si="338"/>
        <v>0</v>
      </c>
      <c r="BH277" s="1056">
        <f t="shared" si="338"/>
        <v>0</v>
      </c>
      <c r="BI277" s="1056">
        <f t="shared" si="338"/>
        <v>0</v>
      </c>
      <c r="BJ277" s="1056">
        <f t="shared" si="338"/>
        <v>0</v>
      </c>
      <c r="BK277" s="1056">
        <f t="shared" si="338"/>
        <v>0</v>
      </c>
      <c r="BL277" s="1056">
        <f t="shared" si="338"/>
        <v>0</v>
      </c>
      <c r="BM277" s="1056">
        <f t="shared" si="338"/>
        <v>0</v>
      </c>
      <c r="BN277" s="1056">
        <f t="shared" si="338"/>
        <v>0</v>
      </c>
      <c r="BO277" s="1056">
        <f t="shared" si="338"/>
        <v>0</v>
      </c>
      <c r="BP277" s="1056">
        <f t="shared" si="338"/>
        <v>0</v>
      </c>
      <c r="BQ277" s="1056">
        <f t="shared" si="338"/>
        <v>0</v>
      </c>
      <c r="BR277" s="1056">
        <f t="shared" si="338"/>
        <v>0</v>
      </c>
      <c r="BS277" s="1056">
        <f t="shared" si="338"/>
        <v>0</v>
      </c>
      <c r="BT277" s="1056">
        <f t="shared" si="338"/>
        <v>0</v>
      </c>
      <c r="BU277" s="1056">
        <f t="shared" si="338"/>
        <v>0</v>
      </c>
      <c r="BV277" s="1056">
        <f t="shared" ref="BV277:BX277" si="339">BV202+BV212+BV222+BV232+BV242+BV262+BV272+BV276+BV252</f>
        <v>5035041.1475100014</v>
      </c>
      <c r="BW277" s="1056">
        <f t="shared" si="339"/>
        <v>10010187.295020003</v>
      </c>
      <c r="BX277" s="1056">
        <f t="shared" si="339"/>
        <v>35305183.032570004</v>
      </c>
      <c r="BY277" s="1091" t="str">
        <f t="shared" si="289"/>
        <v>매출 합계</v>
      </c>
      <c r="BZ277" s="1093">
        <f>SUM(G277:BX277)</f>
        <v>158252065.38900003</v>
      </c>
      <c r="CA277" s="1094" t="b">
        <f>ROUND(BZ277,0)=ROUND(E277,0)</f>
        <v>1</v>
      </c>
      <c r="CB277" s="1095"/>
      <c r="CC277" s="1095"/>
      <c r="CD277" s="1038"/>
      <c r="CE277" s="1038"/>
    </row>
    <row r="278" spans="2:83">
      <c r="B278" s="1038"/>
      <c r="C278" s="1038"/>
      <c r="D278" s="1038"/>
      <c r="E278" s="1038"/>
      <c r="F278" s="1038"/>
      <c r="G278" s="1096"/>
      <c r="H278" s="1097"/>
      <c r="I278" s="1097"/>
      <c r="J278" s="1097"/>
      <c r="K278" s="1097"/>
      <c r="L278" s="1097"/>
      <c r="M278" s="1097"/>
      <c r="N278" s="1097"/>
      <c r="O278" s="1097"/>
      <c r="P278" s="1097"/>
      <c r="Q278" s="1097"/>
      <c r="R278" s="1097"/>
      <c r="S278" s="1097"/>
      <c r="T278" s="1097"/>
      <c r="U278" s="1097"/>
      <c r="V278" s="1097"/>
      <c r="W278" s="1097"/>
      <c r="X278" s="1097"/>
      <c r="Y278" s="1097"/>
      <c r="Z278" s="1097"/>
      <c r="AA278" s="1097"/>
      <c r="AB278" s="1097"/>
      <c r="AC278" s="1097"/>
      <c r="AD278" s="1097"/>
      <c r="AE278" s="1097"/>
      <c r="AF278" s="1097"/>
      <c r="AG278" s="1097"/>
      <c r="AH278" s="1097"/>
      <c r="AI278" s="1097"/>
      <c r="AJ278" s="1097"/>
      <c r="AK278" s="1097"/>
      <c r="AL278" s="1097"/>
      <c r="AM278" s="1097"/>
      <c r="AN278" s="1097"/>
      <c r="AO278" s="1097"/>
      <c r="AP278" s="1097"/>
      <c r="AQ278" s="1097"/>
      <c r="AR278" s="1097"/>
      <c r="AS278" s="1097"/>
      <c r="AT278" s="1097"/>
      <c r="AU278" s="1097"/>
      <c r="AV278" s="1097"/>
      <c r="AW278" s="1097"/>
      <c r="AX278" s="1097"/>
      <c r="AY278" s="1097"/>
      <c r="AZ278" s="1097"/>
      <c r="BA278" s="1097"/>
      <c r="BB278" s="1097"/>
      <c r="BC278" s="1097"/>
      <c r="BD278" s="1097"/>
      <c r="BE278" s="1097"/>
      <c r="BF278" s="1097"/>
      <c r="BG278" s="1097"/>
      <c r="BH278" s="1097"/>
      <c r="BI278" s="1097"/>
      <c r="BJ278" s="1097"/>
      <c r="BK278" s="1097"/>
      <c r="BL278" s="1097"/>
      <c r="BM278" s="1097"/>
      <c r="BN278" s="1097"/>
      <c r="BO278" s="1097"/>
      <c r="BP278" s="1097"/>
      <c r="BQ278" s="1097"/>
      <c r="BR278" s="1097"/>
      <c r="BS278" s="1097"/>
      <c r="BT278" s="1097"/>
      <c r="BU278" s="1097"/>
      <c r="BV278" s="1098"/>
      <c r="BW278" s="1098"/>
      <c r="BX278" s="1097"/>
      <c r="BY278" s="1099"/>
      <c r="BZ278" s="1037"/>
      <c r="CA278" s="1038"/>
      <c r="CB278" s="1100" t="s">
        <v>1067</v>
      </c>
      <c r="CC278" s="1101" t="s">
        <v>1068</v>
      </c>
      <c r="CD278" s="1102" t="s">
        <v>1036</v>
      </c>
      <c r="CE278" s="1038"/>
    </row>
  </sheetData>
  <sheetProtection formatCells="0"/>
  <mergeCells count="18">
    <mergeCell ref="B273:E273"/>
    <mergeCell ref="BY273:BZ273"/>
    <mergeCell ref="B253:E253"/>
    <mergeCell ref="BY253:BZ253"/>
    <mergeCell ref="B263:E263"/>
    <mergeCell ref="BY263:BZ263"/>
    <mergeCell ref="B193:E193"/>
    <mergeCell ref="B203:E203"/>
    <mergeCell ref="B213:E213"/>
    <mergeCell ref="BY193:BZ193"/>
    <mergeCell ref="BY203:BZ203"/>
    <mergeCell ref="BY213:BZ213"/>
    <mergeCell ref="B243:E243"/>
    <mergeCell ref="BY243:BZ243"/>
    <mergeCell ref="B223:E223"/>
    <mergeCell ref="BY223:BZ223"/>
    <mergeCell ref="B233:E233"/>
    <mergeCell ref="BY233:BZ233"/>
  </mergeCells>
  <phoneticPr fontId="14" type="noConversion"/>
  <conditionalFormatting sqref="CA66 CA39:CA64 CA69:CA74 CA76:CA110">
    <cfRule type="cellIs" dxfId="15" priority="38" operator="equal">
      <formula>FALSE</formula>
    </cfRule>
  </conditionalFormatting>
  <conditionalFormatting sqref="CA65">
    <cfRule type="cellIs" dxfId="14" priority="37" operator="equal">
      <formula>FALSE</formula>
    </cfRule>
  </conditionalFormatting>
  <conditionalFormatting sqref="CA67:CA68">
    <cfRule type="cellIs" dxfId="13" priority="36" operator="equal">
      <formula>FALSE</formula>
    </cfRule>
  </conditionalFormatting>
  <conditionalFormatting sqref="F36:F80 F273:F278 F194:F222 F82:F111">
    <cfRule type="cellIs" dxfId="12" priority="24" operator="equal">
      <formula>FALSE</formula>
    </cfRule>
  </conditionalFormatting>
  <conditionalFormatting sqref="F81">
    <cfRule type="cellIs" dxfId="11" priority="22" operator="equal">
      <formula>FALSE</formula>
    </cfRule>
  </conditionalFormatting>
  <conditionalFormatting sqref="CA75">
    <cfRule type="cellIs" dxfId="10" priority="21" operator="equal">
      <formula>FALSE</formula>
    </cfRule>
  </conditionalFormatting>
  <conditionalFormatting sqref="F223:F232">
    <cfRule type="cellIs" dxfId="9" priority="17" operator="equal">
      <formula>FALSE</formula>
    </cfRule>
  </conditionalFormatting>
  <conditionalFormatting sqref="F233:F242">
    <cfRule type="cellIs" dxfId="8" priority="16" operator="equal">
      <formula>FALSE</formula>
    </cfRule>
  </conditionalFormatting>
  <conditionalFormatting sqref="F253:F262">
    <cfRule type="cellIs" dxfId="7" priority="15" operator="equal">
      <formula>FALSE</formula>
    </cfRule>
  </conditionalFormatting>
  <conditionalFormatting sqref="F263:F272">
    <cfRule type="cellIs" dxfId="6" priority="14" operator="equal">
      <formula>FALSE</formula>
    </cfRule>
  </conditionalFormatting>
  <conditionalFormatting sqref="D120">
    <cfRule type="expression" priority="3">
      <formula>"&gt;$B$215+$C$215"</formula>
    </cfRule>
    <cfRule type="cellIs" dxfId="5" priority="4" operator="greaterThan">
      <formula>$B$136+$D$136</formula>
    </cfRule>
    <cfRule type="cellIs" dxfId="4" priority="5" operator="greaterThan">
      <formula>$B$136+$D$136</formula>
    </cfRule>
    <cfRule type="cellIs" dxfId="3" priority="7" operator="greaterThan">
      <formula>$B$136</formula>
    </cfRule>
  </conditionalFormatting>
  <conditionalFormatting sqref="F243:F252">
    <cfRule type="cellIs" dxfId="2" priority="2" operator="equal">
      <formula>FALSE</formula>
    </cfRule>
  </conditionalFormatting>
  <pageMargins left="0.25" right="0.25" top="0.75" bottom="0.75" header="0.3" footer="0.3"/>
  <pageSetup paperSize="8" scale="13" orientation="landscape" r:id="rId1"/>
  <ignoredErrors>
    <ignoredError sqref="E121:E122 E132 E126 E46 E51 N139 N140:N146" 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52229" r:id="rId4" name="Button 5">
              <controlPr defaultSize="0" print="0" autoFill="0" autoPict="0" macro="[0]!인출초기화">
                <anchor moveWithCells="1">
                  <from>
                    <xdr:col>5</xdr:col>
                    <xdr:colOff>525780</xdr:colOff>
                    <xdr:row>116</xdr:row>
                    <xdr:rowOff>30480</xdr:rowOff>
                  </from>
                  <to>
                    <xdr:col>6</xdr:col>
                    <xdr:colOff>769620</xdr:colOff>
                    <xdr:row>118</xdr:row>
                    <xdr:rowOff>0</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cellIs" priority="18" operator="greaterThan" id="{3DC108DE-118E-4948-BE2F-2D2C26053FDD}">
            <xm:f>총괄장!$P$6</xm:f>
            <x14:dxf>
              <font>
                <color rgb="FF9C0006"/>
              </font>
              <fill>
                <patternFill>
                  <bgColor rgb="FFFFC7CE"/>
                </patternFill>
              </fill>
            </x14:dxf>
          </x14:cfRule>
          <xm:sqref>N8:BU8</xm:sqref>
        </x14:conditionalFormatting>
        <x14:conditionalFormatting xmlns:xm="http://schemas.microsoft.com/office/excel/2006/main">
          <x14:cfRule type="cellIs" priority="1" operator="greaterThan" id="{C63C3F27-CE79-4544-856C-7422A16A369B}">
            <xm:f>총괄장!$P$6</xm:f>
            <x14:dxf>
              <font>
                <color rgb="FF9C0006"/>
              </font>
              <fill>
                <patternFill>
                  <bgColor rgb="FFFFC7CE"/>
                </patternFill>
              </fill>
            </x14:dxf>
          </x14:cfRule>
          <xm:sqref>M8</xm:sqref>
        </x14:conditionalFormatting>
      </x14:conditionalFormatting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8"/>
  <dimension ref="B2:K15"/>
  <sheetViews>
    <sheetView workbookViewId="0">
      <selection activeCell="G7" sqref="G7"/>
    </sheetView>
  </sheetViews>
  <sheetFormatPr defaultRowHeight="17.399999999999999"/>
  <cols>
    <col min="2" max="2" width="11.5" customWidth="1"/>
    <col min="3" max="4" width="13.5" customWidth="1"/>
    <col min="5" max="5" width="14.8984375" customWidth="1"/>
    <col min="6" max="6" width="22.69921875" bestFit="1" customWidth="1"/>
    <col min="7" max="7" width="22.69921875" customWidth="1"/>
    <col min="8" max="8" width="14.59765625" customWidth="1"/>
  </cols>
  <sheetData>
    <row r="2" spans="2:11">
      <c r="B2" t="s">
        <v>1535</v>
      </c>
      <c r="K2" t="s">
        <v>1534</v>
      </c>
    </row>
    <row r="4" spans="2:11">
      <c r="B4" t="s">
        <v>1543</v>
      </c>
      <c r="C4" s="397">
        <f>'사업수지표 '!E20</f>
        <v>158252065.38900003</v>
      </c>
      <c r="E4" t="s">
        <v>1547</v>
      </c>
      <c r="F4" s="397">
        <f>'사업수지표 '!U40</f>
        <v>35472582.566585727</v>
      </c>
      <c r="G4" s="397"/>
    </row>
    <row r="5" spans="2:11">
      <c r="B5" s="397" t="s">
        <v>1546</v>
      </c>
      <c r="C5" s="397">
        <f>민감도분석!K29</f>
        <v>71930742.257880032</v>
      </c>
      <c r="D5" s="397"/>
      <c r="E5" s="397"/>
    </row>
    <row r="6" spans="2:11">
      <c r="B6" t="s">
        <v>1553</v>
      </c>
      <c r="C6" t="s">
        <v>1536</v>
      </c>
      <c r="D6" t="s">
        <v>1544</v>
      </c>
      <c r="E6" t="s">
        <v>1537</v>
      </c>
      <c r="F6" t="s">
        <v>1545</v>
      </c>
      <c r="G6" t="s">
        <v>1549</v>
      </c>
      <c r="H6" t="s">
        <v>248</v>
      </c>
    </row>
    <row r="7" spans="2:11">
      <c r="B7" t="s">
        <v>1428</v>
      </c>
      <c r="C7" s="2381">
        <v>0.5</v>
      </c>
      <c r="D7" s="2382">
        <f>ROUNDDOWN($C$4*C7,-6)</f>
        <v>79000000</v>
      </c>
      <c r="E7" s="2381">
        <v>0.6</v>
      </c>
      <c r="F7" s="2382">
        <f>ROUNDDOWN($C$5*E7,-6)</f>
        <v>43000000</v>
      </c>
      <c r="G7" s="1834"/>
    </row>
    <row r="8" spans="2:11">
      <c r="B8" t="s">
        <v>1548</v>
      </c>
      <c r="C8" s="2381"/>
      <c r="D8" s="2382"/>
      <c r="E8" s="2381"/>
      <c r="F8" s="2382"/>
      <c r="G8" s="1833">
        <f>F7-G7</f>
        <v>43000000</v>
      </c>
    </row>
    <row r="9" spans="2:11">
      <c r="B9" t="s">
        <v>1538</v>
      </c>
      <c r="C9" s="1831">
        <v>0.6</v>
      </c>
      <c r="D9" s="1833">
        <f>ROUNDDOWN($C$4*C9,-6)-D7</f>
        <v>15000000</v>
      </c>
      <c r="E9" s="1831">
        <v>0.7</v>
      </c>
      <c r="F9" s="1593">
        <f>ROUNDDOWN($C$5*E9,-6)-F7</f>
        <v>7000000</v>
      </c>
      <c r="G9" s="1593">
        <f>F9</f>
        <v>7000000</v>
      </c>
    </row>
    <row r="10" spans="2:11">
      <c r="B10" t="s">
        <v>140</v>
      </c>
      <c r="C10" s="1831" t="s">
        <v>1540</v>
      </c>
      <c r="D10" s="397">
        <f>IF((ROUNDUP(($F$4-D7-D9),-6))&lt;=0,0,(ROUNDUP(($F$4-D7-D9),-6)))</f>
        <v>0</v>
      </c>
      <c r="E10" s="7" t="s">
        <v>1539</v>
      </c>
      <c r="F10" s="397">
        <f>IF((ROUNDUP(($F$4-F7-F9),-6))&lt;=0,0,(ROUNDUP(($F$4-F7-F9),-6)))</f>
        <v>0</v>
      </c>
      <c r="G10" s="397">
        <f>IF((ROUNDUP(($F$4-G7-G8-G9),-6))&lt;=0,0,(ROUNDUP(($F$4-G7-G8-G9),-6)))</f>
        <v>0</v>
      </c>
    </row>
    <row r="11" spans="2:11">
      <c r="B11" s="2313" t="s">
        <v>967</v>
      </c>
      <c r="C11" s="2313"/>
      <c r="D11" s="397">
        <f>SUM(D7:D10)</f>
        <v>94000000</v>
      </c>
      <c r="F11" s="397">
        <f>SUM(F7:F10)</f>
        <v>50000000</v>
      </c>
      <c r="G11" s="397">
        <f>SUM(G7:G10)</f>
        <v>50000000</v>
      </c>
    </row>
    <row r="13" spans="2:11">
      <c r="E13" s="24" t="s">
        <v>1550</v>
      </c>
      <c r="F13" s="1593">
        <f>IF((F4-SUM(F7:F10))&lt;=0,0,F4-SUM(F7:F10))</f>
        <v>0</v>
      </c>
      <c r="G13" s="1593">
        <f>IF((F4-SUM(G7:G10))&lt;=0,0,F4-SUM(G7:G10))</f>
        <v>0</v>
      </c>
    </row>
    <row r="14" spans="2:11">
      <c r="E14" s="24" t="s">
        <v>1551</v>
      </c>
      <c r="F14" s="1593">
        <f>'사업수지표 '!W68</f>
        <v>1296050.5371416707</v>
      </c>
      <c r="G14" s="1593">
        <f>'사업수지표 '!W68</f>
        <v>1296050.5371416707</v>
      </c>
    </row>
    <row r="15" spans="2:11">
      <c r="E15" s="24" t="s">
        <v>1552</v>
      </c>
      <c r="F15" s="1593">
        <f>CF분석!N116</f>
        <v>3350868.5385564831</v>
      </c>
      <c r="G15" s="1593">
        <f>CF분석!N116</f>
        <v>3350868.5385564831</v>
      </c>
    </row>
  </sheetData>
  <mergeCells count="5">
    <mergeCell ref="C7:C8"/>
    <mergeCell ref="D7:D8"/>
    <mergeCell ref="E7:E8"/>
    <mergeCell ref="F7:F8"/>
    <mergeCell ref="B11:C11"/>
  </mergeCells>
  <phoneticPr fontId="4"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pageSetUpPr fitToPage="1"/>
  </sheetPr>
  <dimension ref="B1:AJ66"/>
  <sheetViews>
    <sheetView zoomScale="85" zoomScaleNormal="85" zoomScaleSheetLayoutView="85" workbookViewId="0">
      <selection activeCell="I18" sqref="I18:I23"/>
    </sheetView>
  </sheetViews>
  <sheetFormatPr defaultColWidth="9" defaultRowHeight="17.399999999999999"/>
  <cols>
    <col min="1" max="1" width="1.19921875" customWidth="1"/>
    <col min="2" max="2" width="32.19921875" customWidth="1"/>
    <col min="3" max="3" width="16.59765625" customWidth="1"/>
    <col min="4" max="6" width="15.59765625" customWidth="1"/>
    <col min="7" max="7" width="1.3984375" customWidth="1"/>
    <col min="8" max="8" width="15.59765625" style="7" customWidth="1"/>
    <col min="9" max="9" width="10.8984375" customWidth="1"/>
    <col min="10" max="12" width="12.59765625" customWidth="1"/>
    <col min="13" max="15" width="12.59765625" hidden="1" customWidth="1"/>
    <col min="16" max="16" width="13.5" customWidth="1"/>
    <col min="17" max="21" width="13.59765625" customWidth="1"/>
    <col min="22" max="22" width="12.59765625" customWidth="1"/>
    <col min="23" max="23" width="12.59765625" hidden="1" customWidth="1"/>
    <col min="24" max="24" width="12.59765625" customWidth="1"/>
    <col min="25" max="25" width="12.59765625" hidden="1" customWidth="1"/>
    <col min="26" max="26" width="12.59765625" customWidth="1"/>
    <col min="27" max="27" width="12.59765625" hidden="1" customWidth="1"/>
    <col min="28" max="28" width="12.59765625" customWidth="1"/>
    <col min="29" max="29" width="12.5" customWidth="1"/>
    <col min="30" max="30" width="16.3984375" customWidth="1"/>
    <col min="31" max="32" width="12.5" customWidth="1"/>
    <col min="33" max="33" width="12.5" hidden="1" customWidth="1"/>
    <col min="34" max="34" width="12.5" customWidth="1"/>
    <col min="35" max="36" width="11" customWidth="1"/>
  </cols>
  <sheetData>
    <row r="1" spans="2:36" ht="27.6">
      <c r="B1" s="2396" t="s">
        <v>994</v>
      </c>
      <c r="C1" s="2396"/>
      <c r="D1" s="2396"/>
    </row>
    <row r="2" spans="2:36" ht="27.6">
      <c r="B2" s="374"/>
      <c r="C2" s="374"/>
      <c r="D2" s="374"/>
    </row>
    <row r="3" spans="2:36" ht="17.100000000000001" customHeight="1">
      <c r="B3" s="473" t="s">
        <v>109</v>
      </c>
      <c r="I3" s="473" t="s">
        <v>123</v>
      </c>
    </row>
    <row r="4" spans="2:36" ht="17.100000000000001" customHeight="1">
      <c r="B4" s="643" t="s">
        <v>57</v>
      </c>
      <c r="C4" s="644" t="s">
        <v>110</v>
      </c>
      <c r="D4" s="644" t="s">
        <v>111</v>
      </c>
      <c r="E4" s="644" t="s">
        <v>112</v>
      </c>
      <c r="F4" s="646" t="s">
        <v>49</v>
      </c>
    </row>
    <row r="5" spans="2:36" ht="17.100000000000001" customHeight="1">
      <c r="B5" s="483" t="str">
        <f>분양개요!B7</f>
        <v>공동주택</v>
      </c>
      <c r="C5" s="622">
        <f>Equity!H6</f>
        <v>0.1</v>
      </c>
      <c r="D5" s="622">
        <f>Equity!I6</f>
        <v>0.6</v>
      </c>
      <c r="E5" s="622">
        <f>Equity!J6</f>
        <v>0.30000000000000004</v>
      </c>
      <c r="F5" s="623">
        <f>Equity!K6</f>
        <v>1</v>
      </c>
      <c r="I5" s="2420" t="s">
        <v>95</v>
      </c>
      <c r="J5" s="2392" t="s">
        <v>124</v>
      </c>
      <c r="K5" s="2393"/>
      <c r="L5" s="2393"/>
      <c r="M5" s="2393"/>
      <c r="N5" s="2393"/>
      <c r="O5" s="2393"/>
      <c r="P5" s="2386"/>
      <c r="Q5" s="2388" t="s">
        <v>1147</v>
      </c>
      <c r="R5" s="2393" t="s">
        <v>1222</v>
      </c>
      <c r="S5" s="2393" t="s">
        <v>1148</v>
      </c>
      <c r="T5" s="2393" t="s">
        <v>1149</v>
      </c>
      <c r="U5" s="2390" t="s">
        <v>1150</v>
      </c>
      <c r="V5" s="2392" t="s">
        <v>125</v>
      </c>
      <c r="W5" s="2393"/>
      <c r="X5" s="2393"/>
      <c r="Y5" s="2393"/>
      <c r="Z5" s="2386"/>
      <c r="AA5" s="2384" t="s">
        <v>126</v>
      </c>
      <c r="AB5" s="538" t="s">
        <v>127</v>
      </c>
      <c r="AC5" s="2392" t="s">
        <v>128</v>
      </c>
      <c r="AD5" s="2393"/>
      <c r="AE5" s="2386"/>
      <c r="AF5" s="2388" t="s">
        <v>1227</v>
      </c>
      <c r="AG5" s="2394"/>
      <c r="AH5" s="2386" t="s">
        <v>1017</v>
      </c>
      <c r="AI5" s="486"/>
    </row>
    <row r="6" spans="2:36" ht="17.100000000000001" customHeight="1">
      <c r="B6" s="483" t="str">
        <f>분양개요!B8</f>
        <v>오피스텔</v>
      </c>
      <c r="C6" s="618">
        <f>Equity!H7</f>
        <v>0.1</v>
      </c>
      <c r="D6" s="618">
        <f>Equity!I7</f>
        <v>0.6</v>
      </c>
      <c r="E6" s="618">
        <f>Equity!J7</f>
        <v>0.30000000000000004</v>
      </c>
      <c r="F6" s="619">
        <f>Equity!K7</f>
        <v>1</v>
      </c>
      <c r="I6" s="2421"/>
      <c r="J6" s="518" t="s">
        <v>1206</v>
      </c>
      <c r="K6" s="641" t="s">
        <v>1207</v>
      </c>
      <c r="L6" s="641" t="s">
        <v>129</v>
      </c>
      <c r="M6" s="641" t="s">
        <v>1016</v>
      </c>
      <c r="N6" s="641" t="s">
        <v>1081</v>
      </c>
      <c r="O6" s="641" t="s">
        <v>130</v>
      </c>
      <c r="P6" s="647" t="s">
        <v>1146</v>
      </c>
      <c r="Q6" s="2389"/>
      <c r="R6" s="2411"/>
      <c r="S6" s="2411"/>
      <c r="T6" s="2411"/>
      <c r="U6" s="2391"/>
      <c r="V6" s="518" t="s">
        <v>131</v>
      </c>
      <c r="W6" s="641"/>
      <c r="X6" s="641" t="s">
        <v>132</v>
      </c>
      <c r="Y6" s="641"/>
      <c r="Z6" s="647" t="s">
        <v>133</v>
      </c>
      <c r="AA6" s="2385"/>
      <c r="AB6" s="642" t="s">
        <v>126</v>
      </c>
      <c r="AC6" s="518" t="s">
        <v>131</v>
      </c>
      <c r="AD6" s="641" t="s">
        <v>132</v>
      </c>
      <c r="AE6" s="647" t="s">
        <v>133</v>
      </c>
      <c r="AF6" s="2389"/>
      <c r="AG6" s="2395"/>
      <c r="AH6" s="2387"/>
      <c r="AI6" s="486"/>
    </row>
    <row r="7" spans="2:36" ht="17.100000000000001" customHeight="1">
      <c r="B7" s="483" t="str">
        <f>분양개요!B9</f>
        <v>근린생활시설</v>
      </c>
      <c r="C7" s="618">
        <f>Equity!H8</f>
        <v>0.1</v>
      </c>
      <c r="D7" s="618">
        <f>Equity!I8</f>
        <v>0.4</v>
      </c>
      <c r="E7" s="618">
        <f>Equity!J8</f>
        <v>0.5</v>
      </c>
      <c r="F7" s="619">
        <f>Equity!K8</f>
        <v>1</v>
      </c>
      <c r="I7" s="512">
        <v>0</v>
      </c>
      <c r="J7" s="555">
        <f t="shared" ref="J7:J23" si="0">SUMPRODUCT($C$5:$C$13,$E$34:$E$42)*I7</f>
        <v>0</v>
      </c>
      <c r="K7" s="556">
        <f t="shared" ref="K7:K23" si="1">SUMPRODUCT($D$5:$D$13,$E$34:$E$42)*I7</f>
        <v>0</v>
      </c>
      <c r="L7" s="556">
        <f t="shared" ref="L7:L23" si="2">SUMPRODUCT($E$5:$E$13,$E$34:$E$42)*I7</f>
        <v>0</v>
      </c>
      <c r="M7" s="556">
        <f t="shared" ref="M7:M23" si="3">$E$34*I7</f>
        <v>0</v>
      </c>
      <c r="N7" s="556">
        <f t="shared" ref="N7:N23" si="4">$E$35*I7</f>
        <v>0</v>
      </c>
      <c r="O7" s="556" t="e">
        <f>#REF!*I7</f>
        <v>#REF!</v>
      </c>
      <c r="P7" s="557">
        <f>SUM(J7:L7)</f>
        <v>0</v>
      </c>
      <c r="Q7" s="558">
        <f>IF(((SUMPRODUCT($C$5:$C$13,$E$34:$E$42,$C$22:$C$30)+SUMPRODUCT($D$5:$D$13,$E$34:$E$42,$D$22:$D$30)+SUMPRODUCT($E$5:$E$13,$E$34:$E$42,$E$22:$E$30))*I7)&gt;=$X$25,$X$25,((SUMPRODUCT($C$5:$C$13,$E$34:$E$42,$C$22:$C$30)+SUMPRODUCT($D$5:$D$13,$E$34:$E$42,$D$22:$D$30)+SUMPRODUCT($E$5:$E$13,$E$34:$E$42,$E$22:$E$30))*I7))</f>
        <v>0</v>
      </c>
      <c r="R7" s="556">
        <f t="shared" ref="R7:R23" si="5">IF((P7-Q7)&lt;=$D$54,(P7-Q7),$D$54)</f>
        <v>0</v>
      </c>
      <c r="S7" s="559">
        <f t="shared" ref="S7:S12" si="6">P7-Q7-R7</f>
        <v>0</v>
      </c>
      <c r="T7" s="559">
        <f t="shared" ref="T7:T12" si="7">Q7+S7</f>
        <v>0</v>
      </c>
      <c r="U7" s="560">
        <f t="shared" ref="U7:U23" si="8">IF(T7&lt;=$X$25,0,(T7-$X$25))</f>
        <v>0</v>
      </c>
      <c r="V7" s="555">
        <f t="shared" ref="V7:V23" si="9">IF($V$27-T7&lt;=0,0,($V$27-T7))</f>
        <v>36000000</v>
      </c>
      <c r="W7" s="556"/>
      <c r="X7" s="556">
        <f t="shared" ref="X7:X23" si="10">IF($X$27=0,0,(IF($V$27+$X$27-T7&lt;=0,0,($V$27+$X$27-T7))))</f>
        <v>0</v>
      </c>
      <c r="Y7" s="556"/>
      <c r="Z7" s="561">
        <f t="shared" ref="Z7:Z23" si="11">IF($Z$27=0,0,(IF($V$27+$X$27+$Z$27-T7&lt;=0,0,($V$27+$X$27+$Z$27-T7))))</f>
        <v>0</v>
      </c>
      <c r="AA7" s="562"/>
      <c r="AB7" s="563">
        <f t="shared" ref="AB7:AB23" si="12">$E$43-($E$43*I7)</f>
        <v>158252065.38900003</v>
      </c>
      <c r="AC7" s="564">
        <f>IFERROR(V7/AB7,0)</f>
        <v>0.22748518265153922</v>
      </c>
      <c r="AD7" s="565">
        <f>IFERROR((X7)/AB7,0)</f>
        <v>0</v>
      </c>
      <c r="AE7" s="566">
        <f>IFERROR((Z7)/AB7,0)</f>
        <v>0</v>
      </c>
      <c r="AF7" s="567">
        <f>IF('사업수지표 '!$AD$27*(($I$22-I7)/$I$22)&lt;=0,0,'사업수지표 '!$AD$27*(($I$22-I7)/$I$22))</f>
        <v>84190983.249999985</v>
      </c>
      <c r="AG7" s="568">
        <v>0</v>
      </c>
      <c r="AH7" s="569">
        <f>IFERROR((Z7+AF7)/AB7,0)</f>
        <v>0.5320055889510813</v>
      </c>
      <c r="AI7" s="491"/>
      <c r="AJ7" s="396"/>
    </row>
    <row r="8" spans="2:36" ht="17.100000000000001" customHeight="1">
      <c r="B8" s="483" t="str">
        <f>분양개요!B10</f>
        <v>도시형생활주택</v>
      </c>
      <c r="C8" s="618">
        <f>Equity!H9</f>
        <v>0.1</v>
      </c>
      <c r="D8" s="618">
        <f>Equity!I9</f>
        <v>0.6</v>
      </c>
      <c r="E8" s="618">
        <f>Equity!J9</f>
        <v>0.30000000000000004</v>
      </c>
      <c r="F8" s="619">
        <f>Equity!K9</f>
        <v>1</v>
      </c>
      <c r="I8" s="513">
        <v>0.1</v>
      </c>
      <c r="J8" s="521">
        <f t="shared" si="0"/>
        <v>1582520.6538900007</v>
      </c>
      <c r="K8" s="487">
        <f t="shared" si="1"/>
        <v>9207644.7375000026</v>
      </c>
      <c r="L8" s="487">
        <f t="shared" si="2"/>
        <v>5035041.1475100024</v>
      </c>
      <c r="M8" s="487">
        <f t="shared" si="3"/>
        <v>15266214.562500004</v>
      </c>
      <c r="N8" s="487">
        <f t="shared" si="4"/>
        <v>0</v>
      </c>
      <c r="O8" s="487" t="e">
        <f>#REF!*I8</f>
        <v>#REF!</v>
      </c>
      <c r="P8" s="522">
        <f>SUM(J8:L8)</f>
        <v>15825206.538900007</v>
      </c>
      <c r="Q8" s="509">
        <f t="shared" ref="Q8:Q23" si="13">IF(((SUMPRODUCT($C$5:$C$13,$E$34:$E$42,$C$22:$C$30)+SUMPRODUCT($D$5:$D$13,$E$34:$E$42,$D$22:$D$30)+SUMPRODUCT($E$5:$E$13,$E$34:$E$42,$E$22:$E$30))*I8)&gt;=$X$25,$X$25,((SUMPRODUCT($C$5:$C$13,$E$34:$E$42,$C$22:$C$30)+SUMPRODUCT($D$5:$D$13,$E$34:$E$42,$D$22:$D$30)+SUMPRODUCT($E$5:$E$13,$E$34:$E$42,$E$22:$E$30))*I8))</f>
        <v>7193074.2257880038</v>
      </c>
      <c r="R8" s="487">
        <f t="shared" si="5"/>
        <v>8632132.3131120019</v>
      </c>
      <c r="S8" s="488">
        <f t="shared" si="6"/>
        <v>0</v>
      </c>
      <c r="T8" s="488">
        <f t="shared" si="7"/>
        <v>7193074.2257880038</v>
      </c>
      <c r="U8" s="527">
        <f t="shared" si="8"/>
        <v>0</v>
      </c>
      <c r="V8" s="521">
        <f t="shared" si="9"/>
        <v>28806925.774211995</v>
      </c>
      <c r="W8" s="492"/>
      <c r="X8" s="487">
        <f t="shared" si="10"/>
        <v>0</v>
      </c>
      <c r="Y8" s="493"/>
      <c r="Z8" s="531">
        <f t="shared" si="11"/>
        <v>0</v>
      </c>
      <c r="AA8" s="534"/>
      <c r="AB8" s="540">
        <f t="shared" si="12"/>
        <v>142426858.85010004</v>
      </c>
      <c r="AC8" s="548">
        <f>IFERROR(V8/AB8,0)</f>
        <v>0.20225767812888729</v>
      </c>
      <c r="AD8" s="489">
        <f>IFERROR((X8)/AB8,0)</f>
        <v>0</v>
      </c>
      <c r="AE8" s="549">
        <f>IFERROR((Z8)/AB8,0)</f>
        <v>0</v>
      </c>
      <c r="AF8" s="544">
        <f>IF('사업수지표 '!$AD$27*(($I$22-I8)/$I$22)&lt;=0,0,'사업수지표 '!$AD$27*(($I$22-I8)/$I$22))</f>
        <v>74361891.078729719</v>
      </c>
      <c r="AG8" s="490">
        <f t="shared" ref="AG8:AG23" si="14">IF(I8&gt;=$I$21,(S8+U8),0)</f>
        <v>0</v>
      </c>
      <c r="AH8" s="554">
        <f>IFERROR((Z8+AF8)/AB8,0)</f>
        <v>0.52210581402341649</v>
      </c>
      <c r="AI8" s="491"/>
      <c r="AJ8" s="396"/>
    </row>
    <row r="9" spans="2:36" ht="17.100000000000001" customHeight="1">
      <c r="B9" s="483" t="str">
        <f>분양개요!B11</f>
        <v>지식산업센터</v>
      </c>
      <c r="C9" s="618">
        <f>Equity!H10</f>
        <v>0.1</v>
      </c>
      <c r="D9" s="618">
        <f>Equity!I10</f>
        <v>0.5</v>
      </c>
      <c r="E9" s="618">
        <f>Equity!J10</f>
        <v>0.4</v>
      </c>
      <c r="F9" s="619">
        <f>Equity!K10</f>
        <v>1</v>
      </c>
      <c r="I9" s="513">
        <v>0.2</v>
      </c>
      <c r="J9" s="521">
        <f t="shared" si="0"/>
        <v>3165041.3077800013</v>
      </c>
      <c r="K9" s="487">
        <f t="shared" si="1"/>
        <v>18415289.475000005</v>
      </c>
      <c r="L9" s="487">
        <f t="shared" si="2"/>
        <v>10070082.295020005</v>
      </c>
      <c r="M9" s="487">
        <f t="shared" si="3"/>
        <v>30532429.125000007</v>
      </c>
      <c r="N9" s="487">
        <f t="shared" si="4"/>
        <v>0</v>
      </c>
      <c r="O9" s="487" t="e">
        <f>#REF!*I9</f>
        <v>#REF!</v>
      </c>
      <c r="P9" s="522">
        <f>SUM(J9:L9)</f>
        <v>31650413.077800013</v>
      </c>
      <c r="Q9" s="509">
        <f t="shared" si="13"/>
        <v>14386148.451576008</v>
      </c>
      <c r="R9" s="487">
        <f t="shared" si="5"/>
        <v>17264264.626224004</v>
      </c>
      <c r="S9" s="488">
        <f t="shared" si="6"/>
        <v>0</v>
      </c>
      <c r="T9" s="488">
        <f t="shared" si="7"/>
        <v>14386148.451576008</v>
      </c>
      <c r="U9" s="527">
        <f t="shared" si="8"/>
        <v>0</v>
      </c>
      <c r="V9" s="521">
        <f t="shared" si="9"/>
        <v>21613851.548423991</v>
      </c>
      <c r="W9" s="492"/>
      <c r="X9" s="487">
        <f t="shared" si="10"/>
        <v>0</v>
      </c>
      <c r="Y9" s="493"/>
      <c r="Z9" s="531">
        <f t="shared" si="11"/>
        <v>0</v>
      </c>
      <c r="AA9" s="534"/>
      <c r="AB9" s="540">
        <f t="shared" si="12"/>
        <v>126601652.31120002</v>
      </c>
      <c r="AC9" s="548">
        <f>IFERROR(V9/AB9,0)</f>
        <v>0.17072329747557241</v>
      </c>
      <c r="AD9" s="489">
        <f>IFERROR((X9)/AB9,0)</f>
        <v>0</v>
      </c>
      <c r="AE9" s="549">
        <f>IFERROR((Z9)/AB9,0)</f>
        <v>0</v>
      </c>
      <c r="AF9" s="544">
        <f>IF('사업수지표 '!$AD$27*(($I$22-I9)/$I$22)&lt;=0,0,'사업수지표 '!$AD$27*(($I$22-I9)/$I$22))</f>
        <v>64532798.907459453</v>
      </c>
      <c r="AG9" s="490">
        <f t="shared" si="14"/>
        <v>0</v>
      </c>
      <c r="AH9" s="554">
        <f>IFERROR((Z9+AF9)/AB9,0)</f>
        <v>0.50973109536383554</v>
      </c>
      <c r="AI9" s="491"/>
      <c r="AJ9" s="396"/>
    </row>
    <row r="10" spans="2:36" ht="17.100000000000001" customHeight="1">
      <c r="B10" s="483" t="str">
        <f>분양개요!B12</f>
        <v>물류센터</v>
      </c>
      <c r="C10" s="618">
        <f>Equity!H11</f>
        <v>0.1</v>
      </c>
      <c r="D10" s="618">
        <f>Equity!I11</f>
        <v>0</v>
      </c>
      <c r="E10" s="618">
        <f>Equity!J11</f>
        <v>0.9</v>
      </c>
      <c r="F10" s="619">
        <f>Equity!K11</f>
        <v>1</v>
      </c>
      <c r="I10" s="513">
        <v>0.3</v>
      </c>
      <c r="J10" s="521">
        <f t="shared" si="0"/>
        <v>4747561.961670001</v>
      </c>
      <c r="K10" s="487">
        <f t="shared" si="1"/>
        <v>27622934.212500002</v>
      </c>
      <c r="L10" s="487">
        <f t="shared" si="2"/>
        <v>15105123.442530004</v>
      </c>
      <c r="M10" s="487">
        <f t="shared" si="3"/>
        <v>45798643.687500007</v>
      </c>
      <c r="N10" s="487">
        <f t="shared" si="4"/>
        <v>0</v>
      </c>
      <c r="O10" s="487" t="e">
        <f>#REF!*I10</f>
        <v>#REF!</v>
      </c>
      <c r="P10" s="522">
        <f t="shared" ref="P10:P22" si="15">SUM(J10:L10)</f>
        <v>47475619.616700009</v>
      </c>
      <c r="Q10" s="509">
        <f t="shared" si="13"/>
        <v>21579222.67736401</v>
      </c>
      <c r="R10" s="487">
        <f t="shared" si="5"/>
        <v>25896396.939335998</v>
      </c>
      <c r="S10" s="488">
        <f t="shared" si="6"/>
        <v>0</v>
      </c>
      <c r="T10" s="488">
        <f t="shared" si="7"/>
        <v>21579222.67736401</v>
      </c>
      <c r="U10" s="527">
        <f t="shared" si="8"/>
        <v>0</v>
      </c>
      <c r="V10" s="521">
        <f t="shared" si="9"/>
        <v>14420777.32263599</v>
      </c>
      <c r="W10" s="492"/>
      <c r="X10" s="487">
        <f t="shared" si="10"/>
        <v>0</v>
      </c>
      <c r="Y10" s="493"/>
      <c r="Z10" s="531">
        <f t="shared" si="11"/>
        <v>0</v>
      </c>
      <c r="AA10" s="534"/>
      <c r="AB10" s="540">
        <f t="shared" si="12"/>
        <v>110776445.77230002</v>
      </c>
      <c r="AC10" s="548">
        <f t="shared" ref="AC10:AC22" si="16">IFERROR(V10/AB10,0)</f>
        <v>0.1301790937784533</v>
      </c>
      <c r="AD10" s="489">
        <f t="shared" ref="AD10:AD22" si="17">IFERROR((X10)/AB10,0)</f>
        <v>0</v>
      </c>
      <c r="AE10" s="549">
        <f t="shared" ref="AE10:AE22" si="18">IFERROR((Z10)/AB10,0)</f>
        <v>0</v>
      </c>
      <c r="AF10" s="544">
        <f>IF('사업수지표 '!$AD$27*(($I$22-I10)/$I$22)&lt;=0,0,'사업수지표 '!$AD$27*(($I$22-I10)/$I$22))</f>
        <v>54703706.736189216</v>
      </c>
      <c r="AG10" s="490">
        <f t="shared" si="14"/>
        <v>0</v>
      </c>
      <c r="AH10" s="554">
        <f t="shared" ref="AH10:AH22" si="19">IFERROR((Z10+AF10)/AB10,0)</f>
        <v>0.4938207428015175</v>
      </c>
      <c r="AI10" s="491"/>
      <c r="AJ10" s="396"/>
    </row>
    <row r="11" spans="2:36" ht="17.100000000000001" customHeight="1">
      <c r="B11" s="483" t="str">
        <f>분양개요!B13</f>
        <v>생활형숙박시설</v>
      </c>
      <c r="C11" s="618">
        <f>Equity!H12</f>
        <v>0.1</v>
      </c>
      <c r="D11" s="618">
        <f>Equity!I12</f>
        <v>0.5</v>
      </c>
      <c r="E11" s="618">
        <f>Equity!J12</f>
        <v>0.4</v>
      </c>
      <c r="F11" s="619">
        <f>Equity!K12</f>
        <v>1</v>
      </c>
      <c r="I11" s="513">
        <v>0.4</v>
      </c>
      <c r="J11" s="521">
        <f t="shared" si="0"/>
        <v>6330082.6155600026</v>
      </c>
      <c r="K11" s="487">
        <f t="shared" si="1"/>
        <v>36830578.95000001</v>
      </c>
      <c r="L11" s="487">
        <f t="shared" si="2"/>
        <v>20140164.590040009</v>
      </c>
      <c r="M11" s="487">
        <f t="shared" si="3"/>
        <v>61064858.250000015</v>
      </c>
      <c r="N11" s="487">
        <f t="shared" si="4"/>
        <v>0</v>
      </c>
      <c r="O11" s="487" t="e">
        <f>#REF!*I11</f>
        <v>#REF!</v>
      </c>
      <c r="P11" s="522">
        <f t="shared" si="15"/>
        <v>63300826.155600026</v>
      </c>
      <c r="Q11" s="509">
        <f t="shared" si="13"/>
        <v>28772296.903152015</v>
      </c>
      <c r="R11" s="487">
        <f t="shared" si="5"/>
        <v>34528529.252448007</v>
      </c>
      <c r="S11" s="488">
        <f t="shared" si="6"/>
        <v>0</v>
      </c>
      <c r="T11" s="488">
        <f t="shared" si="7"/>
        <v>28772296.903152015</v>
      </c>
      <c r="U11" s="527">
        <f t="shared" si="8"/>
        <v>0</v>
      </c>
      <c r="V11" s="521">
        <f t="shared" si="9"/>
        <v>7227703.0968479849</v>
      </c>
      <c r="W11" s="492"/>
      <c r="X11" s="487">
        <f t="shared" si="10"/>
        <v>0</v>
      </c>
      <c r="Y11" s="493"/>
      <c r="Z11" s="531">
        <f t="shared" si="11"/>
        <v>0</v>
      </c>
      <c r="AA11" s="534"/>
      <c r="AB11" s="540">
        <f t="shared" si="12"/>
        <v>94951239.233400017</v>
      </c>
      <c r="AC11" s="548">
        <f t="shared" si="16"/>
        <v>7.6120155515627758E-2</v>
      </c>
      <c r="AD11" s="489">
        <f t="shared" si="17"/>
        <v>0</v>
      </c>
      <c r="AE11" s="549">
        <f t="shared" si="18"/>
        <v>0</v>
      </c>
      <c r="AF11" s="544">
        <f>IF('사업수지표 '!$AD$27*(($I$22-I11)/$I$22)&lt;=0,0,'사업수지표 '!$AD$27*(($I$22-I11)/$I$22))</f>
        <v>44874614.564918943</v>
      </c>
      <c r="AG11" s="490">
        <f t="shared" si="14"/>
        <v>0</v>
      </c>
      <c r="AH11" s="554">
        <f t="shared" si="19"/>
        <v>0.47260693938509296</v>
      </c>
      <c r="AI11" s="491"/>
      <c r="AJ11" s="396"/>
    </row>
    <row r="12" spans="2:36" ht="17.100000000000001" customHeight="1">
      <c r="B12" s="483" t="str">
        <f>분양개요!B14</f>
        <v>분양형호텔</v>
      </c>
      <c r="C12" s="618">
        <f>Equity!H13</f>
        <v>0.1</v>
      </c>
      <c r="D12" s="618">
        <f>Equity!I13</f>
        <v>0.5</v>
      </c>
      <c r="E12" s="618">
        <f>Equity!J13</f>
        <v>0.4</v>
      </c>
      <c r="F12" s="619">
        <f>Equity!K13</f>
        <v>1</v>
      </c>
      <c r="I12" s="513">
        <v>0.5</v>
      </c>
      <c r="J12" s="521">
        <f t="shared" si="0"/>
        <v>7912603.2694500023</v>
      </c>
      <c r="K12" s="487">
        <f t="shared" si="1"/>
        <v>46038223.687500007</v>
      </c>
      <c r="L12" s="487">
        <f t="shared" si="2"/>
        <v>25175205.737550009</v>
      </c>
      <c r="M12" s="487">
        <f t="shared" si="3"/>
        <v>76331072.812500015</v>
      </c>
      <c r="N12" s="487">
        <f t="shared" si="4"/>
        <v>0</v>
      </c>
      <c r="O12" s="487" t="e">
        <f>#REF!*I12</f>
        <v>#REF!</v>
      </c>
      <c r="P12" s="522">
        <f t="shared" si="15"/>
        <v>79126032.694500014</v>
      </c>
      <c r="Q12" s="509">
        <f t="shared" si="13"/>
        <v>35965371.128940016</v>
      </c>
      <c r="R12" s="487">
        <f t="shared" si="5"/>
        <v>43160661.565559998</v>
      </c>
      <c r="S12" s="488">
        <f t="shared" si="6"/>
        <v>0</v>
      </c>
      <c r="T12" s="488">
        <f t="shared" si="7"/>
        <v>35965371.128940016</v>
      </c>
      <c r="U12" s="527">
        <f t="shared" si="8"/>
        <v>0</v>
      </c>
      <c r="V12" s="521">
        <f t="shared" si="9"/>
        <v>34628.871059983969</v>
      </c>
      <c r="W12" s="492"/>
      <c r="X12" s="487">
        <f t="shared" si="10"/>
        <v>0</v>
      </c>
      <c r="Y12" s="493"/>
      <c r="Z12" s="531">
        <f t="shared" si="11"/>
        <v>0</v>
      </c>
      <c r="AA12" s="534"/>
      <c r="AB12" s="540">
        <f t="shared" si="12"/>
        <v>79126032.694500014</v>
      </c>
      <c r="AC12" s="548">
        <f t="shared" si="16"/>
        <v>4.3764194767205856E-4</v>
      </c>
      <c r="AD12" s="489">
        <f t="shared" si="17"/>
        <v>0</v>
      </c>
      <c r="AE12" s="549">
        <f t="shared" si="18"/>
        <v>0</v>
      </c>
      <c r="AF12" s="544">
        <f>IF('사업수지표 '!$AD$27*(($I$22-I12)/$I$22)&lt;=0,0,'사업수지표 '!$AD$27*(($I$22-I12)/$I$22))</f>
        <v>35045522.393648691</v>
      </c>
      <c r="AG12" s="490">
        <f t="shared" si="14"/>
        <v>0</v>
      </c>
      <c r="AH12" s="554">
        <f t="shared" si="19"/>
        <v>0.44290761460209893</v>
      </c>
      <c r="AI12" s="491"/>
      <c r="AJ12" s="396"/>
    </row>
    <row r="13" spans="2:36" ht="17.100000000000001" customHeight="1">
      <c r="B13" s="483" t="str">
        <f>분양개요!B15</f>
        <v>발코니확장비</v>
      </c>
      <c r="C13" s="620">
        <f>Equity!H14</f>
        <v>0.1</v>
      </c>
      <c r="D13" s="620">
        <f>Equity!I14</f>
        <v>0</v>
      </c>
      <c r="E13" s="620">
        <f>Equity!J14</f>
        <v>0.9</v>
      </c>
      <c r="F13" s="621">
        <f>Equity!K14</f>
        <v>1</v>
      </c>
      <c r="I13" s="514">
        <v>0.6</v>
      </c>
      <c r="J13" s="521">
        <f t="shared" si="0"/>
        <v>9495123.9233400021</v>
      </c>
      <c r="K13" s="487">
        <f t="shared" si="1"/>
        <v>55245868.425000004</v>
      </c>
      <c r="L13" s="487">
        <f t="shared" si="2"/>
        <v>30210246.885060009</v>
      </c>
      <c r="M13" s="487">
        <f t="shared" si="3"/>
        <v>91597287.375000015</v>
      </c>
      <c r="N13" s="487">
        <f t="shared" si="4"/>
        <v>0</v>
      </c>
      <c r="O13" s="487" t="e">
        <f>#REF!*I13</f>
        <v>#REF!</v>
      </c>
      <c r="P13" s="522">
        <f t="shared" si="15"/>
        <v>94951239.233400017</v>
      </c>
      <c r="Q13" s="509">
        <f t="shared" si="13"/>
        <v>36000000</v>
      </c>
      <c r="R13" s="487">
        <f t="shared" si="5"/>
        <v>58951239.233400017</v>
      </c>
      <c r="S13" s="488">
        <f t="shared" ref="S13:S22" si="20">P13-Q13-R13</f>
        <v>0</v>
      </c>
      <c r="T13" s="488">
        <f t="shared" ref="T13:T22" si="21">Q13+S13</f>
        <v>36000000</v>
      </c>
      <c r="U13" s="527">
        <f t="shared" si="8"/>
        <v>0</v>
      </c>
      <c r="V13" s="521">
        <f t="shared" si="9"/>
        <v>0</v>
      </c>
      <c r="W13" s="487"/>
      <c r="X13" s="487">
        <f t="shared" si="10"/>
        <v>0</v>
      </c>
      <c r="Y13" s="487"/>
      <c r="Z13" s="531">
        <f t="shared" si="11"/>
        <v>0</v>
      </c>
      <c r="AA13" s="534"/>
      <c r="AB13" s="540">
        <f t="shared" si="12"/>
        <v>63300826.155600011</v>
      </c>
      <c r="AC13" s="548">
        <f t="shared" si="16"/>
        <v>0</v>
      </c>
      <c r="AD13" s="489">
        <f t="shared" si="17"/>
        <v>0</v>
      </c>
      <c r="AE13" s="549">
        <f t="shared" si="18"/>
        <v>0</v>
      </c>
      <c r="AF13" s="544">
        <f>IF('사업수지표 '!$AD$27*(($I$22-I13)/$I$22)&lt;=0,0,'사업수지표 '!$AD$27*(($I$22-I13)/$I$22))</f>
        <v>25216430.222378429</v>
      </c>
      <c r="AG13" s="490">
        <f t="shared" si="14"/>
        <v>0</v>
      </c>
      <c r="AH13" s="554">
        <f t="shared" si="19"/>
        <v>0.39835862742760769</v>
      </c>
      <c r="AI13" s="491"/>
      <c r="AJ13" s="396"/>
    </row>
    <row r="14" spans="2:36" ht="17.100000000000001" customHeight="1">
      <c r="I14" s="514">
        <v>0.7</v>
      </c>
      <c r="J14" s="521">
        <f t="shared" si="0"/>
        <v>11077644.577230003</v>
      </c>
      <c r="K14" s="487">
        <f t="shared" si="1"/>
        <v>64453513.162500009</v>
      </c>
      <c r="L14" s="487">
        <f t="shared" si="2"/>
        <v>35245288.032570012</v>
      </c>
      <c r="M14" s="487">
        <f t="shared" si="3"/>
        <v>106863501.93750001</v>
      </c>
      <c r="N14" s="487">
        <f t="shared" si="4"/>
        <v>0</v>
      </c>
      <c r="O14" s="487" t="e">
        <f>#REF!*I14</f>
        <v>#REF!</v>
      </c>
      <c r="P14" s="522">
        <f t="shared" si="15"/>
        <v>110776445.77230003</v>
      </c>
      <c r="Q14" s="509">
        <f t="shared" si="13"/>
        <v>36000000</v>
      </c>
      <c r="R14" s="487">
        <f t="shared" si="5"/>
        <v>74776445.772300035</v>
      </c>
      <c r="S14" s="488">
        <f t="shared" si="20"/>
        <v>0</v>
      </c>
      <c r="T14" s="488">
        <f t="shared" si="21"/>
        <v>36000000</v>
      </c>
      <c r="U14" s="527">
        <f t="shared" si="8"/>
        <v>0</v>
      </c>
      <c r="V14" s="521">
        <f t="shared" si="9"/>
        <v>0</v>
      </c>
      <c r="W14" s="487"/>
      <c r="X14" s="487">
        <f t="shared" si="10"/>
        <v>0</v>
      </c>
      <c r="Y14" s="487"/>
      <c r="Z14" s="531">
        <f t="shared" si="11"/>
        <v>0</v>
      </c>
      <c r="AA14" s="534"/>
      <c r="AB14" s="540">
        <f t="shared" si="12"/>
        <v>47475619.616700009</v>
      </c>
      <c r="AC14" s="548">
        <f t="shared" si="16"/>
        <v>0</v>
      </c>
      <c r="AD14" s="489">
        <f t="shared" si="17"/>
        <v>0</v>
      </c>
      <c r="AE14" s="549">
        <f t="shared" si="18"/>
        <v>0</v>
      </c>
      <c r="AF14" s="544">
        <f>IF('사업수지표 '!$AD$27*(($I$22-I14)/$I$22)&lt;=0,0,'사업수지표 '!$AD$27*(($I$22-I14)/$I$22))</f>
        <v>15387338.051108174</v>
      </c>
      <c r="AG14" s="490">
        <f t="shared" si="14"/>
        <v>0</v>
      </c>
      <c r="AH14" s="554">
        <f t="shared" si="19"/>
        <v>0.32411031547012248</v>
      </c>
      <c r="AI14" s="486"/>
    </row>
    <row r="15" spans="2:36" ht="17.100000000000001" customHeight="1">
      <c r="B15" s="473" t="s">
        <v>113</v>
      </c>
      <c r="I15" s="514">
        <v>0.8</v>
      </c>
      <c r="J15" s="521">
        <f t="shared" si="0"/>
        <v>12660165.231120005</v>
      </c>
      <c r="K15" s="487">
        <f t="shared" si="1"/>
        <v>73661157.900000021</v>
      </c>
      <c r="L15" s="487">
        <f t="shared" si="2"/>
        <v>40280329.180080019</v>
      </c>
      <c r="M15" s="487">
        <f t="shared" si="3"/>
        <v>122129716.50000003</v>
      </c>
      <c r="N15" s="487">
        <f t="shared" si="4"/>
        <v>0</v>
      </c>
      <c r="O15" s="487" t="e">
        <f>#REF!*I15</f>
        <v>#REF!</v>
      </c>
      <c r="P15" s="522">
        <f t="shared" si="15"/>
        <v>126601652.31120005</v>
      </c>
      <c r="Q15" s="509">
        <f t="shared" si="13"/>
        <v>36000000</v>
      </c>
      <c r="R15" s="487">
        <f t="shared" si="5"/>
        <v>90601652.311200052</v>
      </c>
      <c r="S15" s="488">
        <f t="shared" si="20"/>
        <v>0</v>
      </c>
      <c r="T15" s="488">
        <f t="shared" si="21"/>
        <v>36000000</v>
      </c>
      <c r="U15" s="527">
        <f t="shared" si="8"/>
        <v>0</v>
      </c>
      <c r="V15" s="521">
        <f t="shared" si="9"/>
        <v>0</v>
      </c>
      <c r="W15" s="487"/>
      <c r="X15" s="487">
        <f t="shared" si="10"/>
        <v>0</v>
      </c>
      <c r="Y15" s="487"/>
      <c r="Z15" s="531">
        <f t="shared" si="11"/>
        <v>0</v>
      </c>
      <c r="AA15" s="534"/>
      <c r="AB15" s="540">
        <f t="shared" si="12"/>
        <v>31650413.077800006</v>
      </c>
      <c r="AC15" s="548">
        <f t="shared" si="16"/>
        <v>0</v>
      </c>
      <c r="AD15" s="489">
        <f t="shared" si="17"/>
        <v>0</v>
      </c>
      <c r="AE15" s="549">
        <f t="shared" si="18"/>
        <v>0</v>
      </c>
      <c r="AF15" s="544">
        <f>IF('사업수지표 '!$AD$27*(($I$22-I15)/$I$22)&lt;=0,0,'사업수지표 '!$AD$27*(($I$22-I15)/$I$22))</f>
        <v>5558245.879837906</v>
      </c>
      <c r="AG15" s="490">
        <f t="shared" si="14"/>
        <v>0</v>
      </c>
      <c r="AH15" s="554">
        <f t="shared" si="19"/>
        <v>0.17561369155515158</v>
      </c>
      <c r="AI15" s="486"/>
    </row>
    <row r="16" spans="2:36" ht="17.100000000000001" customHeight="1">
      <c r="B16" s="643" t="s">
        <v>57</v>
      </c>
      <c r="C16" s="2398" t="s">
        <v>114</v>
      </c>
      <c r="D16" s="2398"/>
      <c r="E16" s="2398"/>
      <c r="F16" s="2404"/>
      <c r="I16" s="515">
        <v>0.9</v>
      </c>
      <c r="J16" s="521">
        <f t="shared" si="0"/>
        <v>14242685.885010004</v>
      </c>
      <c r="K16" s="487">
        <f t="shared" si="1"/>
        <v>82868802.637500018</v>
      </c>
      <c r="L16" s="487">
        <f t="shared" si="2"/>
        <v>45315370.327590019</v>
      </c>
      <c r="M16" s="487">
        <f t="shared" si="3"/>
        <v>137395931.06250003</v>
      </c>
      <c r="N16" s="487">
        <f t="shared" si="4"/>
        <v>0</v>
      </c>
      <c r="O16" s="487" t="e">
        <f>#REF!*I16</f>
        <v>#REF!</v>
      </c>
      <c r="P16" s="522">
        <f t="shared" si="15"/>
        <v>142426858.85010004</v>
      </c>
      <c r="Q16" s="509">
        <f t="shared" si="13"/>
        <v>36000000</v>
      </c>
      <c r="R16" s="487">
        <f t="shared" si="5"/>
        <v>97550636.358732611</v>
      </c>
      <c r="S16" s="488">
        <f t="shared" si="20"/>
        <v>8876222.4913674295</v>
      </c>
      <c r="T16" s="488">
        <f t="shared" si="21"/>
        <v>44876222.491367429</v>
      </c>
      <c r="U16" s="527">
        <f t="shared" si="8"/>
        <v>8876222.4913674295</v>
      </c>
      <c r="V16" s="521">
        <f t="shared" si="9"/>
        <v>0</v>
      </c>
      <c r="W16" s="487"/>
      <c r="X16" s="487">
        <f t="shared" si="10"/>
        <v>0</v>
      </c>
      <c r="Y16" s="487"/>
      <c r="Z16" s="531">
        <f t="shared" si="11"/>
        <v>0</v>
      </c>
      <c r="AA16" s="535"/>
      <c r="AB16" s="540">
        <f t="shared" si="12"/>
        <v>15825206.538899988</v>
      </c>
      <c r="AC16" s="548">
        <f t="shared" si="16"/>
        <v>0</v>
      </c>
      <c r="AD16" s="489">
        <f t="shared" si="17"/>
        <v>0</v>
      </c>
      <c r="AE16" s="549">
        <f t="shared" si="18"/>
        <v>0</v>
      </c>
      <c r="AF16" s="544">
        <f>IF('사업수지표 '!$AD$27*(($I$22-I16)/$I$22)&lt;=0,0,'사업수지표 '!$AD$27*(($I$22-I16)/$I$22))</f>
        <v>0</v>
      </c>
      <c r="AG16" s="490">
        <f t="shared" si="14"/>
        <v>17752444.982734859</v>
      </c>
      <c r="AH16" s="554">
        <f t="shared" si="19"/>
        <v>0</v>
      </c>
      <c r="AI16" s="486"/>
    </row>
    <row r="17" spans="2:35" ht="17.100000000000001" customHeight="1">
      <c r="B17" s="483" t="s">
        <v>115</v>
      </c>
      <c r="C17" s="645" t="s">
        <v>116</v>
      </c>
      <c r="D17" s="645" t="s">
        <v>117</v>
      </c>
      <c r="E17" s="484" t="str">
        <f>총괄장!W14</f>
        <v>Equity 시트</v>
      </c>
      <c r="F17" s="485">
        <f>C22</f>
        <v>0.2</v>
      </c>
      <c r="I17" s="571">
        <v>1</v>
      </c>
      <c r="J17" s="572">
        <f t="shared" si="0"/>
        <v>15825206.538900005</v>
      </c>
      <c r="K17" s="573">
        <f t="shared" si="1"/>
        <v>92076447.375000015</v>
      </c>
      <c r="L17" s="573">
        <f t="shared" si="2"/>
        <v>50350411.475100018</v>
      </c>
      <c r="M17" s="573">
        <f t="shared" si="3"/>
        <v>152662145.62500003</v>
      </c>
      <c r="N17" s="573">
        <f t="shared" si="4"/>
        <v>0</v>
      </c>
      <c r="O17" s="573" t="e">
        <f>#REF!*I17</f>
        <v>#REF!</v>
      </c>
      <c r="P17" s="574">
        <f t="shared" si="15"/>
        <v>158252065.38900003</v>
      </c>
      <c r="Q17" s="575">
        <f t="shared" si="13"/>
        <v>36000000</v>
      </c>
      <c r="R17" s="573">
        <f t="shared" si="5"/>
        <v>97550636.358732611</v>
      </c>
      <c r="S17" s="576">
        <f t="shared" si="20"/>
        <v>24701429.030267417</v>
      </c>
      <c r="T17" s="576">
        <f t="shared" si="21"/>
        <v>60701429.030267417</v>
      </c>
      <c r="U17" s="577">
        <f t="shared" si="8"/>
        <v>24701429.030267417</v>
      </c>
      <c r="V17" s="572">
        <f t="shared" si="9"/>
        <v>0</v>
      </c>
      <c r="W17" s="573">
        <f>Q17-V7</f>
        <v>0</v>
      </c>
      <c r="X17" s="573">
        <f t="shared" si="10"/>
        <v>0</v>
      </c>
      <c r="Y17" s="573"/>
      <c r="Z17" s="578">
        <f t="shared" si="11"/>
        <v>0</v>
      </c>
      <c r="AA17" s="579"/>
      <c r="AB17" s="580">
        <f t="shared" si="12"/>
        <v>0</v>
      </c>
      <c r="AC17" s="581">
        <f t="shared" si="16"/>
        <v>0</v>
      </c>
      <c r="AD17" s="582">
        <f t="shared" si="17"/>
        <v>0</v>
      </c>
      <c r="AE17" s="583">
        <f t="shared" si="18"/>
        <v>0</v>
      </c>
      <c r="AF17" s="584">
        <f>IF('사업수지표 '!$AD$27*(($I$22-I17)/$I$22)&lt;=0,0,'사업수지표 '!$AD$27*(($I$22-I17)/$I$22))</f>
        <v>0</v>
      </c>
      <c r="AG17" s="585">
        <f t="shared" si="14"/>
        <v>49402858.060534835</v>
      </c>
      <c r="AH17" s="586">
        <f t="shared" si="19"/>
        <v>0</v>
      </c>
      <c r="AI17" s="486"/>
    </row>
    <row r="18" spans="2:35" ht="17.100000000000001" customHeight="1">
      <c r="B18" s="2405" t="s">
        <v>118</v>
      </c>
      <c r="C18" s="2383" t="s">
        <v>116</v>
      </c>
      <c r="D18" s="2383"/>
      <c r="E18" s="2407">
        <v>1</v>
      </c>
      <c r="F18" s="2408"/>
      <c r="H18" s="470" t="s">
        <v>1140</v>
      </c>
      <c r="I18" s="589">
        <v>0.50048141962633774</v>
      </c>
      <c r="J18" s="590">
        <f t="shared" si="0"/>
        <v>7920221.8344686776</v>
      </c>
      <c r="K18" s="591">
        <f t="shared" si="1"/>
        <v>46082551.096389785</v>
      </c>
      <c r="L18" s="591">
        <f t="shared" si="2"/>
        <v>25199445.413828302</v>
      </c>
      <c r="M18" s="591">
        <f t="shared" si="3"/>
        <v>76404567.365602717</v>
      </c>
      <c r="N18" s="591">
        <f t="shared" si="4"/>
        <v>0</v>
      </c>
      <c r="O18" s="591" t="e">
        <f>#REF!*I18</f>
        <v>#REF!</v>
      </c>
      <c r="P18" s="592">
        <f t="shared" si="15"/>
        <v>79202218.344686761</v>
      </c>
      <c r="Q18" s="593">
        <f t="shared" si="13"/>
        <v>36000000</v>
      </c>
      <c r="R18" s="591">
        <f t="shared" si="5"/>
        <v>43202218.344686761</v>
      </c>
      <c r="S18" s="594">
        <f t="shared" si="20"/>
        <v>0</v>
      </c>
      <c r="T18" s="594">
        <f t="shared" si="21"/>
        <v>36000000</v>
      </c>
      <c r="U18" s="595">
        <f t="shared" si="8"/>
        <v>0</v>
      </c>
      <c r="V18" s="590">
        <f t="shared" si="9"/>
        <v>0</v>
      </c>
      <c r="W18" s="591">
        <f>Q18-V7</f>
        <v>0</v>
      </c>
      <c r="X18" s="591">
        <f t="shared" si="10"/>
        <v>0</v>
      </c>
      <c r="Y18" s="591"/>
      <c r="Z18" s="596">
        <f t="shared" si="11"/>
        <v>0</v>
      </c>
      <c r="AA18" s="597"/>
      <c r="AB18" s="598">
        <f t="shared" si="12"/>
        <v>79049847.044313267</v>
      </c>
      <c r="AC18" s="599">
        <f t="shared" si="16"/>
        <v>0</v>
      </c>
      <c r="AD18" s="600">
        <f t="shared" si="17"/>
        <v>0</v>
      </c>
      <c r="AE18" s="601">
        <f t="shared" si="18"/>
        <v>0</v>
      </c>
      <c r="AF18" s="593">
        <f>IF('사업수지표 '!$AD$27*(($I$22-I18)/$I$22)&lt;=0,0,'사업수지표 '!$AD$27*(($I$22-I18)/$I$22))</f>
        <v>34998203.214845367</v>
      </c>
      <c r="AG18" s="568">
        <f t="shared" si="14"/>
        <v>0</v>
      </c>
      <c r="AH18" s="602">
        <f t="shared" si="19"/>
        <v>0.44273587519057811</v>
      </c>
      <c r="AI18" s="486"/>
    </row>
    <row r="19" spans="2:35" ht="17.100000000000001" customHeight="1">
      <c r="B19" s="2406"/>
      <c r="C19" s="2409" t="s">
        <v>119</v>
      </c>
      <c r="D19" s="2409"/>
      <c r="E19" s="2409"/>
      <c r="F19" s="2410"/>
      <c r="H19" s="471" t="s">
        <v>1141</v>
      </c>
      <c r="I19" s="516">
        <v>0.50048141962633774</v>
      </c>
      <c r="J19" s="523">
        <f t="shared" si="0"/>
        <v>7920221.8344686776</v>
      </c>
      <c r="K19" s="493">
        <f t="shared" si="1"/>
        <v>46082551.096389785</v>
      </c>
      <c r="L19" s="493">
        <f t="shared" si="2"/>
        <v>25199445.413828302</v>
      </c>
      <c r="M19" s="493">
        <f t="shared" si="3"/>
        <v>76404567.365602717</v>
      </c>
      <c r="N19" s="493">
        <f t="shared" si="4"/>
        <v>0</v>
      </c>
      <c r="O19" s="493" t="e">
        <f>#REF!*I19</f>
        <v>#REF!</v>
      </c>
      <c r="P19" s="524">
        <f t="shared" si="15"/>
        <v>79202218.344686761</v>
      </c>
      <c r="Q19" s="510">
        <f t="shared" si="13"/>
        <v>36000000</v>
      </c>
      <c r="R19" s="493">
        <f t="shared" si="5"/>
        <v>43202218.344686761</v>
      </c>
      <c r="S19" s="494">
        <f t="shared" si="20"/>
        <v>0</v>
      </c>
      <c r="T19" s="494">
        <f t="shared" si="21"/>
        <v>36000000</v>
      </c>
      <c r="U19" s="528">
        <f t="shared" si="8"/>
        <v>0</v>
      </c>
      <c r="V19" s="523">
        <f t="shared" si="9"/>
        <v>0</v>
      </c>
      <c r="W19" s="493">
        <f>Q19-$V$7</f>
        <v>0</v>
      </c>
      <c r="X19" s="493">
        <f t="shared" si="10"/>
        <v>0</v>
      </c>
      <c r="Y19" s="493"/>
      <c r="Z19" s="532">
        <f t="shared" si="11"/>
        <v>0</v>
      </c>
      <c r="AA19" s="536"/>
      <c r="AB19" s="541">
        <f t="shared" si="12"/>
        <v>79049847.044313267</v>
      </c>
      <c r="AC19" s="550">
        <f t="shared" si="16"/>
        <v>0</v>
      </c>
      <c r="AD19" s="495">
        <f t="shared" si="17"/>
        <v>0</v>
      </c>
      <c r="AE19" s="551">
        <f t="shared" si="18"/>
        <v>0</v>
      </c>
      <c r="AF19" s="510">
        <f>IF('사업수지표 '!$AD$27*(($I$22-I19)/$I$22)&lt;=0,0,'사업수지표 '!$AD$27*(($I$22-I19)/$I$22))</f>
        <v>34998203.214845367</v>
      </c>
      <c r="AG19" s="490">
        <f t="shared" si="14"/>
        <v>0</v>
      </c>
      <c r="AH19" s="570">
        <f t="shared" si="19"/>
        <v>0.44273587519057811</v>
      </c>
      <c r="AI19" s="486"/>
    </row>
    <row r="20" spans="2:35" ht="17.100000000000001" customHeight="1">
      <c r="B20" s="473" t="s">
        <v>1516</v>
      </c>
      <c r="E20" s="397"/>
      <c r="H20" s="472" t="s">
        <v>1142</v>
      </c>
      <c r="I20" s="603">
        <v>0.50048141962633774</v>
      </c>
      <c r="J20" s="604">
        <f t="shared" si="0"/>
        <v>7920221.8344686776</v>
      </c>
      <c r="K20" s="605">
        <f t="shared" si="1"/>
        <v>46082551.096389785</v>
      </c>
      <c r="L20" s="605">
        <f t="shared" si="2"/>
        <v>25199445.413828302</v>
      </c>
      <c r="M20" s="605">
        <f t="shared" si="3"/>
        <v>76404567.365602717</v>
      </c>
      <c r="N20" s="605">
        <f t="shared" si="4"/>
        <v>0</v>
      </c>
      <c r="O20" s="605" t="e">
        <f>#REF!*I20</f>
        <v>#REF!</v>
      </c>
      <c r="P20" s="606">
        <f t="shared" si="15"/>
        <v>79202218.344686761</v>
      </c>
      <c r="Q20" s="607">
        <f t="shared" si="13"/>
        <v>36000000</v>
      </c>
      <c r="R20" s="605">
        <f t="shared" si="5"/>
        <v>43202218.344686761</v>
      </c>
      <c r="S20" s="608">
        <f t="shared" si="20"/>
        <v>0</v>
      </c>
      <c r="T20" s="608">
        <f>Q20+S20</f>
        <v>36000000</v>
      </c>
      <c r="U20" s="609">
        <f t="shared" si="8"/>
        <v>0</v>
      </c>
      <c r="V20" s="604">
        <f t="shared" si="9"/>
        <v>0</v>
      </c>
      <c r="W20" s="605">
        <f>Q20-$V$7</f>
        <v>0</v>
      </c>
      <c r="X20" s="605">
        <f t="shared" si="10"/>
        <v>0</v>
      </c>
      <c r="Y20" s="605"/>
      <c r="Z20" s="610">
        <f t="shared" si="11"/>
        <v>0</v>
      </c>
      <c r="AA20" s="611"/>
      <c r="AB20" s="612">
        <f t="shared" si="12"/>
        <v>79049847.044313267</v>
      </c>
      <c r="AC20" s="613">
        <f t="shared" si="16"/>
        <v>0</v>
      </c>
      <c r="AD20" s="614">
        <f t="shared" si="17"/>
        <v>0</v>
      </c>
      <c r="AE20" s="615">
        <f t="shared" si="18"/>
        <v>0</v>
      </c>
      <c r="AF20" s="607">
        <f>IF('사업수지표 '!$AD$27*(($I$22-I20)/$I$22)&lt;=0,0,'사업수지표 '!$AD$27*(($I$22-I20)/$I$22))</f>
        <v>34998203.214845367</v>
      </c>
      <c r="AG20" s="499">
        <f t="shared" si="14"/>
        <v>0</v>
      </c>
      <c r="AH20" s="616">
        <f t="shared" si="19"/>
        <v>0.44273587519057811</v>
      </c>
      <c r="AI20" s="486"/>
    </row>
    <row r="21" spans="2:35" ht="17.100000000000001" customHeight="1">
      <c r="B21" s="643" t="s">
        <v>57</v>
      </c>
      <c r="C21" s="644" t="s">
        <v>110</v>
      </c>
      <c r="D21" s="644" t="s">
        <v>111</v>
      </c>
      <c r="E21" s="646" t="s">
        <v>112</v>
      </c>
      <c r="F21" s="1825"/>
      <c r="H21" s="1772" t="s">
        <v>1497</v>
      </c>
      <c r="I21" s="587">
        <v>0.84391086479946553</v>
      </c>
      <c r="J21" s="519">
        <f t="shared" si="0"/>
        <v>13355063.73587326</v>
      </c>
      <c r="K21" s="504">
        <f t="shared" si="1"/>
        <v>77704314.331898734</v>
      </c>
      <c r="L21" s="504">
        <f t="shared" si="2"/>
        <v>42491259.290960588</v>
      </c>
      <c r="M21" s="504">
        <f t="shared" si="3"/>
        <v>128833243.33653572</v>
      </c>
      <c r="N21" s="504">
        <f t="shared" si="4"/>
        <v>0</v>
      </c>
      <c r="O21" s="504" t="e">
        <f>#REF!*I21</f>
        <v>#REF!</v>
      </c>
      <c r="P21" s="520">
        <f t="shared" si="15"/>
        <v>133550637.35873258</v>
      </c>
      <c r="Q21" s="508">
        <f t="shared" si="13"/>
        <v>36000000</v>
      </c>
      <c r="R21" s="504">
        <f t="shared" si="5"/>
        <v>97550636.358732611</v>
      </c>
      <c r="S21" s="505">
        <f t="shared" si="20"/>
        <v>0.99999997019767761</v>
      </c>
      <c r="T21" s="505">
        <f t="shared" si="21"/>
        <v>36000000.99999997</v>
      </c>
      <c r="U21" s="526">
        <f t="shared" si="8"/>
        <v>0.99999997019767761</v>
      </c>
      <c r="V21" s="519">
        <f t="shared" si="9"/>
        <v>0</v>
      </c>
      <c r="W21" s="504">
        <f>Q21-$V$7</f>
        <v>0</v>
      </c>
      <c r="X21" s="504">
        <f t="shared" si="10"/>
        <v>0</v>
      </c>
      <c r="Y21" s="504"/>
      <c r="Z21" s="530">
        <f t="shared" si="11"/>
        <v>0</v>
      </c>
      <c r="AA21" s="588"/>
      <c r="AB21" s="539">
        <f t="shared" si="12"/>
        <v>24701428.030267447</v>
      </c>
      <c r="AC21" s="546">
        <f t="shared" si="16"/>
        <v>0</v>
      </c>
      <c r="AD21" s="506">
        <f t="shared" si="17"/>
        <v>0</v>
      </c>
      <c r="AE21" s="547">
        <f t="shared" si="18"/>
        <v>0</v>
      </c>
      <c r="AF21" s="543">
        <f>IF('사업수지표 '!$AD$27*(($I$22-I21)/$I$22)&lt;=0,0,'사업수지표 '!$AD$27*(($I$22-I21)/$I$22))</f>
        <v>1242206.5054965757</v>
      </c>
      <c r="AG21" s="507">
        <f t="shared" si="14"/>
        <v>1.9999999403953552</v>
      </c>
      <c r="AH21" s="554">
        <f t="shared" si="19"/>
        <v>5.028885390652154E-2</v>
      </c>
      <c r="AI21" s="486"/>
    </row>
    <row r="22" spans="2:35" ht="17.100000000000001" customHeight="1">
      <c r="B22" s="483" t="str">
        <f>B5</f>
        <v>공동주택</v>
      </c>
      <c r="C22" s="622">
        <f>Equity!M6</f>
        <v>0.2</v>
      </c>
      <c r="D22" s="622">
        <f>Equity!N6</f>
        <v>0.2</v>
      </c>
      <c r="E22" s="622">
        <f>Equity!O6</f>
        <v>1</v>
      </c>
      <c r="F22" s="1825"/>
      <c r="H22" s="1772" t="s">
        <v>1143</v>
      </c>
      <c r="I22" s="1582">
        <v>0.85654892418329609</v>
      </c>
      <c r="J22" s="572">
        <f t="shared" si="0"/>
        <v>13555063.635873262</v>
      </c>
      <c r="K22" s="573">
        <f t="shared" si="1"/>
        <v>78867981.94167614</v>
      </c>
      <c r="L22" s="573">
        <f t="shared" si="2"/>
        <v>43127590.781183206</v>
      </c>
      <c r="M22" s="573">
        <f t="shared" si="3"/>
        <v>130762596.59860745</v>
      </c>
      <c r="N22" s="573">
        <f t="shared" si="4"/>
        <v>0</v>
      </c>
      <c r="O22" s="573" t="e">
        <f>#REF!*I22</f>
        <v>#REF!</v>
      </c>
      <c r="P22" s="1583">
        <f t="shared" si="15"/>
        <v>135550636.35873261</v>
      </c>
      <c r="Q22" s="575">
        <f t="shared" si="13"/>
        <v>36000000</v>
      </c>
      <c r="R22" s="573">
        <f t="shared" si="5"/>
        <v>97550636.358732611</v>
      </c>
      <c r="S22" s="576">
        <f t="shared" si="20"/>
        <v>2000000</v>
      </c>
      <c r="T22" s="576">
        <f t="shared" si="21"/>
        <v>38000000</v>
      </c>
      <c r="U22" s="577">
        <f t="shared" si="8"/>
        <v>2000000</v>
      </c>
      <c r="V22" s="572">
        <f t="shared" si="9"/>
        <v>0</v>
      </c>
      <c r="W22" s="573">
        <f>Q22-$V$7</f>
        <v>0</v>
      </c>
      <c r="X22" s="573">
        <f t="shared" si="10"/>
        <v>0</v>
      </c>
      <c r="Y22" s="573"/>
      <c r="Z22" s="578">
        <f t="shared" si="11"/>
        <v>0</v>
      </c>
      <c r="AA22" s="579"/>
      <c r="AB22" s="580">
        <f t="shared" si="12"/>
        <v>22701429.030267417</v>
      </c>
      <c r="AC22" s="581">
        <f t="shared" si="16"/>
        <v>0</v>
      </c>
      <c r="AD22" s="582">
        <f t="shared" si="17"/>
        <v>0</v>
      </c>
      <c r="AE22" s="583">
        <f t="shared" si="18"/>
        <v>0</v>
      </c>
      <c r="AF22" s="584">
        <f>IF('사업수지표 '!$AD$27*(($I$22-I22)/$I$22)&lt;=0,0,'사업수지표 '!$AD$27*(($I$22-I22)/$I$22))</f>
        <v>0</v>
      </c>
      <c r="AG22" s="585">
        <f t="shared" si="14"/>
        <v>4000000</v>
      </c>
      <c r="AH22" s="586">
        <f t="shared" si="19"/>
        <v>0</v>
      </c>
      <c r="AI22" s="486"/>
    </row>
    <row r="23" spans="2:35" ht="17.100000000000001" customHeight="1">
      <c r="B23" s="483" t="str">
        <f t="shared" ref="B23:B30" si="22">B6</f>
        <v>오피스텔</v>
      </c>
      <c r="C23" s="618">
        <f>Equity!M7</f>
        <v>0.2</v>
      </c>
      <c r="D23" s="618">
        <f>Equity!N7</f>
        <v>0.2</v>
      </c>
      <c r="E23" s="619">
        <f>Equity!O7</f>
        <v>1</v>
      </c>
      <c r="F23" s="1825"/>
      <c r="H23" s="1585" t="s">
        <v>1354</v>
      </c>
      <c r="I23" s="517">
        <v>0.85654892418329609</v>
      </c>
      <c r="J23" s="525">
        <f t="shared" si="0"/>
        <v>13555063.635873262</v>
      </c>
      <c r="K23" s="496">
        <f t="shared" si="1"/>
        <v>78867981.94167614</v>
      </c>
      <c r="L23" s="496">
        <f t="shared" si="2"/>
        <v>43127590.781183206</v>
      </c>
      <c r="M23" s="496">
        <f t="shared" si="3"/>
        <v>130762596.59860745</v>
      </c>
      <c r="N23" s="496">
        <f t="shared" si="4"/>
        <v>0</v>
      </c>
      <c r="O23" s="496" t="e">
        <f>#REF!*I23</f>
        <v>#REF!</v>
      </c>
      <c r="P23" s="1215">
        <f>SUM(J23:L23)</f>
        <v>135550636.35873261</v>
      </c>
      <c r="Q23" s="511">
        <f t="shared" si="13"/>
        <v>36000000</v>
      </c>
      <c r="R23" s="496">
        <f t="shared" si="5"/>
        <v>97550636.358732611</v>
      </c>
      <c r="S23" s="497">
        <f>P23-Q23-R23</f>
        <v>2000000</v>
      </c>
      <c r="T23" s="497">
        <f>Q23+S23</f>
        <v>38000000</v>
      </c>
      <c r="U23" s="529">
        <f t="shared" si="8"/>
        <v>2000000</v>
      </c>
      <c r="V23" s="525">
        <f t="shared" si="9"/>
        <v>0</v>
      </c>
      <c r="W23" s="496">
        <f>Q23-$V$7</f>
        <v>0</v>
      </c>
      <c r="X23" s="496">
        <f t="shared" si="10"/>
        <v>0</v>
      </c>
      <c r="Y23" s="496"/>
      <c r="Z23" s="533">
        <f t="shared" si="11"/>
        <v>0</v>
      </c>
      <c r="AA23" s="537"/>
      <c r="AB23" s="542">
        <f t="shared" si="12"/>
        <v>22701429.030267417</v>
      </c>
      <c r="AC23" s="552">
        <f>IFERROR(V23/AB23,0)</f>
        <v>0</v>
      </c>
      <c r="AD23" s="498">
        <f>IFERROR((X23)/AB23,0)</f>
        <v>0</v>
      </c>
      <c r="AE23" s="553">
        <f>IFERROR((Z23)/AB23,0)</f>
        <v>0</v>
      </c>
      <c r="AF23" s="545">
        <f>IF('사업수지표 '!$AD$27*(($I$22-I23)/$I$22)&lt;=0,0,'사업수지표 '!$AD$27*(($I$22-I23)/$I$22))</f>
        <v>0</v>
      </c>
      <c r="AG23" s="499">
        <f t="shared" si="14"/>
        <v>4000000</v>
      </c>
      <c r="AH23" s="1584">
        <f>IFERROR((Z23+AF23)/AB23,0)</f>
        <v>0</v>
      </c>
      <c r="AI23" s="486"/>
    </row>
    <row r="24" spans="2:35" ht="17.100000000000001" customHeight="1">
      <c r="B24" s="483" t="str">
        <f t="shared" si="22"/>
        <v>근린생활시설</v>
      </c>
      <c r="C24" s="618">
        <f>Equity!M8</f>
        <v>0.2</v>
      </c>
      <c r="D24" s="618">
        <f>Equity!N8</f>
        <v>0.2</v>
      </c>
      <c r="E24" s="619">
        <f>Equity!O8</f>
        <v>1</v>
      </c>
      <c r="F24" s="1825"/>
      <c r="I24" s="486" t="s">
        <v>1541</v>
      </c>
      <c r="J24" s="912">
        <f>'사업수지표 '!E20</f>
        <v>158252065.38900003</v>
      </c>
      <c r="K24" s="486"/>
      <c r="L24" s="486"/>
      <c r="M24" s="486"/>
      <c r="N24" s="486"/>
      <c r="O24" s="486"/>
      <c r="P24" s="486"/>
      <c r="Q24" s="486"/>
      <c r="R24" s="486"/>
      <c r="S24" s="486"/>
      <c r="T24" s="486"/>
      <c r="U24" s="486"/>
      <c r="V24" s="486"/>
      <c r="W24" s="486"/>
      <c r="X24" s="486"/>
      <c r="Y24" s="486"/>
      <c r="Z24" s="486"/>
      <c r="AA24" s="501"/>
      <c r="AB24" s="503"/>
      <c r="AC24" s="502"/>
      <c r="AD24" s="502"/>
      <c r="AE24" s="502"/>
      <c r="AF24" s="486">
        <v>0</v>
      </c>
      <c r="AG24" s="486"/>
      <c r="AH24" s="486"/>
      <c r="AI24" s="486"/>
    </row>
    <row r="25" spans="2:35" ht="17.100000000000001" customHeight="1">
      <c r="B25" s="483" t="str">
        <f t="shared" si="22"/>
        <v>도시형생활주택</v>
      </c>
      <c r="C25" s="618">
        <f>Equity!M9</f>
        <v>0.2</v>
      </c>
      <c r="D25" s="618">
        <f>Equity!N9</f>
        <v>0.2</v>
      </c>
      <c r="E25" s="619">
        <f>Equity!O9</f>
        <v>1</v>
      </c>
      <c r="I25" s="486" t="s">
        <v>1519</v>
      </c>
      <c r="J25" s="912">
        <f>'사업수지표 '!E96</f>
        <v>135550636.35873261</v>
      </c>
      <c r="K25" s="486"/>
      <c r="L25" s="486"/>
      <c r="M25" s="486"/>
      <c r="N25" s="486"/>
      <c r="O25" s="486"/>
      <c r="P25" s="486"/>
      <c r="Q25" s="486"/>
      <c r="R25" s="486"/>
      <c r="S25" s="486"/>
      <c r="T25" s="486"/>
      <c r="U25" s="1773" t="s">
        <v>1223</v>
      </c>
      <c r="V25" s="452" t="s">
        <v>1144</v>
      </c>
      <c r="W25" s="452"/>
      <c r="X25" s="1774">
        <f>SUM(V27:Z27)</f>
        <v>36000000</v>
      </c>
      <c r="Y25" s="1774"/>
      <c r="Z25" s="1774">
        <v>1</v>
      </c>
      <c r="AA25" s="501"/>
      <c r="AB25" s="503"/>
      <c r="AC25" s="502"/>
      <c r="AD25" s="502"/>
      <c r="AE25" s="502"/>
      <c r="AF25" s="486" t="s">
        <v>1355</v>
      </c>
      <c r="AG25" s="486"/>
      <c r="AH25" s="486"/>
      <c r="AI25" s="486"/>
    </row>
    <row r="26" spans="2:35" ht="17.100000000000001" customHeight="1">
      <c r="B26" s="483" t="str">
        <f t="shared" si="22"/>
        <v>지식산업센터</v>
      </c>
      <c r="C26" s="618">
        <f>Equity!M10</f>
        <v>0.2</v>
      </c>
      <c r="D26" s="618">
        <f>Equity!N10</f>
        <v>0.2</v>
      </c>
      <c r="E26" s="619">
        <f>Equity!O10</f>
        <v>1</v>
      </c>
      <c r="I26" s="486" t="s">
        <v>1496</v>
      </c>
      <c r="J26" s="1214">
        <f>(SUMPRODUCT(E34:E42,C5:C13,C58:C66)+SUMPRODUCT(E34:E42,D5:D13,D58:D66))</f>
        <v>86321323.131120026</v>
      </c>
      <c r="K26" s="486"/>
      <c r="L26" s="486"/>
      <c r="M26" s="486"/>
      <c r="N26" s="486"/>
      <c r="O26" s="486"/>
      <c r="P26" s="486"/>
      <c r="Q26" s="486"/>
      <c r="R26" s="486"/>
      <c r="S26" s="486"/>
      <c r="T26" s="486"/>
      <c r="U26" s="1773"/>
      <c r="V26" s="452" t="s">
        <v>131</v>
      </c>
      <c r="W26" s="452"/>
      <c r="X26" s="453" t="s">
        <v>132</v>
      </c>
      <c r="Y26" s="453"/>
      <c r="Z26" s="452" t="s">
        <v>133</v>
      </c>
      <c r="AA26" s="501"/>
      <c r="AB26" s="503"/>
      <c r="AC26" s="502"/>
      <c r="AD26" s="502"/>
      <c r="AE26" s="502"/>
      <c r="AF26" s="486"/>
      <c r="AG26" s="486"/>
      <c r="AH26" s="486"/>
      <c r="AI26" s="486"/>
    </row>
    <row r="27" spans="2:35" ht="17.100000000000001" customHeight="1">
      <c r="B27" s="483" t="str">
        <f t="shared" si="22"/>
        <v>물류센터</v>
      </c>
      <c r="C27" s="618">
        <f>Equity!M11</f>
        <v>0.2</v>
      </c>
      <c r="D27" s="618">
        <f>Equity!N11</f>
        <v>0.2</v>
      </c>
      <c r="E27" s="619">
        <f>Equity!O11</f>
        <v>1</v>
      </c>
      <c r="I27" s="486"/>
      <c r="J27" s="486"/>
      <c r="K27" s="486"/>
      <c r="L27" s="486"/>
      <c r="M27" s="486"/>
      <c r="N27" s="486"/>
      <c r="O27" s="486"/>
      <c r="P27" s="486"/>
      <c r="Q27" s="486"/>
      <c r="R27" s="486"/>
      <c r="S27" s="486"/>
      <c r="T27" s="486"/>
      <c r="U27" s="1773" t="s">
        <v>1225</v>
      </c>
      <c r="V27" s="1216">
        <f>'사업수지표 '!R42+'사업수지표 '!R43</f>
        <v>36000000</v>
      </c>
      <c r="W27" s="1216"/>
      <c r="X27" s="1216">
        <f>'사업수지표 '!R44+'사업수지표 '!R45</f>
        <v>0</v>
      </c>
      <c r="Y27" s="1216"/>
      <c r="Z27" s="1216">
        <f>'사업수지표 '!R46+'사업수지표 '!R47</f>
        <v>0</v>
      </c>
      <c r="AA27" s="501"/>
      <c r="AB27" s="500"/>
      <c r="AC27" s="502"/>
      <c r="AD27" s="502"/>
      <c r="AE27" s="502"/>
      <c r="AF27" s="486"/>
      <c r="AG27" s="486"/>
      <c r="AH27" s="486"/>
      <c r="AI27" s="486"/>
    </row>
    <row r="28" spans="2:35" ht="17.100000000000001" customHeight="1">
      <c r="B28" s="483" t="str">
        <f t="shared" si="22"/>
        <v>생활형숙박시설</v>
      </c>
      <c r="C28" s="618">
        <f>Equity!M12</f>
        <v>0.2</v>
      </c>
      <c r="D28" s="618">
        <f>Equity!N12</f>
        <v>0.2</v>
      </c>
      <c r="E28" s="619">
        <f>Equity!O12</f>
        <v>1</v>
      </c>
      <c r="I28" s="486"/>
      <c r="J28" s="486"/>
      <c r="K28" s="486" t="s">
        <v>1525</v>
      </c>
      <c r="L28" s="486"/>
      <c r="M28" s="486"/>
      <c r="N28" s="486"/>
      <c r="O28" s="486"/>
      <c r="P28" s="486"/>
      <c r="Q28" s="486"/>
      <c r="R28" s="486"/>
      <c r="S28" s="486"/>
      <c r="T28" s="486"/>
      <c r="U28" s="452" t="s">
        <v>1226</v>
      </c>
      <c r="V28" s="1217">
        <f>V27</f>
        <v>36000000</v>
      </c>
      <c r="W28" s="1218"/>
      <c r="X28" s="1217">
        <f>V27+X27</f>
        <v>36000000</v>
      </c>
      <c r="Y28" s="1218"/>
      <c r="Z28" s="1217">
        <f>X28+Z27</f>
        <v>36000000</v>
      </c>
      <c r="AA28" s="486"/>
      <c r="AB28" s="486"/>
      <c r="AC28" s="486"/>
      <c r="AD28" s="486"/>
      <c r="AE28" s="486"/>
      <c r="AF28" s="486"/>
      <c r="AG28" s="486"/>
      <c r="AH28" s="486"/>
      <c r="AI28" s="486"/>
    </row>
    <row r="29" spans="2:35" ht="17.100000000000001" customHeight="1">
      <c r="B29" s="483" t="str">
        <f t="shared" si="22"/>
        <v>분양형호텔</v>
      </c>
      <c r="C29" s="618">
        <f>Equity!M13</f>
        <v>0.2</v>
      </c>
      <c r="D29" s="618">
        <f>Equity!N13</f>
        <v>0.2</v>
      </c>
      <c r="E29" s="619">
        <f>Equity!O13</f>
        <v>1</v>
      </c>
      <c r="H29"/>
      <c r="K29" s="398">
        <f>SUMPRODUCT($C$5:$C$13,$E$34:$E$42,$C$22:$C$30)+SUMPRODUCT($D$5:$D$13,$E$34:$E$42,$D$22:$D$30)+SUMPRODUCT($E$5:$E$13,$E$34:$E$42,$E$22:$E$30)</f>
        <v>71930742.257880032</v>
      </c>
      <c r="AI29" s="486"/>
    </row>
    <row r="30" spans="2:35" ht="17.100000000000001" customHeight="1">
      <c r="B30" s="483" t="str">
        <f t="shared" si="22"/>
        <v>발코니확장비</v>
      </c>
      <c r="C30" s="620">
        <f>Equity!M14</f>
        <v>0.2</v>
      </c>
      <c r="D30" s="620">
        <f>Equity!N14</f>
        <v>0</v>
      </c>
      <c r="E30" s="621">
        <f>Equity!O14</f>
        <v>1</v>
      </c>
      <c r="I30" t="s">
        <v>1521</v>
      </c>
      <c r="K30" t="s">
        <v>1526</v>
      </c>
      <c r="L30" s="397"/>
    </row>
    <row r="31" spans="2:35" ht="17.100000000000001" customHeight="1">
      <c r="I31" t="s">
        <v>1522</v>
      </c>
      <c r="J31" s="1802">
        <f>'사업수지표 '!U105</f>
        <v>0.6</v>
      </c>
      <c r="K31" s="398">
        <f>ROUNDDOWN($K$29*J31,-6)</f>
        <v>43000000</v>
      </c>
    </row>
    <row r="32" spans="2:35" ht="19.2">
      <c r="B32" s="473" t="s">
        <v>121</v>
      </c>
      <c r="I32" t="s">
        <v>1523</v>
      </c>
      <c r="J32" s="1802">
        <f>'사업수지표 '!V105</f>
        <v>0.7</v>
      </c>
      <c r="K32" s="398">
        <f>ROUNDDOWN($K$29*J32,-6)-K31</f>
        <v>7000000</v>
      </c>
    </row>
    <row r="33" spans="2:9">
      <c r="B33" s="2397" t="s">
        <v>122</v>
      </c>
      <c r="C33" s="2398"/>
      <c r="D33" s="2398"/>
      <c r="E33" s="644" t="s">
        <v>37</v>
      </c>
      <c r="F33" s="646" t="s">
        <v>45</v>
      </c>
      <c r="I33" t="s">
        <v>1524</v>
      </c>
    </row>
    <row r="34" spans="2:9">
      <c r="B34" s="2399" t="s">
        <v>1244</v>
      </c>
      <c r="C34" s="2402" t="str">
        <f t="shared" ref="C34:C42" si="23">B5</f>
        <v>공동주택</v>
      </c>
      <c r="D34" s="2402"/>
      <c r="E34" s="479">
        <f>'사업수지표 '!E11</f>
        <v>152662145.62500003</v>
      </c>
      <c r="F34" s="480">
        <f t="shared" ref="F34:F43" si="24">E34/$E$43</f>
        <v>0.96467711337441697</v>
      </c>
    </row>
    <row r="35" spans="2:9">
      <c r="B35" s="2400"/>
      <c r="C35" s="2383" t="str">
        <f t="shared" si="23"/>
        <v>오피스텔</v>
      </c>
      <c r="D35" s="2383"/>
      <c r="E35" s="479">
        <f>'사업수지표 '!E12</f>
        <v>0</v>
      </c>
      <c r="F35" s="480">
        <f t="shared" si="24"/>
        <v>0</v>
      </c>
    </row>
    <row r="36" spans="2:9">
      <c r="B36" s="2400"/>
      <c r="C36" s="2383" t="str">
        <f t="shared" si="23"/>
        <v>근린생활시설</v>
      </c>
      <c r="D36" s="2383"/>
      <c r="E36" s="479">
        <f>'사업수지표 '!E13</f>
        <v>1197900</v>
      </c>
      <c r="F36" s="480">
        <f t="shared" si="24"/>
        <v>7.569569452729968E-3</v>
      </c>
    </row>
    <row r="37" spans="2:9">
      <c r="B37" s="2400"/>
      <c r="C37" s="2383" t="str">
        <f t="shared" si="23"/>
        <v>도시형생활주택</v>
      </c>
      <c r="D37" s="2383"/>
      <c r="E37" s="479">
        <f>'사업수지표 '!E14</f>
        <v>0</v>
      </c>
      <c r="F37" s="480">
        <f t="shared" si="24"/>
        <v>0</v>
      </c>
    </row>
    <row r="38" spans="2:9">
      <c r="B38" s="2400"/>
      <c r="C38" s="2383" t="str">
        <f t="shared" si="23"/>
        <v>지식산업센터</v>
      </c>
      <c r="D38" s="2383"/>
      <c r="E38" s="479">
        <f>'사업수지표 '!E15</f>
        <v>0</v>
      </c>
      <c r="F38" s="480">
        <f t="shared" si="24"/>
        <v>0</v>
      </c>
    </row>
    <row r="39" spans="2:9">
      <c r="B39" s="2400"/>
      <c r="C39" s="2383" t="str">
        <f t="shared" si="23"/>
        <v>물류센터</v>
      </c>
      <c r="D39" s="2383"/>
      <c r="E39" s="479">
        <f>'사업수지표 '!E16</f>
        <v>0</v>
      </c>
      <c r="F39" s="480">
        <f t="shared" si="24"/>
        <v>0</v>
      </c>
    </row>
    <row r="40" spans="2:9">
      <c r="B40" s="2400"/>
      <c r="C40" s="2383" t="str">
        <f t="shared" si="23"/>
        <v>생활형숙박시설</v>
      </c>
      <c r="D40" s="2383"/>
      <c r="E40" s="479">
        <f>'사업수지표 '!E17</f>
        <v>0</v>
      </c>
      <c r="F40" s="480">
        <f t="shared" si="24"/>
        <v>0</v>
      </c>
    </row>
    <row r="41" spans="2:9">
      <c r="B41" s="2400"/>
      <c r="C41" s="2383" t="str">
        <f t="shared" si="23"/>
        <v>분양형호텔</v>
      </c>
      <c r="D41" s="2383"/>
      <c r="E41" s="479">
        <f>'사업수지표 '!E18</f>
        <v>0</v>
      </c>
      <c r="F41" s="480">
        <f t="shared" si="24"/>
        <v>0</v>
      </c>
    </row>
    <row r="42" spans="2:9">
      <c r="B42" s="2400"/>
      <c r="C42" s="2383" t="str">
        <f t="shared" si="23"/>
        <v>발코니확장비</v>
      </c>
      <c r="D42" s="2383"/>
      <c r="E42" s="479">
        <f>'사업수지표 '!E19</f>
        <v>4392019.7640000014</v>
      </c>
      <c r="F42" s="480">
        <f t="shared" si="24"/>
        <v>2.7753317172853068E-2</v>
      </c>
    </row>
    <row r="43" spans="2:9">
      <c r="B43" s="2401"/>
      <c r="C43" s="2403" t="s">
        <v>105</v>
      </c>
      <c r="D43" s="2403"/>
      <c r="E43" s="481">
        <f>SUM(E34:E42)</f>
        <v>158252065.38900003</v>
      </c>
      <c r="F43" s="482">
        <f t="shared" si="24"/>
        <v>1</v>
      </c>
    </row>
    <row r="45" spans="2:9" ht="19.2">
      <c r="B45" s="473" t="s">
        <v>251</v>
      </c>
    </row>
    <row r="46" spans="2:9">
      <c r="B46" s="2397" t="s">
        <v>978</v>
      </c>
      <c r="C46" s="2398"/>
      <c r="D46" s="646" t="s">
        <v>37</v>
      </c>
    </row>
    <row r="47" spans="2:9">
      <c r="B47" s="2412" t="s">
        <v>1151</v>
      </c>
      <c r="C47" s="2413"/>
      <c r="D47" s="475">
        <f>'사업수지표 '!E96:E96</f>
        <v>135550636.35873261</v>
      </c>
    </row>
    <row r="48" spans="2:9">
      <c r="B48" s="2412" t="s">
        <v>985</v>
      </c>
      <c r="C48" s="2413"/>
      <c r="D48" s="476">
        <f>'사업수지표 '!T40+'사업수지표 '!U40</f>
        <v>37472582.566585727</v>
      </c>
    </row>
    <row r="49" spans="2:5">
      <c r="B49" s="2414" t="s">
        <v>134</v>
      </c>
      <c r="C49" s="2415"/>
      <c r="D49" s="477">
        <f>'사업수지표 '!R48</f>
        <v>36000000</v>
      </c>
    </row>
    <row r="50" spans="2:5">
      <c r="B50" s="2414" t="s">
        <v>97</v>
      </c>
      <c r="C50" s="2415"/>
      <c r="D50" s="477">
        <f>'사업수지표 '!T40</f>
        <v>2000000</v>
      </c>
    </row>
    <row r="51" spans="2:5">
      <c r="B51" s="2416" t="s">
        <v>135</v>
      </c>
      <c r="C51" s="2417"/>
      <c r="D51" s="478">
        <f>D48-D49-D50</f>
        <v>-527417.43341427296</v>
      </c>
    </row>
    <row r="52" spans="2:5">
      <c r="B52" s="2418" t="s">
        <v>136</v>
      </c>
      <c r="C52" s="2419"/>
      <c r="D52" s="474">
        <f>D47-D49-D50</f>
        <v>97550636.358732611</v>
      </c>
    </row>
    <row r="53" spans="2:5">
      <c r="B53" s="2401" t="s">
        <v>1145</v>
      </c>
      <c r="C53" s="2403"/>
      <c r="D53" s="399">
        <f>'사업수지표 '!AD27</f>
        <v>84190983.249999985</v>
      </c>
    </row>
    <row r="54" spans="2:5">
      <c r="B54" s="2401" t="s">
        <v>1353</v>
      </c>
      <c r="C54" s="2403"/>
      <c r="D54" s="399">
        <f>IF(총괄장!W13="분양불",D52,IF((D52-D53+D51)&lt;0,0,(D52-D53+D51)))</f>
        <v>97550636.358732611</v>
      </c>
    </row>
    <row r="56" spans="2:5" ht="19.2">
      <c r="B56" s="473" t="s">
        <v>1542</v>
      </c>
      <c r="E56" s="397"/>
    </row>
    <row r="57" spans="2:5">
      <c r="B57" s="643" t="s">
        <v>57</v>
      </c>
      <c r="C57" s="644" t="s">
        <v>110</v>
      </c>
      <c r="D57" s="644" t="s">
        <v>111</v>
      </c>
      <c r="E57" s="646" t="s">
        <v>112</v>
      </c>
    </row>
    <row r="58" spans="2:5">
      <c r="B58" s="483" t="str">
        <f>B5</f>
        <v>공동주택</v>
      </c>
      <c r="C58" s="622">
        <f>1-C22</f>
        <v>0.8</v>
      </c>
      <c r="D58" s="622">
        <f t="shared" ref="D58:E58" si="25">1-D22</f>
        <v>0.8</v>
      </c>
      <c r="E58" s="1832">
        <f t="shared" si="25"/>
        <v>0</v>
      </c>
    </row>
    <row r="59" spans="2:5">
      <c r="B59" s="483" t="str">
        <f t="shared" ref="B59:B66" si="26">B6</f>
        <v>오피스텔</v>
      </c>
      <c r="C59" s="618">
        <f t="shared" ref="C59:E59" si="27">1-C23</f>
        <v>0.8</v>
      </c>
      <c r="D59" s="618">
        <f t="shared" si="27"/>
        <v>0.8</v>
      </c>
      <c r="E59" s="619">
        <f t="shared" si="27"/>
        <v>0</v>
      </c>
    </row>
    <row r="60" spans="2:5">
      <c r="B60" s="483" t="str">
        <f t="shared" si="26"/>
        <v>근린생활시설</v>
      </c>
      <c r="C60" s="618">
        <f t="shared" ref="C60:E60" si="28">1-C24</f>
        <v>0.8</v>
      </c>
      <c r="D60" s="618">
        <f t="shared" si="28"/>
        <v>0.8</v>
      </c>
      <c r="E60" s="619">
        <f t="shared" si="28"/>
        <v>0</v>
      </c>
    </row>
    <row r="61" spans="2:5">
      <c r="B61" s="483" t="str">
        <f t="shared" si="26"/>
        <v>도시형생활주택</v>
      </c>
      <c r="C61" s="618">
        <f t="shared" ref="C61:E61" si="29">1-C25</f>
        <v>0.8</v>
      </c>
      <c r="D61" s="618">
        <f t="shared" si="29"/>
        <v>0.8</v>
      </c>
      <c r="E61" s="619">
        <f t="shared" si="29"/>
        <v>0</v>
      </c>
    </row>
    <row r="62" spans="2:5">
      <c r="B62" s="483" t="str">
        <f t="shared" si="26"/>
        <v>지식산업센터</v>
      </c>
      <c r="C62" s="618">
        <f t="shared" ref="C62:E62" si="30">1-C26</f>
        <v>0.8</v>
      </c>
      <c r="D62" s="618">
        <f t="shared" si="30"/>
        <v>0.8</v>
      </c>
      <c r="E62" s="619">
        <f t="shared" si="30"/>
        <v>0</v>
      </c>
    </row>
    <row r="63" spans="2:5">
      <c r="B63" s="483" t="str">
        <f t="shared" si="26"/>
        <v>물류센터</v>
      </c>
      <c r="C63" s="618">
        <f t="shared" ref="C63:E63" si="31">1-C27</f>
        <v>0.8</v>
      </c>
      <c r="D63" s="618">
        <f t="shared" si="31"/>
        <v>0.8</v>
      </c>
      <c r="E63" s="619">
        <f t="shared" si="31"/>
        <v>0</v>
      </c>
    </row>
    <row r="64" spans="2:5">
      <c r="B64" s="483" t="str">
        <f t="shared" si="26"/>
        <v>생활형숙박시설</v>
      </c>
      <c r="C64" s="618">
        <f t="shared" ref="C64:E64" si="32">1-C28</f>
        <v>0.8</v>
      </c>
      <c r="D64" s="618">
        <f t="shared" si="32"/>
        <v>0.8</v>
      </c>
      <c r="E64" s="619">
        <f t="shared" si="32"/>
        <v>0</v>
      </c>
    </row>
    <row r="65" spans="2:5">
      <c r="B65" s="483" t="str">
        <f t="shared" si="26"/>
        <v>분양형호텔</v>
      </c>
      <c r="C65" s="618">
        <f t="shared" ref="C65:E65" si="33">1-C29</f>
        <v>0.8</v>
      </c>
      <c r="D65" s="618">
        <f t="shared" si="33"/>
        <v>0.8</v>
      </c>
      <c r="E65" s="619">
        <f t="shared" si="33"/>
        <v>0</v>
      </c>
    </row>
    <row r="66" spans="2:5">
      <c r="B66" s="1830" t="str">
        <f t="shared" si="26"/>
        <v>발코니확장비</v>
      </c>
      <c r="C66" s="620">
        <f t="shared" ref="C66:E66" si="34">1-C30</f>
        <v>0.8</v>
      </c>
      <c r="D66" s="620">
        <f t="shared" si="34"/>
        <v>1</v>
      </c>
      <c r="E66" s="621">
        <f t="shared" si="34"/>
        <v>0</v>
      </c>
    </row>
  </sheetData>
  <sheetProtection algorithmName="SHA-512" hashValue="aqYOtZGM3RGcsr90TF60pchzq4/KueKwu1IwYZ/JOJDtrtgF27wiMnoD01KiDP6eBqSPNpzqg3dqae/hyM/Gvw==" saltValue="iLYqahTGPvxdsMwVjWkCvw==" spinCount="100000" sheet="1" formatCells="0"/>
  <mergeCells count="40">
    <mergeCell ref="B54:C54"/>
    <mergeCell ref="B53:C53"/>
    <mergeCell ref="J5:P5"/>
    <mergeCell ref="S5:S6"/>
    <mergeCell ref="T5:T6"/>
    <mergeCell ref="B47:C47"/>
    <mergeCell ref="R5:R6"/>
    <mergeCell ref="B50:C50"/>
    <mergeCell ref="B51:C51"/>
    <mergeCell ref="B52:C52"/>
    <mergeCell ref="B49:C49"/>
    <mergeCell ref="B48:C48"/>
    <mergeCell ref="I5:I6"/>
    <mergeCell ref="Q5:Q6"/>
    <mergeCell ref="C42:D42"/>
    <mergeCell ref="C41:D41"/>
    <mergeCell ref="B1:D1"/>
    <mergeCell ref="B46:C46"/>
    <mergeCell ref="B33:D33"/>
    <mergeCell ref="B34:B43"/>
    <mergeCell ref="C34:D34"/>
    <mergeCell ref="C35:D35"/>
    <mergeCell ref="C43:D43"/>
    <mergeCell ref="C16:F16"/>
    <mergeCell ref="B18:B19"/>
    <mergeCell ref="C18:D18"/>
    <mergeCell ref="E18:F18"/>
    <mergeCell ref="C19:F19"/>
    <mergeCell ref="C40:D40"/>
    <mergeCell ref="C38:D38"/>
    <mergeCell ref="C37:D37"/>
    <mergeCell ref="C36:D36"/>
    <mergeCell ref="C39:D39"/>
    <mergeCell ref="AA5:AA6"/>
    <mergeCell ref="AH5:AH6"/>
    <mergeCell ref="AF5:AF6"/>
    <mergeCell ref="U5:U6"/>
    <mergeCell ref="AC5:AE5"/>
    <mergeCell ref="AG5:AG6"/>
    <mergeCell ref="V5:Z5"/>
  </mergeCells>
  <phoneticPr fontId="4" type="noConversion"/>
  <pageMargins left="0.7" right="0.7" top="0.75" bottom="0.75" header="0.3" footer="0.3"/>
  <pageSetup paperSize="8" scale="48" orientation="landscape" horizontalDpi="300" verticalDpi="30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dimension ref="A1:S33"/>
  <sheetViews>
    <sheetView view="pageBreakPreview" topLeftCell="J1" zoomScaleNormal="85" zoomScaleSheetLayoutView="100" workbookViewId="0">
      <selection activeCell="N10" activeCellId="8" sqref="C2:O4 A6:D6 C7 C8:D9 C10:D11 G6:I9 L8:X11 M6:X6 N10:X10"/>
    </sheetView>
  </sheetViews>
  <sheetFormatPr defaultRowHeight="17.399999999999999"/>
  <cols>
    <col min="1" max="1" width="22.09765625" hidden="1" customWidth="1"/>
    <col min="2" max="2" width="16.19921875" hidden="1" customWidth="1"/>
    <col min="3" max="3" width="11.09765625" hidden="1" customWidth="1"/>
    <col min="4" max="9" width="9" hidden="1" customWidth="1"/>
    <col min="10" max="10" width="1.69921875" customWidth="1"/>
    <col min="11" max="12" width="14.09765625" customWidth="1"/>
    <col min="13" max="13" width="15.09765625" customWidth="1"/>
    <col min="14" max="14" width="16.69921875" customWidth="1"/>
    <col min="15" max="15" width="16.59765625" customWidth="1"/>
    <col min="16" max="16" width="14.3984375" customWidth="1"/>
    <col min="17" max="17" width="31.5" customWidth="1"/>
    <col min="18" max="18" width="15.59765625" customWidth="1"/>
    <col min="19" max="19" width="15.5" customWidth="1"/>
  </cols>
  <sheetData>
    <row r="1" spans="11:19" ht="27.6">
      <c r="K1" s="374" t="s">
        <v>1078</v>
      </c>
      <c r="L1" s="374"/>
      <c r="M1" s="374"/>
    </row>
    <row r="5" spans="11:19" ht="17.100000000000001" customHeight="1">
      <c r="K5" s="2423" t="s">
        <v>44</v>
      </c>
      <c r="L5" s="2423"/>
      <c r="M5" s="2423"/>
      <c r="N5" s="2423"/>
      <c r="O5" s="2424" t="s">
        <v>149</v>
      </c>
      <c r="P5" s="2424"/>
      <c r="Q5" s="2424"/>
    </row>
    <row r="6" spans="11:19" ht="17.100000000000001" customHeight="1">
      <c r="K6" s="2425" t="s">
        <v>29</v>
      </c>
      <c r="L6" s="2426"/>
      <c r="M6" s="19" t="s">
        <v>26</v>
      </c>
      <c r="N6" s="19" t="s">
        <v>30</v>
      </c>
      <c r="O6" s="20" t="s">
        <v>29</v>
      </c>
      <c r="P6" s="20" t="s">
        <v>26</v>
      </c>
      <c r="Q6" s="20" t="s">
        <v>30</v>
      </c>
    </row>
    <row r="7" spans="11:19" ht="17.100000000000001" customHeight="1">
      <c r="K7" s="2090" t="s">
        <v>150</v>
      </c>
      <c r="L7" s="2090"/>
      <c r="M7" s="21">
        <f>'사업수지표 '!E15</f>
        <v>0</v>
      </c>
      <c r="N7" s="16"/>
      <c r="O7" s="16" t="s">
        <v>151</v>
      </c>
      <c r="P7" s="14">
        <f>'사업수지표 '!S40</f>
        <v>135550636.35873261</v>
      </c>
      <c r="Q7" s="16"/>
    </row>
    <row r="8" spans="11:19" ht="17.100000000000001" customHeight="1">
      <c r="K8" s="2090" t="s">
        <v>152</v>
      </c>
      <c r="L8" s="16" t="s">
        <v>46</v>
      </c>
      <c r="M8" s="21">
        <f>SUM(M9:M10)</f>
        <v>36000000</v>
      </c>
      <c r="N8" s="16"/>
      <c r="O8" s="16" t="s">
        <v>31</v>
      </c>
      <c r="P8" s="14">
        <f>SUM('사업수지표 '!E26:E26)</f>
        <v>17248000</v>
      </c>
      <c r="Q8" s="16"/>
    </row>
    <row r="9" spans="11:19" ht="17.100000000000001" customHeight="1">
      <c r="K9" s="2090"/>
      <c r="L9" s="16" t="s">
        <v>153</v>
      </c>
      <c r="M9" s="14">
        <f>'사업수지표 '!AA23</f>
        <v>14000000</v>
      </c>
      <c r="N9" s="16" t="s">
        <v>154</v>
      </c>
      <c r="O9" s="16" t="s">
        <v>155</v>
      </c>
      <c r="P9" s="14">
        <f>SUM('사업수지표 '!E64:E68,'사업수지표 '!E77:E77,'사업수지표 '!E79:E79)</f>
        <v>2401632</v>
      </c>
      <c r="Q9" s="22" t="s">
        <v>156</v>
      </c>
    </row>
    <row r="10" spans="11:19" ht="17.100000000000001" customHeight="1">
      <c r="K10" s="2090"/>
      <c r="L10" s="16" t="s">
        <v>157</v>
      </c>
      <c r="M10" s="14">
        <f>'사업수지표 '!R48-'책임준공 위험액'!M9</f>
        <v>22000000</v>
      </c>
      <c r="N10" s="16" t="s">
        <v>1434</v>
      </c>
      <c r="O10" s="16" t="s">
        <v>158</v>
      </c>
      <c r="P10" s="14">
        <f>SUM('사업수지표 '!E74:E74)</f>
        <v>400000</v>
      </c>
      <c r="Q10" s="16"/>
    </row>
    <row r="11" spans="11:19" ht="17.100000000000001" customHeight="1">
      <c r="K11" s="2090" t="s">
        <v>159</v>
      </c>
      <c r="L11" s="16" t="s">
        <v>46</v>
      </c>
      <c r="M11" s="21">
        <f>SUM(M12:M13)</f>
        <v>2000000</v>
      </c>
      <c r="N11" s="16"/>
      <c r="O11" s="16" t="s">
        <v>160</v>
      </c>
      <c r="P11" s="14">
        <f>SUM('사업수지표 '!E27:E27)</f>
        <v>84190983.249999985</v>
      </c>
      <c r="Q11" s="16" t="s">
        <v>161</v>
      </c>
    </row>
    <row r="12" spans="11:19" ht="17.100000000000001" customHeight="1">
      <c r="K12" s="2090"/>
      <c r="L12" s="16" t="s">
        <v>162</v>
      </c>
      <c r="M12" s="14">
        <f>'사업수지표 '!Z23</f>
        <v>2000000</v>
      </c>
      <c r="N12" s="16" t="s">
        <v>31</v>
      </c>
      <c r="O12" s="16" t="s">
        <v>163</v>
      </c>
      <c r="P12" s="14">
        <f>P7-P8-P9-P10-P11</f>
        <v>31310021.108732626</v>
      </c>
      <c r="Q12" s="22" t="s">
        <v>164</v>
      </c>
    </row>
    <row r="13" spans="11:19" ht="17.100000000000001" customHeight="1">
      <c r="K13" s="2090"/>
      <c r="L13" s="16" t="s">
        <v>165</v>
      </c>
      <c r="M13" s="14">
        <v>0</v>
      </c>
      <c r="N13" s="16" t="s">
        <v>166</v>
      </c>
      <c r="O13" s="23" t="s">
        <v>167</v>
      </c>
      <c r="P13" s="14">
        <f>SUM(P11:P12)</f>
        <v>115501004.35873261</v>
      </c>
      <c r="Q13" s="16" t="s">
        <v>36</v>
      </c>
    </row>
    <row r="16" spans="11:19" ht="66" customHeight="1">
      <c r="K16" s="2422" t="s">
        <v>168</v>
      </c>
      <c r="L16" s="2427" t="s">
        <v>169</v>
      </c>
      <c r="M16" s="2427"/>
      <c r="N16" s="2427"/>
      <c r="O16" s="2427"/>
      <c r="P16" s="2422" t="s">
        <v>170</v>
      </c>
      <c r="Q16" s="2422" t="s">
        <v>171</v>
      </c>
      <c r="R16" s="2422" t="s">
        <v>33</v>
      </c>
      <c r="S16" s="2422" t="s">
        <v>172</v>
      </c>
    </row>
    <row r="17" spans="1:19" ht="17.100000000000001" customHeight="1">
      <c r="K17" s="2422"/>
      <c r="L17" s="15" t="s">
        <v>173</v>
      </c>
      <c r="M17" s="15" t="s">
        <v>174</v>
      </c>
      <c r="N17" s="15" t="s">
        <v>175</v>
      </c>
      <c r="O17" s="15" t="s">
        <v>46</v>
      </c>
      <c r="P17" s="2422"/>
      <c r="Q17" s="2422"/>
      <c r="R17" s="2422"/>
      <c r="S17" s="2422"/>
    </row>
    <row r="18" spans="1:19" ht="17.100000000000001" customHeight="1">
      <c r="A18" t="s">
        <v>176</v>
      </c>
      <c r="K18" s="18">
        <f>P13</f>
        <v>115501004.35873261</v>
      </c>
      <c r="L18" s="18">
        <f>M11</f>
        <v>2000000</v>
      </c>
      <c r="M18" s="18">
        <f>M8</f>
        <v>36000000</v>
      </c>
      <c r="N18" s="18">
        <f>P8</f>
        <v>17248000</v>
      </c>
      <c r="O18" s="18">
        <f>L18+M18-N18</f>
        <v>20752000</v>
      </c>
      <c r="P18" s="18">
        <f>K18-O18</f>
        <v>94749004.358732611</v>
      </c>
      <c r="Q18" s="376">
        <f>100-(P18/K18*100)</f>
        <v>17.966943331113143</v>
      </c>
      <c r="R18" s="17">
        <f>P10</f>
        <v>400000</v>
      </c>
      <c r="S18" s="377">
        <f>P18/R18*100</f>
        <v>23687.251089683152</v>
      </c>
    </row>
    <row r="19" spans="1:19" ht="20.25" customHeight="1">
      <c r="A19" t="s">
        <v>177</v>
      </c>
      <c r="Q19" s="24" t="s">
        <v>238</v>
      </c>
      <c r="S19" s="7" t="s">
        <v>239</v>
      </c>
    </row>
    <row r="20" spans="1:19">
      <c r="A20" t="s">
        <v>178</v>
      </c>
    </row>
    <row r="24" spans="1:19" ht="17.100000000000001" customHeight="1">
      <c r="S24" s="24" t="s">
        <v>179</v>
      </c>
    </row>
    <row r="25" spans="1:19" ht="17.100000000000001" customHeight="1">
      <c r="Q25" s="25" t="s">
        <v>25</v>
      </c>
      <c r="R25" s="25" t="s">
        <v>1347</v>
      </c>
      <c r="S25" s="25" t="s">
        <v>28</v>
      </c>
    </row>
    <row r="26" spans="1:19" ht="17.100000000000001" customHeight="1">
      <c r="Q26" s="26" t="s">
        <v>180</v>
      </c>
      <c r="R26" s="27">
        <f>SUM(분양개요!O7+분양개요!O10+분양개요!O13)*10%</f>
        <v>15266214.5625</v>
      </c>
      <c r="S26" s="27">
        <f>분양개요!O9*10%</f>
        <v>119790</v>
      </c>
    </row>
    <row r="27" spans="1:19" ht="17.100000000000001" customHeight="1">
      <c r="Q27" s="28" t="s">
        <v>181</v>
      </c>
      <c r="R27" s="29">
        <f>SUM(분양개요!O7+분양개요!O10+분양개요!O13)*60%</f>
        <v>91597287.375</v>
      </c>
      <c r="S27" s="29">
        <f>분양개요!O9*40%</f>
        <v>479160</v>
      </c>
    </row>
    <row r="28" spans="1:19" ht="17.100000000000001" customHeight="1">
      <c r="Q28" s="26" t="s">
        <v>27</v>
      </c>
      <c r="R28" s="27">
        <f>SUM(R26:R27)</f>
        <v>106863501.9375</v>
      </c>
      <c r="S28" s="27">
        <f>SUM(S26:S27)</f>
        <v>598950</v>
      </c>
    </row>
    <row r="29" spans="1:19" ht="17.100000000000001" customHeight="1">
      <c r="Q29" s="30"/>
      <c r="R29" s="30"/>
      <c r="S29" s="30"/>
    </row>
    <row r="30" spans="1:19" ht="17.100000000000001" customHeight="1">
      <c r="Q30" s="26" t="s">
        <v>182</v>
      </c>
      <c r="R30" s="31" t="s">
        <v>183</v>
      </c>
      <c r="S30" s="31">
        <f>SUM(R28:S28)</f>
        <v>107462451.9375</v>
      </c>
    </row>
    <row r="31" spans="1:19" ht="17.100000000000001" customHeight="1">
      <c r="Q31" s="28" t="s">
        <v>249</v>
      </c>
      <c r="R31" s="32" t="s">
        <v>250</v>
      </c>
      <c r="S31" s="32">
        <f>S30*20%</f>
        <v>21492490.387500003</v>
      </c>
    </row>
    <row r="32" spans="1:19" ht="17.100000000000001" customHeight="1">
      <c r="Q32" s="26" t="s">
        <v>184</v>
      </c>
      <c r="R32" s="33" t="s">
        <v>185</v>
      </c>
      <c r="S32" s="33">
        <f>P18</f>
        <v>94749004.358732611</v>
      </c>
    </row>
    <row r="33" spans="17:19" ht="17.100000000000001" customHeight="1">
      <c r="Q33" s="34" t="s">
        <v>186</v>
      </c>
      <c r="R33" s="35" t="s">
        <v>187</v>
      </c>
      <c r="S33" s="36">
        <f>S32/S31*100</f>
        <v>440.84702447436473</v>
      </c>
    </row>
  </sheetData>
  <mergeCells count="12">
    <mergeCell ref="S16:S17"/>
    <mergeCell ref="K5:N5"/>
    <mergeCell ref="O5:Q5"/>
    <mergeCell ref="K6:L6"/>
    <mergeCell ref="K7:L7"/>
    <mergeCell ref="K8:K10"/>
    <mergeCell ref="K11:K13"/>
    <mergeCell ref="K16:K17"/>
    <mergeCell ref="L16:O16"/>
    <mergeCell ref="P16:P17"/>
    <mergeCell ref="Q16:Q17"/>
    <mergeCell ref="R16:R17"/>
  </mergeCells>
  <phoneticPr fontId="4" type="noConversion"/>
  <pageMargins left="0.7" right="0.7" top="0.75" bottom="0.75" header="0.3" footer="0.3"/>
  <pageSetup paperSize="9" scale="51"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BT105"/>
  <sheetViews>
    <sheetView topLeftCell="K1" workbookViewId="0">
      <selection activeCell="M6" sqref="M6:AH6"/>
    </sheetView>
  </sheetViews>
  <sheetFormatPr defaultColWidth="9" defaultRowHeight="10.8"/>
  <cols>
    <col min="1" max="8" width="9" style="58"/>
    <col min="9" max="9" width="9" style="57"/>
    <col min="10" max="16384" width="9" style="58"/>
  </cols>
  <sheetData>
    <row r="1" spans="1:72" s="352" customFormat="1" ht="19.2">
      <c r="A1" s="2428" t="s">
        <v>885</v>
      </c>
      <c r="B1" s="2428"/>
      <c r="C1" s="2428"/>
      <c r="D1" s="2429"/>
      <c r="E1" s="2429"/>
      <c r="F1" s="2429"/>
      <c r="G1" s="2429"/>
      <c r="H1" s="2429"/>
      <c r="I1" s="2429"/>
    </row>
    <row r="2" spans="1:72" s="356" customFormat="1" ht="15" customHeight="1" thickBot="1">
      <c r="A2" s="353"/>
      <c r="B2" s="353"/>
      <c r="C2" s="353"/>
      <c r="D2" s="353"/>
      <c r="E2" s="354"/>
      <c r="F2" s="353"/>
      <c r="G2" s="353"/>
      <c r="H2" s="355"/>
      <c r="I2" s="355"/>
    </row>
    <row r="3" spans="1:72" s="356" customFormat="1" ht="15" customHeight="1" thickBot="1">
      <c r="A3" s="353" t="s">
        <v>886</v>
      </c>
      <c r="B3" s="393">
        <f>총괄장!P6</f>
        <v>30</v>
      </c>
      <c r="C3" s="353" t="s">
        <v>887</v>
      </c>
      <c r="D3" s="353">
        <f>IFERROR(100/B3,0)</f>
        <v>3.3333333333333335</v>
      </c>
      <c r="E3" s="354"/>
      <c r="F3" s="353"/>
      <c r="G3" s="353"/>
      <c r="H3" s="355"/>
      <c r="I3" s="355"/>
    </row>
    <row r="4" spans="1:72" s="356" customFormat="1" ht="15" customHeight="1" thickBot="1">
      <c r="A4" s="353"/>
      <c r="B4" s="353"/>
      <c r="C4" s="353"/>
      <c r="D4" s="353"/>
      <c r="E4" s="354"/>
      <c r="F4" s="353"/>
      <c r="G4" s="353"/>
      <c r="H4" s="355"/>
      <c r="I4" s="355"/>
      <c r="L4" s="2430" t="s">
        <v>888</v>
      </c>
      <c r="M4" s="2430"/>
      <c r="N4" s="2430"/>
      <c r="O4" s="2430"/>
    </row>
    <row r="5" spans="1:72" s="361" customFormat="1" ht="15" customHeight="1" thickBot="1">
      <c r="A5" s="357" t="s">
        <v>889</v>
      </c>
      <c r="B5" s="355" t="s">
        <v>890</v>
      </c>
      <c r="C5" s="355" t="s">
        <v>891</v>
      </c>
      <c r="D5" s="355" t="s">
        <v>892</v>
      </c>
      <c r="E5" s="358" t="s">
        <v>893</v>
      </c>
      <c r="F5" s="355" t="s">
        <v>894</v>
      </c>
      <c r="G5" s="355" t="s">
        <v>895</v>
      </c>
      <c r="H5" s="355" t="s">
        <v>894</v>
      </c>
      <c r="I5" s="359" t="s">
        <v>896</v>
      </c>
      <c r="J5" s="360"/>
      <c r="L5" s="362" t="s">
        <v>897</v>
      </c>
      <c r="M5" s="362" t="s">
        <v>898</v>
      </c>
      <c r="N5" s="362" t="s">
        <v>899</v>
      </c>
      <c r="O5" s="362" t="s">
        <v>900</v>
      </c>
      <c r="P5" s="362" t="s">
        <v>901</v>
      </c>
      <c r="Q5" s="362" t="s">
        <v>902</v>
      </c>
      <c r="R5" s="362" t="s">
        <v>903</v>
      </c>
      <c r="S5" s="362" t="s">
        <v>904</v>
      </c>
      <c r="T5" s="362" t="s">
        <v>905</v>
      </c>
      <c r="U5" s="362" t="s">
        <v>906</v>
      </c>
      <c r="V5" s="362" t="s">
        <v>907</v>
      </c>
      <c r="W5" s="362" t="s">
        <v>908</v>
      </c>
      <c r="X5" s="362" t="s">
        <v>909</v>
      </c>
      <c r="Y5" s="362" t="s">
        <v>910</v>
      </c>
      <c r="Z5" s="362" t="s">
        <v>911</v>
      </c>
      <c r="AA5" s="362" t="s">
        <v>912</v>
      </c>
      <c r="AB5" s="362" t="s">
        <v>913</v>
      </c>
      <c r="AC5" s="362" t="s">
        <v>914</v>
      </c>
      <c r="AD5" s="362" t="s">
        <v>915</v>
      </c>
      <c r="AE5" s="362" t="s">
        <v>916</v>
      </c>
      <c r="AF5" s="362" t="s">
        <v>917</v>
      </c>
      <c r="AG5" s="362" t="s">
        <v>918</v>
      </c>
      <c r="AH5" s="362" t="s">
        <v>919</v>
      </c>
      <c r="AI5" s="362" t="s">
        <v>920</v>
      </c>
      <c r="AJ5" s="362" t="s">
        <v>921</v>
      </c>
      <c r="AK5" s="362" t="s">
        <v>922</v>
      </c>
      <c r="AL5" s="362" t="s">
        <v>923</v>
      </c>
      <c r="AM5" s="362" t="s">
        <v>924</v>
      </c>
      <c r="AN5" s="362" t="s">
        <v>925</v>
      </c>
      <c r="AO5" s="362" t="s">
        <v>926</v>
      </c>
      <c r="AP5" s="362" t="s">
        <v>927</v>
      </c>
      <c r="AQ5" s="362" t="s">
        <v>928</v>
      </c>
      <c r="AR5" s="362" t="s">
        <v>929</v>
      </c>
      <c r="AS5" s="362" t="s">
        <v>930</v>
      </c>
      <c r="AT5" s="362" t="s">
        <v>931</v>
      </c>
      <c r="AU5" s="362" t="s">
        <v>932</v>
      </c>
      <c r="AV5" s="362" t="s">
        <v>933</v>
      </c>
      <c r="AW5" s="362" t="s">
        <v>934</v>
      </c>
      <c r="AX5" s="362" t="s">
        <v>935</v>
      </c>
      <c r="AY5" s="362" t="s">
        <v>936</v>
      </c>
      <c r="AZ5" s="362" t="s">
        <v>937</v>
      </c>
      <c r="BA5" s="362" t="s">
        <v>938</v>
      </c>
      <c r="BB5" s="362" t="s">
        <v>939</v>
      </c>
      <c r="BC5" s="362" t="s">
        <v>940</v>
      </c>
      <c r="BD5" s="362" t="s">
        <v>941</v>
      </c>
      <c r="BE5" s="362" t="s">
        <v>942</v>
      </c>
      <c r="BF5" s="362" t="s">
        <v>943</v>
      </c>
      <c r="BG5" s="362" t="s">
        <v>944</v>
      </c>
      <c r="BH5" s="362" t="s">
        <v>945</v>
      </c>
      <c r="BI5" s="362" t="s">
        <v>946</v>
      </c>
      <c r="BJ5" s="362" t="s">
        <v>947</v>
      </c>
      <c r="BK5" s="362" t="s">
        <v>1257</v>
      </c>
      <c r="BL5" s="362" t="s">
        <v>1258</v>
      </c>
      <c r="BM5" s="362" t="s">
        <v>1259</v>
      </c>
      <c r="BN5" s="362" t="s">
        <v>1260</v>
      </c>
      <c r="BO5" s="362" t="s">
        <v>1261</v>
      </c>
      <c r="BP5" s="362" t="s">
        <v>1262</v>
      </c>
      <c r="BQ5" s="362" t="s">
        <v>1263</v>
      </c>
      <c r="BR5" s="362" t="s">
        <v>1264</v>
      </c>
      <c r="BS5" s="362" t="s">
        <v>1265</v>
      </c>
      <c r="BT5" s="362" t="s">
        <v>1266</v>
      </c>
    </row>
    <row r="6" spans="1:72" s="356" customFormat="1" ht="15" customHeight="1">
      <c r="A6" s="358">
        <v>1</v>
      </c>
      <c r="B6" s="353">
        <v>0.04</v>
      </c>
      <c r="C6" s="353">
        <f>B6</f>
        <v>0.04</v>
      </c>
      <c r="D6" s="353">
        <f t="shared" ref="D6:D69" si="0">$D$3*A6</f>
        <v>3.3333333333333335</v>
      </c>
      <c r="E6" s="354">
        <f t="shared" ref="E6:E69" si="1">ROUND(D6,0)</f>
        <v>3</v>
      </c>
      <c r="F6" s="353">
        <f>G6</f>
        <v>0.12</v>
      </c>
      <c r="G6" s="353">
        <f>LOOKUP(E6,A6:A105,C6:C105)</f>
        <v>0.12</v>
      </c>
      <c r="H6" s="355">
        <f t="shared" ref="H6:H69" si="2">IF(F6=0,0,F6)</f>
        <v>0.12</v>
      </c>
      <c r="I6" s="363">
        <f t="shared" ref="I6:I69" si="3">H6/100</f>
        <v>1.1999999999999999E-3</v>
      </c>
      <c r="L6" s="364" t="s">
        <v>948</v>
      </c>
      <c r="M6" s="365">
        <f>+I6</f>
        <v>1.1999999999999999E-3</v>
      </c>
      <c r="N6" s="365">
        <f>+I7</f>
        <v>5.5999999999999991E-3</v>
      </c>
      <c r="O6" s="365">
        <f>+I8</f>
        <v>7.1999999999999998E-3</v>
      </c>
      <c r="P6" s="365">
        <f>+I9</f>
        <v>9.5999999999999992E-3</v>
      </c>
      <c r="Q6" s="365">
        <f>+I10</f>
        <v>1.6799999999999992E-2</v>
      </c>
      <c r="R6" s="365">
        <f>+I11</f>
        <v>1.5599999999999987E-2</v>
      </c>
      <c r="S6" s="365">
        <f>+I12</f>
        <v>2.3999999999999994E-2</v>
      </c>
      <c r="T6" s="365">
        <f>+I13</f>
        <v>3.6799999999999986E-2</v>
      </c>
      <c r="U6" s="365">
        <f>+I14</f>
        <v>3.1199999999999974E-2</v>
      </c>
      <c r="V6" s="365">
        <f>+I15</f>
        <v>4.4400000000000016E-2</v>
      </c>
      <c r="W6" s="365">
        <f>+I16</f>
        <v>5.6000000000000015E-2</v>
      </c>
      <c r="X6" s="365">
        <f>+I17</f>
        <v>3.960000000000001E-2</v>
      </c>
      <c r="Y6" s="365">
        <f>+I18</f>
        <v>4.7399999999999949E-2</v>
      </c>
      <c r="Z6" s="365">
        <f>+I19</f>
        <v>5.5199999999999957E-2</v>
      </c>
      <c r="AA6" s="365">
        <f>+I20</f>
        <v>3.5399999999999994E-2</v>
      </c>
      <c r="AB6" s="365">
        <f>+I21</f>
        <v>5.0399999999999993E-2</v>
      </c>
      <c r="AC6" s="365">
        <f>+I22</f>
        <v>6.7600000000000049E-2</v>
      </c>
      <c r="AD6" s="365">
        <f>+I23</f>
        <v>5.1000000000000087E-2</v>
      </c>
      <c r="AE6" s="365">
        <f>+I24</f>
        <v>4.4399999999999905E-2</v>
      </c>
      <c r="AF6" s="365">
        <f>+I25</f>
        <v>6.5689999999999957E-2</v>
      </c>
      <c r="AG6" s="365">
        <f>+I26</f>
        <v>5.3999999999999916E-2</v>
      </c>
      <c r="AH6" s="365">
        <f>+I27</f>
        <v>4.7399999999999949E-2</v>
      </c>
      <c r="AI6" s="365">
        <f>+I28</f>
        <v>6.1200000000000046E-2</v>
      </c>
      <c r="AJ6" s="365">
        <f>+I29</f>
        <v>4.440000000000012E-2</v>
      </c>
      <c r="AK6" s="365">
        <f>+I30</f>
        <v>2.1000000000000085E-2</v>
      </c>
      <c r="AL6" s="365">
        <f>+I31</f>
        <v>2.5600000000000022E-2</v>
      </c>
      <c r="AM6" s="365">
        <f>+I32</f>
        <v>1.739999999999995E-2</v>
      </c>
      <c r="AN6" s="365">
        <f>+I33</f>
        <v>6.5999999999999661E-3</v>
      </c>
      <c r="AO6" s="365">
        <f>+I34</f>
        <v>9.600000000000079E-3</v>
      </c>
      <c r="AP6" s="365">
        <f>+I35</f>
        <v>7.7100000000001499E-3</v>
      </c>
      <c r="AQ6" s="365">
        <f>+I36</f>
        <v>0</v>
      </c>
      <c r="AR6" s="365">
        <f>+I37</f>
        <v>0</v>
      </c>
      <c r="AS6" s="365">
        <f>+I38</f>
        <v>0</v>
      </c>
      <c r="AT6" s="365">
        <f>+I39</f>
        <v>0</v>
      </c>
      <c r="AU6" s="365">
        <f>+I40</f>
        <v>0</v>
      </c>
      <c r="AV6" s="365">
        <f>+I41</f>
        <v>0</v>
      </c>
      <c r="AW6" s="365">
        <f>+I42</f>
        <v>0</v>
      </c>
      <c r="AX6" s="365">
        <f>+I43</f>
        <v>0</v>
      </c>
      <c r="AY6" s="365">
        <f>+I44</f>
        <v>0</v>
      </c>
      <c r="AZ6" s="365">
        <f>+I45</f>
        <v>0</v>
      </c>
      <c r="BA6" s="365">
        <f>+I46</f>
        <v>0</v>
      </c>
      <c r="BB6" s="365">
        <f>+I47</f>
        <v>0</v>
      </c>
      <c r="BC6" s="365">
        <f>+I48</f>
        <v>0</v>
      </c>
      <c r="BD6" s="365">
        <f>+I49</f>
        <v>0</v>
      </c>
      <c r="BE6" s="365">
        <f>+I50</f>
        <v>0</v>
      </c>
      <c r="BF6" s="365">
        <f>+I51</f>
        <v>0</v>
      </c>
      <c r="BG6" s="365">
        <f>+I52</f>
        <v>0</v>
      </c>
      <c r="BH6" s="365">
        <f>+I53</f>
        <v>0</v>
      </c>
      <c r="BI6" s="365">
        <f>+I54</f>
        <v>0</v>
      </c>
      <c r="BJ6" s="365">
        <f>+I55</f>
        <v>0</v>
      </c>
      <c r="BK6" s="365">
        <f t="shared" ref="BK6:BT6" si="4">+J55</f>
        <v>0</v>
      </c>
      <c r="BL6" s="365">
        <f t="shared" si="4"/>
        <v>0</v>
      </c>
      <c r="BM6" s="365">
        <f t="shared" si="4"/>
        <v>0</v>
      </c>
      <c r="BN6" s="365">
        <f t="shared" si="4"/>
        <v>0</v>
      </c>
      <c r="BO6" s="365">
        <f t="shared" si="4"/>
        <v>0</v>
      </c>
      <c r="BP6" s="365">
        <f t="shared" si="4"/>
        <v>0</v>
      </c>
      <c r="BQ6" s="365">
        <f t="shared" si="4"/>
        <v>0</v>
      </c>
      <c r="BR6" s="365">
        <f t="shared" si="4"/>
        <v>0</v>
      </c>
      <c r="BS6" s="365">
        <f t="shared" si="4"/>
        <v>0</v>
      </c>
      <c r="BT6" s="365">
        <f t="shared" si="4"/>
        <v>0</v>
      </c>
    </row>
    <row r="7" spans="1:72" s="356" customFormat="1" ht="15" customHeight="1">
      <c r="A7" s="358">
        <v>2</v>
      </c>
      <c r="B7" s="353">
        <v>0.04</v>
      </c>
      <c r="C7" s="353">
        <f t="shared" ref="C7:C70" si="5">B7+C6</f>
        <v>0.08</v>
      </c>
      <c r="D7" s="353">
        <f t="shared" si="0"/>
        <v>6.666666666666667</v>
      </c>
      <c r="E7" s="354">
        <f t="shared" si="1"/>
        <v>7</v>
      </c>
      <c r="F7" s="353">
        <f t="shared" ref="F7:F70" si="6">G7-G6</f>
        <v>0.55999999999999994</v>
      </c>
      <c r="G7" s="353">
        <f t="shared" ref="G7:G70" si="7">LOOKUP(E7,A7:A106,C7:C106)</f>
        <v>0.67999999999999994</v>
      </c>
      <c r="H7" s="355">
        <f t="shared" si="2"/>
        <v>0.55999999999999994</v>
      </c>
      <c r="I7" s="363">
        <f t="shared" si="3"/>
        <v>5.5999999999999991E-3</v>
      </c>
      <c r="L7" s="364" t="s">
        <v>949</v>
      </c>
      <c r="M7" s="365">
        <f>+M6</f>
        <v>1.1999999999999999E-3</v>
      </c>
      <c r="N7" s="365">
        <f t="shared" ref="N7:BJ7" si="8">+M7+N6</f>
        <v>6.7999999999999988E-3</v>
      </c>
      <c r="O7" s="365">
        <f t="shared" si="8"/>
        <v>1.3999999999999999E-2</v>
      </c>
      <c r="P7" s="365">
        <f t="shared" si="8"/>
        <v>2.3599999999999996E-2</v>
      </c>
      <c r="Q7" s="365">
        <f t="shared" si="8"/>
        <v>4.0399999999999991E-2</v>
      </c>
      <c r="R7" s="365">
        <f t="shared" si="8"/>
        <v>5.599999999999998E-2</v>
      </c>
      <c r="S7" s="365">
        <f t="shared" si="8"/>
        <v>7.9999999999999974E-2</v>
      </c>
      <c r="T7" s="365">
        <f t="shared" si="8"/>
        <v>0.11679999999999996</v>
      </c>
      <c r="U7" s="365">
        <f t="shared" si="8"/>
        <v>0.14799999999999994</v>
      </c>
      <c r="V7" s="365">
        <f t="shared" si="8"/>
        <v>0.19239999999999996</v>
      </c>
      <c r="W7" s="365">
        <f t="shared" si="8"/>
        <v>0.24839999999999998</v>
      </c>
      <c r="X7" s="365">
        <f t="shared" si="8"/>
        <v>0.28799999999999998</v>
      </c>
      <c r="Y7" s="365">
        <f t="shared" si="8"/>
        <v>0.33539999999999992</v>
      </c>
      <c r="Z7" s="365">
        <f t="shared" si="8"/>
        <v>0.39059999999999989</v>
      </c>
      <c r="AA7" s="365">
        <f t="shared" si="8"/>
        <v>0.42599999999999988</v>
      </c>
      <c r="AB7" s="365">
        <f t="shared" si="8"/>
        <v>0.47639999999999988</v>
      </c>
      <c r="AC7" s="365">
        <f t="shared" si="8"/>
        <v>0.54399999999999993</v>
      </c>
      <c r="AD7" s="365">
        <f t="shared" si="8"/>
        <v>0.59499999999999997</v>
      </c>
      <c r="AE7" s="365">
        <f t="shared" si="8"/>
        <v>0.63939999999999986</v>
      </c>
      <c r="AF7" s="365">
        <f t="shared" si="8"/>
        <v>0.70508999999999977</v>
      </c>
      <c r="AG7" s="365">
        <f t="shared" si="8"/>
        <v>0.75908999999999971</v>
      </c>
      <c r="AH7" s="365">
        <f t="shared" si="8"/>
        <v>0.80648999999999971</v>
      </c>
      <c r="AI7" s="365">
        <f t="shared" si="8"/>
        <v>0.86768999999999974</v>
      </c>
      <c r="AJ7" s="365">
        <f t="shared" si="8"/>
        <v>0.91208999999999985</v>
      </c>
      <c r="AK7" s="365">
        <f t="shared" si="8"/>
        <v>0.93308999999999997</v>
      </c>
      <c r="AL7" s="365">
        <f t="shared" si="8"/>
        <v>0.95869000000000004</v>
      </c>
      <c r="AM7" s="365">
        <f t="shared" si="8"/>
        <v>0.97609000000000001</v>
      </c>
      <c r="AN7" s="365">
        <f t="shared" si="8"/>
        <v>0.98268999999999995</v>
      </c>
      <c r="AO7" s="365">
        <f t="shared" si="8"/>
        <v>0.99229000000000001</v>
      </c>
      <c r="AP7" s="365">
        <f t="shared" si="8"/>
        <v>1.0000000000000002</v>
      </c>
      <c r="AQ7" s="365">
        <f t="shared" si="8"/>
        <v>1.0000000000000002</v>
      </c>
      <c r="AR7" s="365">
        <f t="shared" si="8"/>
        <v>1.0000000000000002</v>
      </c>
      <c r="AS7" s="365">
        <f t="shared" si="8"/>
        <v>1.0000000000000002</v>
      </c>
      <c r="AT7" s="365">
        <f t="shared" si="8"/>
        <v>1.0000000000000002</v>
      </c>
      <c r="AU7" s="365">
        <f t="shared" si="8"/>
        <v>1.0000000000000002</v>
      </c>
      <c r="AV7" s="365">
        <f t="shared" si="8"/>
        <v>1.0000000000000002</v>
      </c>
      <c r="AW7" s="365">
        <f t="shared" si="8"/>
        <v>1.0000000000000002</v>
      </c>
      <c r="AX7" s="365">
        <f t="shared" si="8"/>
        <v>1.0000000000000002</v>
      </c>
      <c r="AY7" s="365">
        <f t="shared" si="8"/>
        <v>1.0000000000000002</v>
      </c>
      <c r="AZ7" s="365">
        <f t="shared" si="8"/>
        <v>1.0000000000000002</v>
      </c>
      <c r="BA7" s="365">
        <f t="shared" si="8"/>
        <v>1.0000000000000002</v>
      </c>
      <c r="BB7" s="365">
        <f t="shared" si="8"/>
        <v>1.0000000000000002</v>
      </c>
      <c r="BC7" s="365">
        <f t="shared" si="8"/>
        <v>1.0000000000000002</v>
      </c>
      <c r="BD7" s="365">
        <f t="shared" si="8"/>
        <v>1.0000000000000002</v>
      </c>
      <c r="BE7" s="365">
        <f t="shared" si="8"/>
        <v>1.0000000000000002</v>
      </c>
      <c r="BF7" s="365">
        <f t="shared" si="8"/>
        <v>1.0000000000000002</v>
      </c>
      <c r="BG7" s="365">
        <f t="shared" si="8"/>
        <v>1.0000000000000002</v>
      </c>
      <c r="BH7" s="365">
        <f t="shared" si="8"/>
        <v>1.0000000000000002</v>
      </c>
      <c r="BI7" s="365">
        <f t="shared" si="8"/>
        <v>1.0000000000000002</v>
      </c>
      <c r="BJ7" s="365">
        <f t="shared" si="8"/>
        <v>1.0000000000000002</v>
      </c>
      <c r="BK7" s="365">
        <f t="shared" ref="BK7:BT7" si="9">+BJ7+BK6</f>
        <v>1.0000000000000002</v>
      </c>
      <c r="BL7" s="365">
        <f t="shared" si="9"/>
        <v>1.0000000000000002</v>
      </c>
      <c r="BM7" s="365">
        <f t="shared" si="9"/>
        <v>1.0000000000000002</v>
      </c>
      <c r="BN7" s="365">
        <f t="shared" si="9"/>
        <v>1.0000000000000002</v>
      </c>
      <c r="BO7" s="365">
        <f t="shared" si="9"/>
        <v>1.0000000000000002</v>
      </c>
      <c r="BP7" s="365">
        <f t="shared" si="9"/>
        <v>1.0000000000000002</v>
      </c>
      <c r="BQ7" s="365">
        <f t="shared" si="9"/>
        <v>1.0000000000000002</v>
      </c>
      <c r="BR7" s="365">
        <f t="shared" si="9"/>
        <v>1.0000000000000002</v>
      </c>
      <c r="BS7" s="365">
        <f t="shared" si="9"/>
        <v>1.0000000000000002</v>
      </c>
      <c r="BT7" s="365">
        <f t="shared" si="9"/>
        <v>1.0000000000000002</v>
      </c>
    </row>
    <row r="8" spans="1:72" s="356" customFormat="1" ht="15" customHeight="1">
      <c r="A8" s="358">
        <v>3</v>
      </c>
      <c r="B8" s="353">
        <v>0.04</v>
      </c>
      <c r="C8" s="353">
        <f t="shared" si="5"/>
        <v>0.12</v>
      </c>
      <c r="D8" s="353">
        <f t="shared" si="0"/>
        <v>10</v>
      </c>
      <c r="E8" s="354">
        <f t="shared" si="1"/>
        <v>10</v>
      </c>
      <c r="F8" s="353">
        <f t="shared" si="6"/>
        <v>0.72</v>
      </c>
      <c r="G8" s="353">
        <f>LOOKUP(E8,A8:A107,C8:C107)</f>
        <v>1.4</v>
      </c>
      <c r="H8" s="355">
        <f t="shared" si="2"/>
        <v>0.72</v>
      </c>
      <c r="I8" s="363">
        <f t="shared" si="3"/>
        <v>7.1999999999999998E-3</v>
      </c>
    </row>
    <row r="9" spans="1:72" s="356" customFormat="1" ht="15" customHeight="1">
      <c r="A9" s="358">
        <v>4</v>
      </c>
      <c r="B9" s="353">
        <v>0.04</v>
      </c>
      <c r="C9" s="353">
        <f t="shared" si="5"/>
        <v>0.16</v>
      </c>
      <c r="D9" s="353">
        <f t="shared" si="0"/>
        <v>13.333333333333334</v>
      </c>
      <c r="E9" s="354">
        <f t="shared" si="1"/>
        <v>13</v>
      </c>
      <c r="F9" s="353">
        <f t="shared" si="6"/>
        <v>0.96</v>
      </c>
      <c r="G9" s="353">
        <f t="shared" si="7"/>
        <v>2.36</v>
      </c>
      <c r="H9" s="355">
        <f t="shared" si="2"/>
        <v>0.96</v>
      </c>
      <c r="I9" s="363">
        <f t="shared" si="3"/>
        <v>9.5999999999999992E-3</v>
      </c>
    </row>
    <row r="10" spans="1:72" s="356" customFormat="1" ht="15" customHeight="1">
      <c r="A10" s="358">
        <v>5</v>
      </c>
      <c r="B10" s="353">
        <v>0.04</v>
      </c>
      <c r="C10" s="353">
        <f t="shared" si="5"/>
        <v>0.2</v>
      </c>
      <c r="D10" s="353">
        <f t="shared" si="0"/>
        <v>16.666666666666668</v>
      </c>
      <c r="E10" s="354">
        <f t="shared" si="1"/>
        <v>17</v>
      </c>
      <c r="F10" s="353">
        <f t="shared" si="6"/>
        <v>1.6799999999999993</v>
      </c>
      <c r="G10" s="353">
        <f t="shared" si="7"/>
        <v>4.0399999999999991</v>
      </c>
      <c r="H10" s="355">
        <f t="shared" si="2"/>
        <v>1.6799999999999993</v>
      </c>
      <c r="I10" s="363">
        <f t="shared" si="3"/>
        <v>1.6799999999999992E-2</v>
      </c>
    </row>
    <row r="11" spans="1:72" s="356" customFormat="1" ht="15" customHeight="1">
      <c r="A11" s="358">
        <v>6</v>
      </c>
      <c r="B11" s="353">
        <v>0.24</v>
      </c>
      <c r="C11" s="353">
        <f t="shared" si="5"/>
        <v>0.44</v>
      </c>
      <c r="D11" s="353">
        <f t="shared" si="0"/>
        <v>20</v>
      </c>
      <c r="E11" s="354">
        <f t="shared" si="1"/>
        <v>20</v>
      </c>
      <c r="F11" s="353">
        <f t="shared" si="6"/>
        <v>1.5599999999999987</v>
      </c>
      <c r="G11" s="353">
        <f t="shared" si="7"/>
        <v>5.5999999999999979</v>
      </c>
      <c r="H11" s="355">
        <f t="shared" si="2"/>
        <v>1.5599999999999987</v>
      </c>
      <c r="I11" s="363">
        <f t="shared" si="3"/>
        <v>1.5599999999999987E-2</v>
      </c>
    </row>
    <row r="12" spans="1:72" s="356" customFormat="1" ht="15" customHeight="1">
      <c r="A12" s="358">
        <v>7</v>
      </c>
      <c r="B12" s="353">
        <v>0.24</v>
      </c>
      <c r="C12" s="353">
        <f t="shared" si="5"/>
        <v>0.67999999999999994</v>
      </c>
      <c r="D12" s="353">
        <f t="shared" si="0"/>
        <v>23.333333333333336</v>
      </c>
      <c r="E12" s="354">
        <f t="shared" si="1"/>
        <v>23</v>
      </c>
      <c r="F12" s="353">
        <f t="shared" si="6"/>
        <v>2.3999999999999995</v>
      </c>
      <c r="G12" s="353">
        <f t="shared" si="7"/>
        <v>7.9999999999999973</v>
      </c>
      <c r="H12" s="355">
        <f t="shared" si="2"/>
        <v>2.3999999999999995</v>
      </c>
      <c r="I12" s="363">
        <f t="shared" si="3"/>
        <v>2.3999999999999994E-2</v>
      </c>
    </row>
    <row r="13" spans="1:72" s="356" customFormat="1" ht="15" customHeight="1">
      <c r="A13" s="358">
        <v>8</v>
      </c>
      <c r="B13" s="353">
        <v>0.24</v>
      </c>
      <c r="C13" s="353">
        <f t="shared" si="5"/>
        <v>0.91999999999999993</v>
      </c>
      <c r="D13" s="353">
        <f t="shared" si="0"/>
        <v>26.666666666666668</v>
      </c>
      <c r="E13" s="354">
        <f t="shared" si="1"/>
        <v>27</v>
      </c>
      <c r="F13" s="353">
        <f t="shared" si="6"/>
        <v>3.6799999999999988</v>
      </c>
      <c r="G13" s="353">
        <f t="shared" si="7"/>
        <v>11.679999999999996</v>
      </c>
      <c r="H13" s="355">
        <f t="shared" si="2"/>
        <v>3.6799999999999988</v>
      </c>
      <c r="I13" s="363">
        <f t="shared" si="3"/>
        <v>3.6799999999999986E-2</v>
      </c>
    </row>
    <row r="14" spans="1:72" s="367" customFormat="1" ht="15" customHeight="1">
      <c r="A14" s="358">
        <v>9</v>
      </c>
      <c r="B14" s="366">
        <v>0.24</v>
      </c>
      <c r="C14" s="353">
        <f>B14+C13</f>
        <v>1.1599999999999999</v>
      </c>
      <c r="D14" s="353">
        <f t="shared" si="0"/>
        <v>30</v>
      </c>
      <c r="E14" s="354">
        <f t="shared" si="1"/>
        <v>30</v>
      </c>
      <c r="F14" s="353">
        <f t="shared" si="6"/>
        <v>3.1199999999999974</v>
      </c>
      <c r="G14" s="353">
        <f t="shared" si="7"/>
        <v>14.799999999999994</v>
      </c>
      <c r="H14" s="355">
        <f t="shared" si="2"/>
        <v>3.1199999999999974</v>
      </c>
      <c r="I14" s="363">
        <f t="shared" si="3"/>
        <v>3.1199999999999974E-2</v>
      </c>
    </row>
    <row r="15" spans="1:72" s="356" customFormat="1" ht="15" customHeight="1">
      <c r="A15" s="358">
        <v>10</v>
      </c>
      <c r="B15" s="353">
        <v>0.24</v>
      </c>
      <c r="C15" s="353">
        <f t="shared" si="5"/>
        <v>1.4</v>
      </c>
      <c r="D15" s="353">
        <f t="shared" si="0"/>
        <v>33.333333333333336</v>
      </c>
      <c r="E15" s="354">
        <f t="shared" si="1"/>
        <v>33</v>
      </c>
      <c r="F15" s="353">
        <f t="shared" si="6"/>
        <v>4.4400000000000013</v>
      </c>
      <c r="G15" s="353">
        <f t="shared" si="7"/>
        <v>19.239999999999995</v>
      </c>
      <c r="H15" s="355">
        <f t="shared" si="2"/>
        <v>4.4400000000000013</v>
      </c>
      <c r="I15" s="363">
        <f t="shared" si="3"/>
        <v>4.4400000000000016E-2</v>
      </c>
    </row>
    <row r="16" spans="1:72" s="369" customFormat="1" ht="15" customHeight="1">
      <c r="A16" s="358">
        <v>11</v>
      </c>
      <c r="B16" s="368">
        <v>0.32</v>
      </c>
      <c r="C16" s="353">
        <f t="shared" si="5"/>
        <v>1.72</v>
      </c>
      <c r="D16" s="353">
        <f t="shared" si="0"/>
        <v>36.666666666666671</v>
      </c>
      <c r="E16" s="354">
        <f t="shared" si="1"/>
        <v>37</v>
      </c>
      <c r="F16" s="353">
        <f t="shared" si="6"/>
        <v>5.6000000000000014</v>
      </c>
      <c r="G16" s="353">
        <f t="shared" si="7"/>
        <v>24.839999999999996</v>
      </c>
      <c r="H16" s="355">
        <f t="shared" si="2"/>
        <v>5.6000000000000014</v>
      </c>
      <c r="I16" s="363">
        <f t="shared" si="3"/>
        <v>5.6000000000000015E-2</v>
      </c>
    </row>
    <row r="17" spans="1:9" s="353" customFormat="1" ht="15" customHeight="1">
      <c r="A17" s="358">
        <v>12</v>
      </c>
      <c r="B17" s="353">
        <v>0.32</v>
      </c>
      <c r="C17" s="353">
        <f t="shared" si="5"/>
        <v>2.04</v>
      </c>
      <c r="D17" s="353">
        <f t="shared" si="0"/>
        <v>40</v>
      </c>
      <c r="E17" s="354">
        <f t="shared" si="1"/>
        <v>40</v>
      </c>
      <c r="F17" s="353">
        <f t="shared" si="6"/>
        <v>3.9600000000000009</v>
      </c>
      <c r="G17" s="353">
        <f t="shared" si="7"/>
        <v>28.799999999999997</v>
      </c>
      <c r="H17" s="355">
        <f t="shared" si="2"/>
        <v>3.9600000000000009</v>
      </c>
      <c r="I17" s="363">
        <f t="shared" si="3"/>
        <v>3.960000000000001E-2</v>
      </c>
    </row>
    <row r="18" spans="1:9" s="370" customFormat="1" ht="15" customHeight="1">
      <c r="A18" s="358">
        <v>13</v>
      </c>
      <c r="B18" s="353">
        <v>0.32</v>
      </c>
      <c r="C18" s="353">
        <f t="shared" si="5"/>
        <v>2.36</v>
      </c>
      <c r="D18" s="353">
        <f t="shared" si="0"/>
        <v>43.333333333333336</v>
      </c>
      <c r="E18" s="354">
        <f t="shared" si="1"/>
        <v>43</v>
      </c>
      <c r="F18" s="353">
        <f t="shared" si="6"/>
        <v>4.7399999999999949</v>
      </c>
      <c r="G18" s="353">
        <f t="shared" si="7"/>
        <v>33.539999999999992</v>
      </c>
      <c r="H18" s="355">
        <f t="shared" si="2"/>
        <v>4.7399999999999949</v>
      </c>
      <c r="I18" s="363">
        <f t="shared" si="3"/>
        <v>4.7399999999999949E-2</v>
      </c>
    </row>
    <row r="19" spans="1:9" s="356" customFormat="1" ht="15" customHeight="1">
      <c r="A19" s="358">
        <v>14</v>
      </c>
      <c r="B19" s="353">
        <v>0.32</v>
      </c>
      <c r="C19" s="353">
        <f t="shared" si="5"/>
        <v>2.6799999999999997</v>
      </c>
      <c r="D19" s="353">
        <f t="shared" si="0"/>
        <v>46.666666666666671</v>
      </c>
      <c r="E19" s="354">
        <f t="shared" si="1"/>
        <v>47</v>
      </c>
      <c r="F19" s="353">
        <f t="shared" si="6"/>
        <v>5.519999999999996</v>
      </c>
      <c r="G19" s="353">
        <f t="shared" si="7"/>
        <v>39.059999999999988</v>
      </c>
      <c r="H19" s="355">
        <f t="shared" si="2"/>
        <v>5.519999999999996</v>
      </c>
      <c r="I19" s="363">
        <f t="shared" si="3"/>
        <v>5.5199999999999957E-2</v>
      </c>
    </row>
    <row r="20" spans="1:9" s="356" customFormat="1" ht="15" customHeight="1">
      <c r="A20" s="358">
        <v>15</v>
      </c>
      <c r="B20" s="353">
        <v>0.32</v>
      </c>
      <c r="C20" s="353">
        <f t="shared" si="5"/>
        <v>2.9999999999999996</v>
      </c>
      <c r="D20" s="353">
        <f t="shared" si="0"/>
        <v>50</v>
      </c>
      <c r="E20" s="354">
        <f t="shared" si="1"/>
        <v>50</v>
      </c>
      <c r="F20" s="353">
        <f t="shared" si="6"/>
        <v>3.5399999999999991</v>
      </c>
      <c r="G20" s="353">
        <f t="shared" si="7"/>
        <v>42.599999999999987</v>
      </c>
      <c r="H20" s="355">
        <f t="shared" si="2"/>
        <v>3.5399999999999991</v>
      </c>
      <c r="I20" s="363">
        <f t="shared" si="3"/>
        <v>3.5399999999999994E-2</v>
      </c>
    </row>
    <row r="21" spans="1:9" s="356" customFormat="1" ht="15" customHeight="1">
      <c r="A21" s="358">
        <v>16</v>
      </c>
      <c r="B21" s="353">
        <v>0.52</v>
      </c>
      <c r="C21" s="353">
        <f t="shared" si="5"/>
        <v>3.5199999999999996</v>
      </c>
      <c r="D21" s="353">
        <f t="shared" si="0"/>
        <v>53.333333333333336</v>
      </c>
      <c r="E21" s="354">
        <f t="shared" si="1"/>
        <v>53</v>
      </c>
      <c r="F21" s="353">
        <f t="shared" si="6"/>
        <v>5.0399999999999991</v>
      </c>
      <c r="G21" s="353">
        <f t="shared" si="7"/>
        <v>47.639999999999986</v>
      </c>
      <c r="H21" s="355">
        <f t="shared" si="2"/>
        <v>5.0399999999999991</v>
      </c>
      <c r="I21" s="363">
        <f t="shared" si="3"/>
        <v>5.0399999999999993E-2</v>
      </c>
    </row>
    <row r="22" spans="1:9" s="367" customFormat="1" ht="15" customHeight="1">
      <c r="A22" s="358">
        <v>17</v>
      </c>
      <c r="B22" s="366">
        <v>0.52</v>
      </c>
      <c r="C22" s="353">
        <f t="shared" si="5"/>
        <v>4.0399999999999991</v>
      </c>
      <c r="D22" s="353">
        <f t="shared" si="0"/>
        <v>56.666666666666671</v>
      </c>
      <c r="E22" s="354">
        <f t="shared" si="1"/>
        <v>57</v>
      </c>
      <c r="F22" s="353">
        <f t="shared" si="6"/>
        <v>6.7600000000000051</v>
      </c>
      <c r="G22" s="353">
        <f t="shared" si="7"/>
        <v>54.399999999999991</v>
      </c>
      <c r="H22" s="355">
        <f t="shared" si="2"/>
        <v>6.7600000000000051</v>
      </c>
      <c r="I22" s="363">
        <f t="shared" si="3"/>
        <v>6.7600000000000049E-2</v>
      </c>
    </row>
    <row r="23" spans="1:9" s="356" customFormat="1" ht="15" customHeight="1">
      <c r="A23" s="358">
        <v>18</v>
      </c>
      <c r="B23" s="353">
        <v>0.52</v>
      </c>
      <c r="C23" s="353">
        <f t="shared" si="5"/>
        <v>4.5599999999999987</v>
      </c>
      <c r="D23" s="353">
        <f t="shared" si="0"/>
        <v>60</v>
      </c>
      <c r="E23" s="354">
        <f t="shared" si="1"/>
        <v>60</v>
      </c>
      <c r="F23" s="353">
        <f t="shared" si="6"/>
        <v>5.1000000000000085</v>
      </c>
      <c r="G23" s="353">
        <f t="shared" si="7"/>
        <v>59.5</v>
      </c>
      <c r="H23" s="355">
        <f t="shared" si="2"/>
        <v>5.1000000000000085</v>
      </c>
      <c r="I23" s="363">
        <f t="shared" si="3"/>
        <v>5.1000000000000087E-2</v>
      </c>
    </row>
    <row r="24" spans="1:9" s="356" customFormat="1" ht="15" customHeight="1">
      <c r="A24" s="358">
        <v>19</v>
      </c>
      <c r="B24" s="353">
        <v>0.52</v>
      </c>
      <c r="C24" s="353">
        <f t="shared" si="5"/>
        <v>5.0799999999999983</v>
      </c>
      <c r="D24" s="353">
        <f t="shared" si="0"/>
        <v>63.333333333333336</v>
      </c>
      <c r="E24" s="354">
        <f t="shared" si="1"/>
        <v>63</v>
      </c>
      <c r="F24" s="353">
        <f t="shared" si="6"/>
        <v>4.4399999999999906</v>
      </c>
      <c r="G24" s="353">
        <f t="shared" si="7"/>
        <v>63.939999999999991</v>
      </c>
      <c r="H24" s="355">
        <f t="shared" si="2"/>
        <v>4.4399999999999906</v>
      </c>
      <c r="I24" s="363">
        <f t="shared" si="3"/>
        <v>4.4399999999999905E-2</v>
      </c>
    </row>
    <row r="25" spans="1:9" s="356" customFormat="1" ht="15" customHeight="1">
      <c r="A25" s="358">
        <v>20</v>
      </c>
      <c r="B25" s="353">
        <v>0.52</v>
      </c>
      <c r="C25" s="353">
        <f t="shared" si="5"/>
        <v>5.5999999999999979</v>
      </c>
      <c r="D25" s="353">
        <f t="shared" si="0"/>
        <v>66.666666666666671</v>
      </c>
      <c r="E25" s="354">
        <f t="shared" si="1"/>
        <v>67</v>
      </c>
      <c r="F25" s="353">
        <f t="shared" si="6"/>
        <v>6.5689999999999955</v>
      </c>
      <c r="G25" s="353">
        <f t="shared" si="7"/>
        <v>70.508999999999986</v>
      </c>
      <c r="H25" s="355">
        <f t="shared" si="2"/>
        <v>6.5689999999999955</v>
      </c>
      <c r="I25" s="363">
        <f t="shared" si="3"/>
        <v>6.5689999999999957E-2</v>
      </c>
    </row>
    <row r="26" spans="1:9" s="356" customFormat="1" ht="15" customHeight="1">
      <c r="A26" s="358">
        <v>21</v>
      </c>
      <c r="B26" s="353">
        <v>0.8</v>
      </c>
      <c r="C26" s="353">
        <f t="shared" si="5"/>
        <v>6.3999999999999977</v>
      </c>
      <c r="D26" s="353">
        <f t="shared" si="0"/>
        <v>70</v>
      </c>
      <c r="E26" s="354">
        <f t="shared" si="1"/>
        <v>70</v>
      </c>
      <c r="F26" s="353">
        <f t="shared" si="6"/>
        <v>5.3999999999999915</v>
      </c>
      <c r="G26" s="353">
        <f t="shared" si="7"/>
        <v>75.908999999999978</v>
      </c>
      <c r="H26" s="355">
        <f t="shared" si="2"/>
        <v>5.3999999999999915</v>
      </c>
      <c r="I26" s="363">
        <f t="shared" si="3"/>
        <v>5.3999999999999916E-2</v>
      </c>
    </row>
    <row r="27" spans="1:9" s="356" customFormat="1" ht="15" customHeight="1">
      <c r="A27" s="358">
        <v>22</v>
      </c>
      <c r="B27" s="353">
        <v>0.8</v>
      </c>
      <c r="C27" s="353">
        <f t="shared" si="5"/>
        <v>7.1999999999999975</v>
      </c>
      <c r="D27" s="353">
        <f t="shared" si="0"/>
        <v>73.333333333333343</v>
      </c>
      <c r="E27" s="354">
        <f t="shared" si="1"/>
        <v>73</v>
      </c>
      <c r="F27" s="353">
        <f t="shared" si="6"/>
        <v>4.7399999999999949</v>
      </c>
      <c r="G27" s="353">
        <f t="shared" si="7"/>
        <v>80.648999999999972</v>
      </c>
      <c r="H27" s="355">
        <f t="shared" si="2"/>
        <v>4.7399999999999949</v>
      </c>
      <c r="I27" s="363">
        <f t="shared" si="3"/>
        <v>4.7399999999999949E-2</v>
      </c>
    </row>
    <row r="28" spans="1:9" s="356" customFormat="1" ht="15" customHeight="1">
      <c r="A28" s="358">
        <v>23</v>
      </c>
      <c r="B28" s="353">
        <v>0.8</v>
      </c>
      <c r="C28" s="353">
        <f t="shared" si="5"/>
        <v>7.9999999999999973</v>
      </c>
      <c r="D28" s="353">
        <f t="shared" si="0"/>
        <v>76.666666666666671</v>
      </c>
      <c r="E28" s="354">
        <f t="shared" si="1"/>
        <v>77</v>
      </c>
      <c r="F28" s="353">
        <f t="shared" si="6"/>
        <v>6.1200000000000045</v>
      </c>
      <c r="G28" s="353">
        <f t="shared" si="7"/>
        <v>86.768999999999977</v>
      </c>
      <c r="H28" s="355">
        <f t="shared" si="2"/>
        <v>6.1200000000000045</v>
      </c>
      <c r="I28" s="363">
        <f t="shared" si="3"/>
        <v>6.1200000000000046E-2</v>
      </c>
    </row>
    <row r="29" spans="1:9" s="356" customFormat="1" ht="15" customHeight="1">
      <c r="A29" s="358">
        <v>24</v>
      </c>
      <c r="B29" s="353">
        <v>0.8</v>
      </c>
      <c r="C29" s="353">
        <f t="shared" si="5"/>
        <v>8.7999999999999972</v>
      </c>
      <c r="D29" s="353">
        <f t="shared" si="0"/>
        <v>80</v>
      </c>
      <c r="E29" s="354">
        <f t="shared" si="1"/>
        <v>80</v>
      </c>
      <c r="F29" s="353">
        <f t="shared" si="6"/>
        <v>4.4400000000000119</v>
      </c>
      <c r="G29" s="353">
        <f t="shared" si="7"/>
        <v>91.208999999999989</v>
      </c>
      <c r="H29" s="355">
        <f t="shared" si="2"/>
        <v>4.4400000000000119</v>
      </c>
      <c r="I29" s="363">
        <f t="shared" si="3"/>
        <v>4.440000000000012E-2</v>
      </c>
    </row>
    <row r="30" spans="1:9" s="356" customFormat="1" ht="15" customHeight="1">
      <c r="A30" s="358">
        <v>25</v>
      </c>
      <c r="B30" s="353">
        <v>0.8</v>
      </c>
      <c r="C30" s="353">
        <f t="shared" si="5"/>
        <v>9.5999999999999979</v>
      </c>
      <c r="D30" s="353">
        <f t="shared" si="0"/>
        <v>83.333333333333343</v>
      </c>
      <c r="E30" s="354">
        <f t="shared" si="1"/>
        <v>83</v>
      </c>
      <c r="F30" s="353">
        <f t="shared" si="6"/>
        <v>2.1000000000000085</v>
      </c>
      <c r="G30" s="353">
        <f t="shared" si="7"/>
        <v>93.308999999999997</v>
      </c>
      <c r="H30" s="355">
        <f t="shared" si="2"/>
        <v>2.1000000000000085</v>
      </c>
      <c r="I30" s="363">
        <f t="shared" si="3"/>
        <v>2.1000000000000085E-2</v>
      </c>
    </row>
    <row r="31" spans="1:9" s="356" customFormat="1" ht="15" customHeight="1">
      <c r="A31" s="358">
        <v>26</v>
      </c>
      <c r="B31" s="353">
        <v>1.04</v>
      </c>
      <c r="C31" s="353">
        <f t="shared" si="5"/>
        <v>10.639999999999997</v>
      </c>
      <c r="D31" s="353">
        <f t="shared" si="0"/>
        <v>86.666666666666671</v>
      </c>
      <c r="E31" s="354">
        <f t="shared" si="1"/>
        <v>87</v>
      </c>
      <c r="F31" s="353">
        <f t="shared" si="6"/>
        <v>2.5600000000000023</v>
      </c>
      <c r="G31" s="353">
        <f t="shared" si="7"/>
        <v>95.869</v>
      </c>
      <c r="H31" s="355">
        <f t="shared" si="2"/>
        <v>2.5600000000000023</v>
      </c>
      <c r="I31" s="363">
        <f t="shared" si="3"/>
        <v>2.5600000000000022E-2</v>
      </c>
    </row>
    <row r="32" spans="1:9" s="356" customFormat="1" ht="15" customHeight="1">
      <c r="A32" s="358">
        <v>27</v>
      </c>
      <c r="B32" s="353">
        <v>1.04</v>
      </c>
      <c r="C32" s="353">
        <f t="shared" si="5"/>
        <v>11.679999999999996</v>
      </c>
      <c r="D32" s="353">
        <f t="shared" si="0"/>
        <v>90</v>
      </c>
      <c r="E32" s="354">
        <f t="shared" si="1"/>
        <v>90</v>
      </c>
      <c r="F32" s="353">
        <f t="shared" si="6"/>
        <v>1.7399999999999949</v>
      </c>
      <c r="G32" s="353">
        <f t="shared" si="7"/>
        <v>97.608999999999995</v>
      </c>
      <c r="H32" s="355">
        <f t="shared" si="2"/>
        <v>1.7399999999999949</v>
      </c>
      <c r="I32" s="363">
        <f t="shared" si="3"/>
        <v>1.739999999999995E-2</v>
      </c>
    </row>
    <row r="33" spans="1:9" s="356" customFormat="1" ht="15" customHeight="1">
      <c r="A33" s="358">
        <v>28</v>
      </c>
      <c r="B33" s="353">
        <v>1.04</v>
      </c>
      <c r="C33" s="353">
        <f t="shared" si="5"/>
        <v>12.719999999999995</v>
      </c>
      <c r="D33" s="353">
        <f t="shared" si="0"/>
        <v>93.333333333333343</v>
      </c>
      <c r="E33" s="354">
        <f t="shared" si="1"/>
        <v>93</v>
      </c>
      <c r="F33" s="353">
        <f t="shared" si="6"/>
        <v>0.65999999999999659</v>
      </c>
      <c r="G33" s="353">
        <f t="shared" si="7"/>
        <v>98.268999999999991</v>
      </c>
      <c r="H33" s="355">
        <f t="shared" si="2"/>
        <v>0.65999999999999659</v>
      </c>
      <c r="I33" s="363">
        <f t="shared" si="3"/>
        <v>6.5999999999999661E-3</v>
      </c>
    </row>
    <row r="34" spans="1:9" s="356" customFormat="1" ht="15" customHeight="1">
      <c r="A34" s="358">
        <v>29</v>
      </c>
      <c r="B34" s="353">
        <v>1.04</v>
      </c>
      <c r="C34" s="353">
        <f t="shared" si="5"/>
        <v>13.759999999999994</v>
      </c>
      <c r="D34" s="353">
        <f t="shared" si="0"/>
        <v>96.666666666666671</v>
      </c>
      <c r="E34" s="354">
        <f t="shared" si="1"/>
        <v>97</v>
      </c>
      <c r="F34" s="353">
        <f t="shared" si="6"/>
        <v>0.96000000000000796</v>
      </c>
      <c r="G34" s="353">
        <f t="shared" si="7"/>
        <v>99.228999999999999</v>
      </c>
      <c r="H34" s="355">
        <f t="shared" si="2"/>
        <v>0.96000000000000796</v>
      </c>
      <c r="I34" s="363">
        <f t="shared" si="3"/>
        <v>9.600000000000079E-3</v>
      </c>
    </row>
    <row r="35" spans="1:9" s="356" customFormat="1" ht="15" customHeight="1">
      <c r="A35" s="358">
        <v>30</v>
      </c>
      <c r="B35" s="353">
        <v>1.04</v>
      </c>
      <c r="C35" s="353">
        <f t="shared" si="5"/>
        <v>14.799999999999994</v>
      </c>
      <c r="D35" s="353">
        <f t="shared" si="0"/>
        <v>100</v>
      </c>
      <c r="E35" s="354">
        <f t="shared" si="1"/>
        <v>100</v>
      </c>
      <c r="F35" s="353">
        <f t="shared" si="6"/>
        <v>0.77100000000001501</v>
      </c>
      <c r="G35" s="353">
        <f t="shared" si="7"/>
        <v>100.00000000000001</v>
      </c>
      <c r="H35" s="355">
        <f t="shared" si="2"/>
        <v>0.77100000000001501</v>
      </c>
      <c r="I35" s="363">
        <f t="shared" si="3"/>
        <v>7.7100000000001499E-3</v>
      </c>
    </row>
    <row r="36" spans="1:9" s="356" customFormat="1" ht="15" customHeight="1">
      <c r="A36" s="358">
        <v>31</v>
      </c>
      <c r="B36" s="353">
        <v>1.48</v>
      </c>
      <c r="C36" s="353">
        <f t="shared" si="5"/>
        <v>16.279999999999994</v>
      </c>
      <c r="D36" s="353">
        <f t="shared" si="0"/>
        <v>103.33333333333334</v>
      </c>
      <c r="E36" s="354">
        <f t="shared" si="1"/>
        <v>103</v>
      </c>
      <c r="F36" s="353">
        <f t="shared" si="6"/>
        <v>0</v>
      </c>
      <c r="G36" s="353">
        <f t="shared" si="7"/>
        <v>100.00000000000001</v>
      </c>
      <c r="H36" s="355">
        <f t="shared" si="2"/>
        <v>0</v>
      </c>
      <c r="I36" s="363">
        <f t="shared" si="3"/>
        <v>0</v>
      </c>
    </row>
    <row r="37" spans="1:9" s="356" customFormat="1" ht="15" customHeight="1">
      <c r="A37" s="358">
        <v>32</v>
      </c>
      <c r="B37" s="353">
        <v>1.48</v>
      </c>
      <c r="C37" s="353">
        <f t="shared" si="5"/>
        <v>17.759999999999994</v>
      </c>
      <c r="D37" s="353">
        <f t="shared" si="0"/>
        <v>106.66666666666667</v>
      </c>
      <c r="E37" s="354">
        <f t="shared" si="1"/>
        <v>107</v>
      </c>
      <c r="F37" s="353">
        <f t="shared" si="6"/>
        <v>0</v>
      </c>
      <c r="G37" s="353">
        <f t="shared" si="7"/>
        <v>100.00000000000001</v>
      </c>
      <c r="H37" s="355">
        <f t="shared" si="2"/>
        <v>0</v>
      </c>
      <c r="I37" s="363">
        <f t="shared" si="3"/>
        <v>0</v>
      </c>
    </row>
    <row r="38" spans="1:9" s="356" customFormat="1" ht="15" customHeight="1">
      <c r="A38" s="358">
        <v>33</v>
      </c>
      <c r="B38" s="353">
        <v>1.48</v>
      </c>
      <c r="C38" s="353">
        <f t="shared" si="5"/>
        <v>19.239999999999995</v>
      </c>
      <c r="D38" s="353">
        <f t="shared" si="0"/>
        <v>110</v>
      </c>
      <c r="E38" s="354">
        <f t="shared" si="1"/>
        <v>110</v>
      </c>
      <c r="F38" s="353">
        <f t="shared" si="6"/>
        <v>0</v>
      </c>
      <c r="G38" s="353">
        <f t="shared" si="7"/>
        <v>100.00000000000001</v>
      </c>
      <c r="H38" s="355">
        <f t="shared" si="2"/>
        <v>0</v>
      </c>
      <c r="I38" s="363">
        <f t="shared" si="3"/>
        <v>0</v>
      </c>
    </row>
    <row r="39" spans="1:9" s="356" customFormat="1" ht="15" customHeight="1">
      <c r="A39" s="358">
        <v>34</v>
      </c>
      <c r="B39" s="353">
        <v>1.48</v>
      </c>
      <c r="C39" s="353">
        <f t="shared" si="5"/>
        <v>20.719999999999995</v>
      </c>
      <c r="D39" s="353">
        <f t="shared" si="0"/>
        <v>113.33333333333334</v>
      </c>
      <c r="E39" s="354">
        <f t="shared" si="1"/>
        <v>113</v>
      </c>
      <c r="F39" s="353">
        <f t="shared" si="6"/>
        <v>0</v>
      </c>
      <c r="G39" s="353">
        <f t="shared" si="7"/>
        <v>100.00000000000001</v>
      </c>
      <c r="H39" s="355">
        <f t="shared" si="2"/>
        <v>0</v>
      </c>
      <c r="I39" s="363">
        <f t="shared" si="3"/>
        <v>0</v>
      </c>
    </row>
    <row r="40" spans="1:9" s="356" customFormat="1" ht="15" customHeight="1">
      <c r="A40" s="358">
        <v>35</v>
      </c>
      <c r="B40" s="353">
        <v>1.48</v>
      </c>
      <c r="C40" s="353">
        <f t="shared" si="5"/>
        <v>22.199999999999996</v>
      </c>
      <c r="D40" s="353">
        <f t="shared" si="0"/>
        <v>116.66666666666667</v>
      </c>
      <c r="E40" s="354">
        <f t="shared" si="1"/>
        <v>117</v>
      </c>
      <c r="F40" s="353">
        <f t="shared" si="6"/>
        <v>0</v>
      </c>
      <c r="G40" s="353">
        <f t="shared" si="7"/>
        <v>100.00000000000001</v>
      </c>
      <c r="H40" s="355">
        <f t="shared" si="2"/>
        <v>0</v>
      </c>
      <c r="I40" s="363">
        <f t="shared" si="3"/>
        <v>0</v>
      </c>
    </row>
    <row r="41" spans="1:9" s="356" customFormat="1" ht="15" customHeight="1">
      <c r="A41" s="358">
        <v>36</v>
      </c>
      <c r="B41" s="353">
        <v>1.32</v>
      </c>
      <c r="C41" s="353">
        <f t="shared" si="5"/>
        <v>23.519999999999996</v>
      </c>
      <c r="D41" s="353">
        <f t="shared" si="0"/>
        <v>120</v>
      </c>
      <c r="E41" s="354">
        <f t="shared" si="1"/>
        <v>120</v>
      </c>
      <c r="F41" s="353">
        <f t="shared" si="6"/>
        <v>0</v>
      </c>
      <c r="G41" s="353">
        <f t="shared" si="7"/>
        <v>100.00000000000001</v>
      </c>
      <c r="H41" s="355">
        <f t="shared" si="2"/>
        <v>0</v>
      </c>
      <c r="I41" s="363">
        <f t="shared" si="3"/>
        <v>0</v>
      </c>
    </row>
    <row r="42" spans="1:9" s="356" customFormat="1" ht="15" customHeight="1">
      <c r="A42" s="358">
        <v>37</v>
      </c>
      <c r="B42" s="353">
        <v>1.32</v>
      </c>
      <c r="C42" s="353">
        <f t="shared" si="5"/>
        <v>24.839999999999996</v>
      </c>
      <c r="D42" s="353">
        <f t="shared" si="0"/>
        <v>123.33333333333334</v>
      </c>
      <c r="E42" s="354">
        <f t="shared" si="1"/>
        <v>123</v>
      </c>
      <c r="F42" s="353">
        <f t="shared" si="6"/>
        <v>0</v>
      </c>
      <c r="G42" s="353">
        <f t="shared" si="7"/>
        <v>100.00000000000001</v>
      </c>
      <c r="H42" s="355">
        <f t="shared" si="2"/>
        <v>0</v>
      </c>
      <c r="I42" s="363">
        <f t="shared" si="3"/>
        <v>0</v>
      </c>
    </row>
    <row r="43" spans="1:9" s="356" customFormat="1" ht="15" customHeight="1">
      <c r="A43" s="358">
        <v>38</v>
      </c>
      <c r="B43" s="353">
        <v>1.32</v>
      </c>
      <c r="C43" s="353">
        <f t="shared" si="5"/>
        <v>26.159999999999997</v>
      </c>
      <c r="D43" s="353">
        <f t="shared" si="0"/>
        <v>126.66666666666667</v>
      </c>
      <c r="E43" s="354">
        <f t="shared" si="1"/>
        <v>127</v>
      </c>
      <c r="F43" s="353">
        <f t="shared" si="6"/>
        <v>0</v>
      </c>
      <c r="G43" s="353">
        <f t="shared" si="7"/>
        <v>100.00000000000001</v>
      </c>
      <c r="H43" s="355">
        <f t="shared" si="2"/>
        <v>0</v>
      </c>
      <c r="I43" s="363">
        <f t="shared" si="3"/>
        <v>0</v>
      </c>
    </row>
    <row r="44" spans="1:9" s="356" customFormat="1" ht="15" customHeight="1">
      <c r="A44" s="358">
        <v>39</v>
      </c>
      <c r="B44" s="353">
        <v>1.32</v>
      </c>
      <c r="C44" s="353">
        <f t="shared" si="5"/>
        <v>27.479999999999997</v>
      </c>
      <c r="D44" s="353">
        <f t="shared" si="0"/>
        <v>130</v>
      </c>
      <c r="E44" s="354">
        <f t="shared" si="1"/>
        <v>130</v>
      </c>
      <c r="F44" s="353">
        <f t="shared" si="6"/>
        <v>0</v>
      </c>
      <c r="G44" s="353">
        <f t="shared" si="7"/>
        <v>100.00000000000001</v>
      </c>
      <c r="H44" s="355">
        <f t="shared" si="2"/>
        <v>0</v>
      </c>
      <c r="I44" s="363">
        <f t="shared" si="3"/>
        <v>0</v>
      </c>
    </row>
    <row r="45" spans="1:9" s="356" customFormat="1" ht="15" customHeight="1">
      <c r="A45" s="358">
        <v>40</v>
      </c>
      <c r="B45" s="353">
        <v>1.32</v>
      </c>
      <c r="C45" s="353">
        <f t="shared" si="5"/>
        <v>28.799999999999997</v>
      </c>
      <c r="D45" s="353">
        <f t="shared" si="0"/>
        <v>133.33333333333334</v>
      </c>
      <c r="E45" s="354">
        <f t="shared" si="1"/>
        <v>133</v>
      </c>
      <c r="F45" s="353">
        <f t="shared" si="6"/>
        <v>0</v>
      </c>
      <c r="G45" s="353">
        <f t="shared" si="7"/>
        <v>100.00000000000001</v>
      </c>
      <c r="H45" s="355">
        <f t="shared" si="2"/>
        <v>0</v>
      </c>
      <c r="I45" s="363">
        <f t="shared" si="3"/>
        <v>0</v>
      </c>
    </row>
    <row r="46" spans="1:9" s="356" customFormat="1" ht="15" customHeight="1">
      <c r="A46" s="358">
        <v>41</v>
      </c>
      <c r="B46" s="353">
        <v>1.58</v>
      </c>
      <c r="C46" s="353">
        <f t="shared" si="5"/>
        <v>30.379999999999995</v>
      </c>
      <c r="D46" s="353">
        <f t="shared" si="0"/>
        <v>136.66666666666669</v>
      </c>
      <c r="E46" s="354">
        <f t="shared" si="1"/>
        <v>137</v>
      </c>
      <c r="F46" s="353">
        <f t="shared" si="6"/>
        <v>0</v>
      </c>
      <c r="G46" s="353">
        <f t="shared" si="7"/>
        <v>100.00000000000001</v>
      </c>
      <c r="H46" s="355">
        <f t="shared" si="2"/>
        <v>0</v>
      </c>
      <c r="I46" s="363">
        <f t="shared" si="3"/>
        <v>0</v>
      </c>
    </row>
    <row r="47" spans="1:9" s="356" customFormat="1" ht="15" customHeight="1">
      <c r="A47" s="358">
        <v>42</v>
      </c>
      <c r="B47" s="353">
        <v>1.58</v>
      </c>
      <c r="C47" s="353">
        <f t="shared" si="5"/>
        <v>31.959999999999994</v>
      </c>
      <c r="D47" s="353">
        <f t="shared" si="0"/>
        <v>140</v>
      </c>
      <c r="E47" s="354">
        <f t="shared" si="1"/>
        <v>140</v>
      </c>
      <c r="F47" s="353">
        <f t="shared" si="6"/>
        <v>0</v>
      </c>
      <c r="G47" s="353">
        <f t="shared" si="7"/>
        <v>100.00000000000001</v>
      </c>
      <c r="H47" s="355">
        <f t="shared" si="2"/>
        <v>0</v>
      </c>
      <c r="I47" s="363">
        <f t="shared" si="3"/>
        <v>0</v>
      </c>
    </row>
    <row r="48" spans="1:9" s="356" customFormat="1" ht="15" customHeight="1">
      <c r="A48" s="358">
        <v>43</v>
      </c>
      <c r="B48" s="353">
        <v>1.58</v>
      </c>
      <c r="C48" s="353">
        <f t="shared" si="5"/>
        <v>33.539999999999992</v>
      </c>
      <c r="D48" s="353">
        <f t="shared" si="0"/>
        <v>143.33333333333334</v>
      </c>
      <c r="E48" s="354">
        <f t="shared" si="1"/>
        <v>143</v>
      </c>
      <c r="F48" s="353">
        <f t="shared" si="6"/>
        <v>0</v>
      </c>
      <c r="G48" s="353">
        <f t="shared" si="7"/>
        <v>100.00000000000001</v>
      </c>
      <c r="H48" s="355">
        <f t="shared" si="2"/>
        <v>0</v>
      </c>
      <c r="I48" s="363">
        <f t="shared" si="3"/>
        <v>0</v>
      </c>
    </row>
    <row r="49" spans="1:9" s="356" customFormat="1" ht="15" customHeight="1">
      <c r="A49" s="358">
        <v>44</v>
      </c>
      <c r="B49" s="353">
        <v>1.58</v>
      </c>
      <c r="C49" s="353">
        <f t="shared" si="5"/>
        <v>35.11999999999999</v>
      </c>
      <c r="D49" s="353">
        <f t="shared" si="0"/>
        <v>146.66666666666669</v>
      </c>
      <c r="E49" s="354">
        <f t="shared" si="1"/>
        <v>147</v>
      </c>
      <c r="F49" s="353">
        <f t="shared" si="6"/>
        <v>0</v>
      </c>
      <c r="G49" s="353">
        <f t="shared" si="7"/>
        <v>100.00000000000001</v>
      </c>
      <c r="H49" s="355">
        <f t="shared" si="2"/>
        <v>0</v>
      </c>
      <c r="I49" s="363">
        <f t="shared" si="3"/>
        <v>0</v>
      </c>
    </row>
    <row r="50" spans="1:9" s="356" customFormat="1" ht="15" customHeight="1">
      <c r="A50" s="358">
        <v>45</v>
      </c>
      <c r="B50" s="353">
        <v>1.58</v>
      </c>
      <c r="C50" s="353">
        <f t="shared" si="5"/>
        <v>36.699999999999989</v>
      </c>
      <c r="D50" s="353">
        <f t="shared" si="0"/>
        <v>150</v>
      </c>
      <c r="E50" s="354">
        <f t="shared" si="1"/>
        <v>150</v>
      </c>
      <c r="F50" s="353">
        <f t="shared" si="6"/>
        <v>0</v>
      </c>
      <c r="G50" s="353">
        <f t="shared" si="7"/>
        <v>100.00000000000001</v>
      </c>
      <c r="H50" s="355">
        <f t="shared" si="2"/>
        <v>0</v>
      </c>
      <c r="I50" s="363">
        <f t="shared" si="3"/>
        <v>0</v>
      </c>
    </row>
    <row r="51" spans="1:9" s="356" customFormat="1" ht="15" customHeight="1">
      <c r="A51" s="358">
        <v>46</v>
      </c>
      <c r="B51" s="353">
        <v>1.18</v>
      </c>
      <c r="C51" s="353">
        <f t="shared" si="5"/>
        <v>37.879999999999988</v>
      </c>
      <c r="D51" s="353">
        <f t="shared" si="0"/>
        <v>153.33333333333334</v>
      </c>
      <c r="E51" s="354">
        <f t="shared" si="1"/>
        <v>153</v>
      </c>
      <c r="F51" s="353">
        <f t="shared" si="6"/>
        <v>0</v>
      </c>
      <c r="G51" s="353">
        <f t="shared" si="7"/>
        <v>100.00000000000001</v>
      </c>
      <c r="H51" s="355">
        <f t="shared" si="2"/>
        <v>0</v>
      </c>
      <c r="I51" s="363">
        <f t="shared" si="3"/>
        <v>0</v>
      </c>
    </row>
    <row r="52" spans="1:9" s="356" customFormat="1" ht="15" customHeight="1">
      <c r="A52" s="358">
        <v>47</v>
      </c>
      <c r="B52" s="353">
        <v>1.18</v>
      </c>
      <c r="C52" s="353">
        <f t="shared" si="5"/>
        <v>39.059999999999988</v>
      </c>
      <c r="D52" s="353">
        <f t="shared" si="0"/>
        <v>156.66666666666669</v>
      </c>
      <c r="E52" s="354">
        <f t="shared" si="1"/>
        <v>157</v>
      </c>
      <c r="F52" s="353">
        <f t="shared" si="6"/>
        <v>0</v>
      </c>
      <c r="G52" s="353">
        <f t="shared" si="7"/>
        <v>100.00000000000001</v>
      </c>
      <c r="H52" s="355">
        <f t="shared" si="2"/>
        <v>0</v>
      </c>
      <c r="I52" s="363">
        <f t="shared" si="3"/>
        <v>0</v>
      </c>
    </row>
    <row r="53" spans="1:9" s="356" customFormat="1" ht="15" customHeight="1">
      <c r="A53" s="358">
        <v>48</v>
      </c>
      <c r="B53" s="353">
        <v>1.18</v>
      </c>
      <c r="C53" s="353">
        <f t="shared" si="5"/>
        <v>40.239999999999988</v>
      </c>
      <c r="D53" s="353">
        <f t="shared" si="0"/>
        <v>160</v>
      </c>
      <c r="E53" s="354">
        <f t="shared" si="1"/>
        <v>160</v>
      </c>
      <c r="F53" s="353">
        <f t="shared" si="6"/>
        <v>0</v>
      </c>
      <c r="G53" s="353">
        <f t="shared" si="7"/>
        <v>100.00000000000001</v>
      </c>
      <c r="H53" s="355">
        <f t="shared" si="2"/>
        <v>0</v>
      </c>
      <c r="I53" s="363">
        <f t="shared" si="3"/>
        <v>0</v>
      </c>
    </row>
    <row r="54" spans="1:9" s="356" customFormat="1" ht="15" customHeight="1">
      <c r="A54" s="358">
        <v>49</v>
      </c>
      <c r="B54" s="353">
        <v>1.18</v>
      </c>
      <c r="C54" s="353">
        <f t="shared" si="5"/>
        <v>41.419999999999987</v>
      </c>
      <c r="D54" s="353">
        <f t="shared" si="0"/>
        <v>163.33333333333334</v>
      </c>
      <c r="E54" s="354">
        <f t="shared" si="1"/>
        <v>163</v>
      </c>
      <c r="F54" s="353">
        <f t="shared" si="6"/>
        <v>0</v>
      </c>
      <c r="G54" s="353">
        <f t="shared" si="7"/>
        <v>100.00000000000001</v>
      </c>
      <c r="H54" s="355">
        <f t="shared" si="2"/>
        <v>0</v>
      </c>
      <c r="I54" s="363">
        <f t="shared" si="3"/>
        <v>0</v>
      </c>
    </row>
    <row r="55" spans="1:9" s="356" customFormat="1" ht="15" customHeight="1">
      <c r="A55" s="358">
        <v>50</v>
      </c>
      <c r="B55" s="353">
        <v>1.18</v>
      </c>
      <c r="C55" s="353">
        <f t="shared" si="5"/>
        <v>42.599999999999987</v>
      </c>
      <c r="D55" s="353">
        <f t="shared" si="0"/>
        <v>166.66666666666669</v>
      </c>
      <c r="E55" s="354">
        <f t="shared" si="1"/>
        <v>167</v>
      </c>
      <c r="F55" s="353">
        <f t="shared" si="6"/>
        <v>0</v>
      </c>
      <c r="G55" s="353">
        <f t="shared" si="7"/>
        <v>100.00000000000001</v>
      </c>
      <c r="H55" s="355">
        <f t="shared" si="2"/>
        <v>0</v>
      </c>
      <c r="I55" s="363">
        <f t="shared" si="3"/>
        <v>0</v>
      </c>
    </row>
    <row r="56" spans="1:9" s="356" customFormat="1" ht="15" customHeight="1">
      <c r="A56" s="358">
        <v>51</v>
      </c>
      <c r="B56" s="353">
        <v>1.68</v>
      </c>
      <c r="C56" s="353">
        <f t="shared" si="5"/>
        <v>44.279999999999987</v>
      </c>
      <c r="D56" s="353">
        <f t="shared" si="0"/>
        <v>170</v>
      </c>
      <c r="E56" s="354">
        <f t="shared" si="1"/>
        <v>170</v>
      </c>
      <c r="F56" s="353">
        <f t="shared" si="6"/>
        <v>0</v>
      </c>
      <c r="G56" s="353">
        <f t="shared" si="7"/>
        <v>100.00000000000001</v>
      </c>
      <c r="H56" s="355">
        <f t="shared" si="2"/>
        <v>0</v>
      </c>
      <c r="I56" s="363">
        <f t="shared" si="3"/>
        <v>0</v>
      </c>
    </row>
    <row r="57" spans="1:9" s="356" customFormat="1" ht="15" customHeight="1">
      <c r="A57" s="358">
        <v>52</v>
      </c>
      <c r="B57" s="353">
        <v>1.68</v>
      </c>
      <c r="C57" s="353">
        <f t="shared" si="5"/>
        <v>45.959999999999987</v>
      </c>
      <c r="D57" s="353">
        <f t="shared" si="0"/>
        <v>173.33333333333334</v>
      </c>
      <c r="E57" s="354">
        <f t="shared" si="1"/>
        <v>173</v>
      </c>
      <c r="F57" s="353">
        <f t="shared" si="6"/>
        <v>0</v>
      </c>
      <c r="G57" s="353">
        <f t="shared" si="7"/>
        <v>100.00000000000001</v>
      </c>
      <c r="H57" s="355">
        <f t="shared" si="2"/>
        <v>0</v>
      </c>
      <c r="I57" s="363">
        <f t="shared" si="3"/>
        <v>0</v>
      </c>
    </row>
    <row r="58" spans="1:9" s="356" customFormat="1" ht="15" customHeight="1">
      <c r="A58" s="358">
        <v>53</v>
      </c>
      <c r="B58" s="353">
        <v>1.68</v>
      </c>
      <c r="C58" s="353">
        <f t="shared" si="5"/>
        <v>47.639999999999986</v>
      </c>
      <c r="D58" s="353">
        <f t="shared" si="0"/>
        <v>176.66666666666669</v>
      </c>
      <c r="E58" s="354">
        <f t="shared" si="1"/>
        <v>177</v>
      </c>
      <c r="F58" s="353">
        <f t="shared" si="6"/>
        <v>0</v>
      </c>
      <c r="G58" s="353">
        <f t="shared" si="7"/>
        <v>100.00000000000001</v>
      </c>
      <c r="H58" s="355">
        <f t="shared" si="2"/>
        <v>0</v>
      </c>
      <c r="I58" s="363">
        <f t="shared" si="3"/>
        <v>0</v>
      </c>
    </row>
    <row r="59" spans="1:9" s="356" customFormat="1" ht="15" customHeight="1">
      <c r="A59" s="358">
        <v>54</v>
      </c>
      <c r="B59" s="353">
        <v>1.68</v>
      </c>
      <c r="C59" s="353">
        <f t="shared" si="5"/>
        <v>49.319999999999986</v>
      </c>
      <c r="D59" s="353">
        <f t="shared" si="0"/>
        <v>180</v>
      </c>
      <c r="E59" s="354">
        <f t="shared" si="1"/>
        <v>180</v>
      </c>
      <c r="F59" s="353">
        <f t="shared" si="6"/>
        <v>0</v>
      </c>
      <c r="G59" s="353">
        <f t="shared" si="7"/>
        <v>100.00000000000001</v>
      </c>
      <c r="H59" s="355">
        <f t="shared" si="2"/>
        <v>0</v>
      </c>
      <c r="I59" s="363">
        <f t="shared" si="3"/>
        <v>0</v>
      </c>
    </row>
    <row r="60" spans="1:9" s="356" customFormat="1" ht="15" customHeight="1">
      <c r="A60" s="358">
        <v>55</v>
      </c>
      <c r="B60" s="353">
        <v>1.68</v>
      </c>
      <c r="C60" s="353">
        <f t="shared" si="5"/>
        <v>50.999999999999986</v>
      </c>
      <c r="D60" s="353">
        <f t="shared" si="0"/>
        <v>183.33333333333334</v>
      </c>
      <c r="E60" s="354">
        <f t="shared" si="1"/>
        <v>183</v>
      </c>
      <c r="F60" s="353">
        <f t="shared" si="6"/>
        <v>0</v>
      </c>
      <c r="G60" s="353">
        <f t="shared" si="7"/>
        <v>100.00000000000001</v>
      </c>
      <c r="H60" s="355">
        <f t="shared" si="2"/>
        <v>0</v>
      </c>
      <c r="I60" s="363">
        <f t="shared" si="3"/>
        <v>0</v>
      </c>
    </row>
    <row r="61" spans="1:9" s="356" customFormat="1" ht="15" customHeight="1">
      <c r="A61" s="358">
        <v>56</v>
      </c>
      <c r="B61" s="353">
        <v>1.7</v>
      </c>
      <c r="C61" s="353">
        <f t="shared" si="5"/>
        <v>52.699999999999989</v>
      </c>
      <c r="D61" s="353">
        <f t="shared" si="0"/>
        <v>186.66666666666669</v>
      </c>
      <c r="E61" s="354">
        <f t="shared" si="1"/>
        <v>187</v>
      </c>
      <c r="F61" s="353">
        <f t="shared" si="6"/>
        <v>0</v>
      </c>
      <c r="G61" s="353">
        <f t="shared" si="7"/>
        <v>100.00000000000001</v>
      </c>
      <c r="H61" s="355">
        <f t="shared" si="2"/>
        <v>0</v>
      </c>
      <c r="I61" s="363">
        <f t="shared" si="3"/>
        <v>0</v>
      </c>
    </row>
    <row r="62" spans="1:9" s="356" customFormat="1" ht="15" customHeight="1">
      <c r="A62" s="358">
        <v>57</v>
      </c>
      <c r="B62" s="353">
        <v>1.7</v>
      </c>
      <c r="C62" s="353">
        <f t="shared" si="5"/>
        <v>54.399999999999991</v>
      </c>
      <c r="D62" s="353">
        <f t="shared" si="0"/>
        <v>190</v>
      </c>
      <c r="E62" s="354">
        <f t="shared" si="1"/>
        <v>190</v>
      </c>
      <c r="F62" s="353">
        <f t="shared" si="6"/>
        <v>0</v>
      </c>
      <c r="G62" s="353">
        <f t="shared" si="7"/>
        <v>100.00000000000001</v>
      </c>
      <c r="H62" s="355">
        <f t="shared" si="2"/>
        <v>0</v>
      </c>
      <c r="I62" s="363">
        <f t="shared" si="3"/>
        <v>0</v>
      </c>
    </row>
    <row r="63" spans="1:9" s="356" customFormat="1" ht="15" customHeight="1">
      <c r="A63" s="358">
        <v>58</v>
      </c>
      <c r="B63" s="353">
        <v>1.7</v>
      </c>
      <c r="C63" s="353">
        <f t="shared" si="5"/>
        <v>56.099999999999994</v>
      </c>
      <c r="D63" s="353">
        <f t="shared" si="0"/>
        <v>193.33333333333334</v>
      </c>
      <c r="E63" s="354">
        <f t="shared" si="1"/>
        <v>193</v>
      </c>
      <c r="F63" s="353">
        <f t="shared" si="6"/>
        <v>0</v>
      </c>
      <c r="G63" s="353">
        <f t="shared" si="7"/>
        <v>100.00000000000001</v>
      </c>
      <c r="H63" s="355">
        <f t="shared" si="2"/>
        <v>0</v>
      </c>
      <c r="I63" s="363">
        <f t="shared" si="3"/>
        <v>0</v>
      </c>
    </row>
    <row r="64" spans="1:9" s="356" customFormat="1" ht="15" customHeight="1">
      <c r="A64" s="358">
        <v>59</v>
      </c>
      <c r="B64" s="353">
        <v>1.7</v>
      </c>
      <c r="C64" s="353">
        <f t="shared" si="5"/>
        <v>57.8</v>
      </c>
      <c r="D64" s="353">
        <f t="shared" si="0"/>
        <v>196.66666666666669</v>
      </c>
      <c r="E64" s="354">
        <f t="shared" si="1"/>
        <v>197</v>
      </c>
      <c r="F64" s="353">
        <f t="shared" si="6"/>
        <v>0</v>
      </c>
      <c r="G64" s="353">
        <f t="shared" si="7"/>
        <v>100.00000000000001</v>
      </c>
      <c r="H64" s="355">
        <f t="shared" si="2"/>
        <v>0</v>
      </c>
      <c r="I64" s="363">
        <f t="shared" si="3"/>
        <v>0</v>
      </c>
    </row>
    <row r="65" spans="1:9" s="356" customFormat="1" ht="15" customHeight="1">
      <c r="A65" s="358">
        <v>60</v>
      </c>
      <c r="B65" s="353">
        <v>1.7</v>
      </c>
      <c r="C65" s="353">
        <f t="shared" si="5"/>
        <v>59.5</v>
      </c>
      <c r="D65" s="353">
        <f t="shared" si="0"/>
        <v>200</v>
      </c>
      <c r="E65" s="354">
        <f t="shared" si="1"/>
        <v>200</v>
      </c>
      <c r="F65" s="353">
        <f t="shared" si="6"/>
        <v>0</v>
      </c>
      <c r="G65" s="353">
        <f t="shared" si="7"/>
        <v>100.00000000000001</v>
      </c>
      <c r="H65" s="355">
        <f t="shared" si="2"/>
        <v>0</v>
      </c>
      <c r="I65" s="363">
        <f t="shared" si="3"/>
        <v>0</v>
      </c>
    </row>
    <row r="66" spans="1:9" s="356" customFormat="1" ht="15" customHeight="1">
      <c r="A66" s="358">
        <v>61</v>
      </c>
      <c r="B66" s="353">
        <v>1.48</v>
      </c>
      <c r="C66" s="353">
        <f t="shared" si="5"/>
        <v>60.98</v>
      </c>
      <c r="D66" s="353">
        <f t="shared" si="0"/>
        <v>203.33333333333334</v>
      </c>
      <c r="E66" s="354">
        <f t="shared" si="1"/>
        <v>203</v>
      </c>
      <c r="F66" s="353">
        <f t="shared" si="6"/>
        <v>0</v>
      </c>
      <c r="G66" s="353">
        <f t="shared" si="7"/>
        <v>100.00000000000001</v>
      </c>
      <c r="H66" s="355">
        <f t="shared" si="2"/>
        <v>0</v>
      </c>
      <c r="I66" s="363">
        <f t="shared" si="3"/>
        <v>0</v>
      </c>
    </row>
    <row r="67" spans="1:9" s="356" customFormat="1" ht="15" customHeight="1">
      <c r="A67" s="358">
        <v>62</v>
      </c>
      <c r="B67" s="353">
        <v>1.48</v>
      </c>
      <c r="C67" s="353">
        <f t="shared" si="5"/>
        <v>62.459999999999994</v>
      </c>
      <c r="D67" s="353">
        <f t="shared" si="0"/>
        <v>206.66666666666669</v>
      </c>
      <c r="E67" s="354">
        <f t="shared" si="1"/>
        <v>207</v>
      </c>
      <c r="F67" s="353">
        <f t="shared" si="6"/>
        <v>0</v>
      </c>
      <c r="G67" s="353">
        <f t="shared" si="7"/>
        <v>100.00000000000001</v>
      </c>
      <c r="H67" s="355">
        <f t="shared" si="2"/>
        <v>0</v>
      </c>
      <c r="I67" s="363">
        <f t="shared" si="3"/>
        <v>0</v>
      </c>
    </row>
    <row r="68" spans="1:9" s="356" customFormat="1" ht="15" customHeight="1">
      <c r="A68" s="358">
        <v>63</v>
      </c>
      <c r="B68" s="353">
        <v>1.48</v>
      </c>
      <c r="C68" s="353">
        <f t="shared" si="5"/>
        <v>63.939999999999991</v>
      </c>
      <c r="D68" s="353">
        <f t="shared" si="0"/>
        <v>210</v>
      </c>
      <c r="E68" s="354">
        <f t="shared" si="1"/>
        <v>210</v>
      </c>
      <c r="F68" s="353">
        <f t="shared" si="6"/>
        <v>0</v>
      </c>
      <c r="G68" s="353">
        <f t="shared" si="7"/>
        <v>100.00000000000001</v>
      </c>
      <c r="H68" s="355">
        <f t="shared" si="2"/>
        <v>0</v>
      </c>
      <c r="I68" s="363">
        <f t="shared" si="3"/>
        <v>0</v>
      </c>
    </row>
    <row r="69" spans="1:9" s="356" customFormat="1" ht="15" customHeight="1">
      <c r="A69" s="358">
        <v>64</v>
      </c>
      <c r="B69" s="353">
        <v>1.4890000000000001</v>
      </c>
      <c r="C69" s="353">
        <f t="shared" si="5"/>
        <v>65.428999999999988</v>
      </c>
      <c r="D69" s="353">
        <f t="shared" si="0"/>
        <v>213.33333333333334</v>
      </c>
      <c r="E69" s="354">
        <f t="shared" si="1"/>
        <v>213</v>
      </c>
      <c r="F69" s="353">
        <f t="shared" si="6"/>
        <v>0</v>
      </c>
      <c r="G69" s="353">
        <f t="shared" si="7"/>
        <v>100.00000000000001</v>
      </c>
      <c r="H69" s="355">
        <f t="shared" si="2"/>
        <v>0</v>
      </c>
      <c r="I69" s="363">
        <f t="shared" si="3"/>
        <v>0</v>
      </c>
    </row>
    <row r="70" spans="1:9" s="356" customFormat="1" ht="15" customHeight="1">
      <c r="A70" s="358">
        <v>65</v>
      </c>
      <c r="B70" s="353">
        <v>1.48</v>
      </c>
      <c r="C70" s="353">
        <f t="shared" si="5"/>
        <v>66.908999999999992</v>
      </c>
      <c r="D70" s="353">
        <f t="shared" ref="D70:D105" si="10">$D$3*A70</f>
        <v>216.66666666666669</v>
      </c>
      <c r="E70" s="354">
        <f t="shared" ref="E70:E101" si="11">ROUND(D70,0)</f>
        <v>217</v>
      </c>
      <c r="F70" s="353">
        <f t="shared" si="6"/>
        <v>0</v>
      </c>
      <c r="G70" s="353">
        <f t="shared" si="7"/>
        <v>100.00000000000001</v>
      </c>
      <c r="H70" s="355">
        <f t="shared" ref="H70:H105" si="12">IF(F70=0,0,F70)</f>
        <v>0</v>
      </c>
      <c r="I70" s="363">
        <f t="shared" ref="I70:I101" si="13">H70/100</f>
        <v>0</v>
      </c>
    </row>
    <row r="71" spans="1:9" s="356" customFormat="1" ht="15" customHeight="1">
      <c r="A71" s="358">
        <v>66</v>
      </c>
      <c r="B71" s="353">
        <v>1.8</v>
      </c>
      <c r="C71" s="353">
        <f t="shared" ref="C71:C102" si="14">B71+C70</f>
        <v>68.708999999999989</v>
      </c>
      <c r="D71" s="353">
        <f t="shared" si="10"/>
        <v>220</v>
      </c>
      <c r="E71" s="354">
        <f t="shared" si="11"/>
        <v>220</v>
      </c>
      <c r="F71" s="353">
        <f t="shared" ref="F71:F102" si="15">G71-G70</f>
        <v>0</v>
      </c>
      <c r="G71" s="353">
        <f t="shared" ref="G71:G101" si="16">LOOKUP(E71,A71:A170,C71:C170)</f>
        <v>100.00000000000001</v>
      </c>
      <c r="H71" s="355">
        <f t="shared" si="12"/>
        <v>0</v>
      </c>
      <c r="I71" s="363">
        <f t="shared" si="13"/>
        <v>0</v>
      </c>
    </row>
    <row r="72" spans="1:9" s="356" customFormat="1" ht="15" customHeight="1">
      <c r="A72" s="358">
        <v>67</v>
      </c>
      <c r="B72" s="353">
        <v>1.8</v>
      </c>
      <c r="C72" s="353">
        <f t="shared" si="14"/>
        <v>70.508999999999986</v>
      </c>
      <c r="D72" s="353">
        <f t="shared" si="10"/>
        <v>223.33333333333334</v>
      </c>
      <c r="E72" s="354">
        <f t="shared" si="11"/>
        <v>223</v>
      </c>
      <c r="F72" s="353">
        <f t="shared" si="15"/>
        <v>0</v>
      </c>
      <c r="G72" s="353">
        <f t="shared" si="16"/>
        <v>100.00000000000001</v>
      </c>
      <c r="H72" s="355">
        <f t="shared" si="12"/>
        <v>0</v>
      </c>
      <c r="I72" s="363">
        <f t="shared" si="13"/>
        <v>0</v>
      </c>
    </row>
    <row r="73" spans="1:9" s="356" customFormat="1" ht="15" customHeight="1">
      <c r="A73" s="358">
        <v>68</v>
      </c>
      <c r="B73" s="353">
        <v>1.8</v>
      </c>
      <c r="C73" s="353">
        <f t="shared" si="14"/>
        <v>72.308999999999983</v>
      </c>
      <c r="D73" s="353">
        <f t="shared" si="10"/>
        <v>226.66666666666669</v>
      </c>
      <c r="E73" s="354">
        <f t="shared" si="11"/>
        <v>227</v>
      </c>
      <c r="F73" s="353">
        <f t="shared" si="15"/>
        <v>0</v>
      </c>
      <c r="G73" s="353">
        <f t="shared" si="16"/>
        <v>100.00000000000001</v>
      </c>
      <c r="H73" s="355">
        <f t="shared" si="12"/>
        <v>0</v>
      </c>
      <c r="I73" s="363">
        <f t="shared" si="13"/>
        <v>0</v>
      </c>
    </row>
    <row r="74" spans="1:9" s="356" customFormat="1" ht="15" customHeight="1">
      <c r="A74" s="358">
        <v>69</v>
      </c>
      <c r="B74" s="353">
        <v>1.8</v>
      </c>
      <c r="C74" s="353">
        <f t="shared" si="14"/>
        <v>74.10899999999998</v>
      </c>
      <c r="D74" s="353">
        <f t="shared" si="10"/>
        <v>230</v>
      </c>
      <c r="E74" s="354">
        <f t="shared" si="11"/>
        <v>230</v>
      </c>
      <c r="F74" s="353">
        <f t="shared" si="15"/>
        <v>0</v>
      </c>
      <c r="G74" s="353">
        <f t="shared" si="16"/>
        <v>100.00000000000001</v>
      </c>
      <c r="H74" s="355">
        <f t="shared" si="12"/>
        <v>0</v>
      </c>
      <c r="I74" s="363">
        <f t="shared" si="13"/>
        <v>0</v>
      </c>
    </row>
    <row r="75" spans="1:9" s="356" customFormat="1" ht="15" customHeight="1">
      <c r="A75" s="358">
        <v>70</v>
      </c>
      <c r="B75" s="353">
        <v>1.8</v>
      </c>
      <c r="C75" s="353">
        <f t="shared" si="14"/>
        <v>75.908999999999978</v>
      </c>
      <c r="D75" s="353">
        <f t="shared" si="10"/>
        <v>233.33333333333334</v>
      </c>
      <c r="E75" s="354">
        <f t="shared" si="11"/>
        <v>233</v>
      </c>
      <c r="F75" s="353">
        <f t="shared" si="15"/>
        <v>0</v>
      </c>
      <c r="G75" s="353">
        <f t="shared" si="16"/>
        <v>100.00000000000001</v>
      </c>
      <c r="H75" s="355">
        <f t="shared" si="12"/>
        <v>0</v>
      </c>
      <c r="I75" s="363">
        <f t="shared" si="13"/>
        <v>0</v>
      </c>
    </row>
    <row r="76" spans="1:9" s="356" customFormat="1" ht="15" customHeight="1">
      <c r="A76" s="358">
        <v>71</v>
      </c>
      <c r="B76" s="353">
        <v>1.58</v>
      </c>
      <c r="C76" s="353">
        <f t="shared" si="14"/>
        <v>77.488999999999976</v>
      </c>
      <c r="D76" s="353">
        <f t="shared" si="10"/>
        <v>236.66666666666669</v>
      </c>
      <c r="E76" s="354">
        <f t="shared" si="11"/>
        <v>237</v>
      </c>
      <c r="F76" s="353">
        <f t="shared" si="15"/>
        <v>0</v>
      </c>
      <c r="G76" s="353">
        <f t="shared" si="16"/>
        <v>100.00000000000001</v>
      </c>
      <c r="H76" s="355">
        <f t="shared" si="12"/>
        <v>0</v>
      </c>
      <c r="I76" s="363">
        <f t="shared" si="13"/>
        <v>0</v>
      </c>
    </row>
    <row r="77" spans="1:9" s="356" customFormat="1" ht="15" customHeight="1">
      <c r="A77" s="358">
        <v>72</v>
      </c>
      <c r="B77" s="353">
        <v>1.58</v>
      </c>
      <c r="C77" s="353">
        <f t="shared" si="14"/>
        <v>79.068999999999974</v>
      </c>
      <c r="D77" s="353">
        <f t="shared" si="10"/>
        <v>240</v>
      </c>
      <c r="E77" s="354">
        <f t="shared" si="11"/>
        <v>240</v>
      </c>
      <c r="F77" s="353">
        <f t="shared" si="15"/>
        <v>0</v>
      </c>
      <c r="G77" s="353">
        <f t="shared" si="16"/>
        <v>100.00000000000001</v>
      </c>
      <c r="H77" s="355">
        <f t="shared" si="12"/>
        <v>0</v>
      </c>
      <c r="I77" s="363">
        <f t="shared" si="13"/>
        <v>0</v>
      </c>
    </row>
    <row r="78" spans="1:9" s="356" customFormat="1" ht="15" customHeight="1">
      <c r="A78" s="358">
        <v>73</v>
      </c>
      <c r="B78" s="353">
        <v>1.58</v>
      </c>
      <c r="C78" s="353">
        <f t="shared" si="14"/>
        <v>80.648999999999972</v>
      </c>
      <c r="D78" s="353">
        <f t="shared" si="10"/>
        <v>243.33333333333334</v>
      </c>
      <c r="E78" s="354">
        <f t="shared" si="11"/>
        <v>243</v>
      </c>
      <c r="F78" s="353">
        <f t="shared" si="15"/>
        <v>0</v>
      </c>
      <c r="G78" s="353">
        <f t="shared" si="16"/>
        <v>100.00000000000001</v>
      </c>
      <c r="H78" s="355">
        <f t="shared" si="12"/>
        <v>0</v>
      </c>
      <c r="I78" s="363">
        <f t="shared" si="13"/>
        <v>0</v>
      </c>
    </row>
    <row r="79" spans="1:9" s="356" customFormat="1" ht="15" customHeight="1">
      <c r="A79" s="358">
        <v>74</v>
      </c>
      <c r="B79" s="353">
        <v>1.58</v>
      </c>
      <c r="C79" s="353">
        <f t="shared" si="14"/>
        <v>82.228999999999971</v>
      </c>
      <c r="D79" s="353">
        <f t="shared" si="10"/>
        <v>246.66666666666669</v>
      </c>
      <c r="E79" s="354">
        <f t="shared" si="11"/>
        <v>247</v>
      </c>
      <c r="F79" s="353">
        <f t="shared" si="15"/>
        <v>0</v>
      </c>
      <c r="G79" s="353">
        <f t="shared" si="16"/>
        <v>100.00000000000001</v>
      </c>
      <c r="H79" s="355">
        <f t="shared" si="12"/>
        <v>0</v>
      </c>
      <c r="I79" s="363">
        <f t="shared" si="13"/>
        <v>0</v>
      </c>
    </row>
    <row r="80" spans="1:9" s="356" customFormat="1" ht="15" customHeight="1">
      <c r="A80" s="358">
        <v>75</v>
      </c>
      <c r="B80" s="353">
        <v>1.58</v>
      </c>
      <c r="C80" s="353">
        <f t="shared" si="14"/>
        <v>83.808999999999969</v>
      </c>
      <c r="D80" s="353">
        <f t="shared" si="10"/>
        <v>250</v>
      </c>
      <c r="E80" s="354">
        <f t="shared" si="11"/>
        <v>250</v>
      </c>
      <c r="F80" s="353">
        <f t="shared" si="15"/>
        <v>0</v>
      </c>
      <c r="G80" s="353">
        <f t="shared" si="16"/>
        <v>100.00000000000001</v>
      </c>
      <c r="H80" s="355">
        <f t="shared" si="12"/>
        <v>0</v>
      </c>
      <c r="I80" s="363">
        <f t="shared" si="13"/>
        <v>0</v>
      </c>
    </row>
    <row r="81" spans="1:9" s="356" customFormat="1" ht="15" customHeight="1">
      <c r="A81" s="358">
        <v>76</v>
      </c>
      <c r="B81" s="353">
        <v>1.48</v>
      </c>
      <c r="C81" s="353">
        <f t="shared" si="14"/>
        <v>85.288999999999973</v>
      </c>
      <c r="D81" s="353">
        <f t="shared" si="10"/>
        <v>253.33333333333334</v>
      </c>
      <c r="E81" s="354">
        <f t="shared" si="11"/>
        <v>253</v>
      </c>
      <c r="F81" s="353">
        <f t="shared" si="15"/>
        <v>0</v>
      </c>
      <c r="G81" s="353">
        <f t="shared" si="16"/>
        <v>100.00000000000001</v>
      </c>
      <c r="H81" s="355">
        <f t="shared" si="12"/>
        <v>0</v>
      </c>
      <c r="I81" s="363">
        <f t="shared" si="13"/>
        <v>0</v>
      </c>
    </row>
    <row r="82" spans="1:9" s="356" customFormat="1" ht="15" customHeight="1">
      <c r="A82" s="358">
        <v>77</v>
      </c>
      <c r="B82" s="353">
        <v>1.48</v>
      </c>
      <c r="C82" s="353">
        <f t="shared" si="14"/>
        <v>86.768999999999977</v>
      </c>
      <c r="D82" s="353">
        <f t="shared" si="10"/>
        <v>256.66666666666669</v>
      </c>
      <c r="E82" s="354">
        <f t="shared" si="11"/>
        <v>257</v>
      </c>
      <c r="F82" s="353">
        <f t="shared" si="15"/>
        <v>0</v>
      </c>
      <c r="G82" s="353">
        <f t="shared" si="16"/>
        <v>100.00000000000001</v>
      </c>
      <c r="H82" s="355">
        <f t="shared" si="12"/>
        <v>0</v>
      </c>
      <c r="I82" s="363">
        <f t="shared" si="13"/>
        <v>0</v>
      </c>
    </row>
    <row r="83" spans="1:9" s="356" customFormat="1" ht="15" customHeight="1">
      <c r="A83" s="358">
        <v>78</v>
      </c>
      <c r="B83" s="353">
        <v>1.48</v>
      </c>
      <c r="C83" s="353">
        <f t="shared" si="14"/>
        <v>88.248999999999981</v>
      </c>
      <c r="D83" s="353">
        <f t="shared" si="10"/>
        <v>260</v>
      </c>
      <c r="E83" s="354">
        <f t="shared" si="11"/>
        <v>260</v>
      </c>
      <c r="F83" s="353">
        <f t="shared" si="15"/>
        <v>0</v>
      </c>
      <c r="G83" s="353">
        <f t="shared" si="16"/>
        <v>100.00000000000001</v>
      </c>
      <c r="H83" s="355">
        <f t="shared" si="12"/>
        <v>0</v>
      </c>
      <c r="I83" s="363">
        <f t="shared" si="13"/>
        <v>0</v>
      </c>
    </row>
    <row r="84" spans="1:9" s="356" customFormat="1" ht="15" customHeight="1">
      <c r="A84" s="358">
        <v>79</v>
      </c>
      <c r="B84" s="353">
        <v>1.48</v>
      </c>
      <c r="C84" s="353">
        <f t="shared" si="14"/>
        <v>89.728999999999985</v>
      </c>
      <c r="D84" s="353">
        <f t="shared" si="10"/>
        <v>263.33333333333337</v>
      </c>
      <c r="E84" s="354">
        <f t="shared" si="11"/>
        <v>263</v>
      </c>
      <c r="F84" s="353">
        <f t="shared" si="15"/>
        <v>0</v>
      </c>
      <c r="G84" s="353">
        <f t="shared" si="16"/>
        <v>100.00000000000001</v>
      </c>
      <c r="H84" s="355">
        <f t="shared" si="12"/>
        <v>0</v>
      </c>
      <c r="I84" s="363">
        <f t="shared" si="13"/>
        <v>0</v>
      </c>
    </row>
    <row r="85" spans="1:9" s="356" customFormat="1" ht="15" customHeight="1">
      <c r="A85" s="358">
        <v>80</v>
      </c>
      <c r="B85" s="353">
        <v>1.48</v>
      </c>
      <c r="C85" s="353">
        <f t="shared" si="14"/>
        <v>91.208999999999989</v>
      </c>
      <c r="D85" s="353">
        <f t="shared" si="10"/>
        <v>266.66666666666669</v>
      </c>
      <c r="E85" s="354">
        <f t="shared" si="11"/>
        <v>267</v>
      </c>
      <c r="F85" s="353">
        <f t="shared" si="15"/>
        <v>0</v>
      </c>
      <c r="G85" s="353">
        <f t="shared" si="16"/>
        <v>100.00000000000001</v>
      </c>
      <c r="H85" s="355">
        <f t="shared" si="12"/>
        <v>0</v>
      </c>
      <c r="I85" s="363">
        <f t="shared" si="13"/>
        <v>0</v>
      </c>
    </row>
    <row r="86" spans="1:9" s="356" customFormat="1" ht="15" customHeight="1">
      <c r="A86" s="358">
        <v>81</v>
      </c>
      <c r="B86" s="353">
        <v>0.7</v>
      </c>
      <c r="C86" s="353">
        <f t="shared" si="14"/>
        <v>91.908999999999992</v>
      </c>
      <c r="D86" s="353">
        <f t="shared" si="10"/>
        <v>270</v>
      </c>
      <c r="E86" s="354">
        <f t="shared" si="11"/>
        <v>270</v>
      </c>
      <c r="F86" s="353">
        <f t="shared" si="15"/>
        <v>0</v>
      </c>
      <c r="G86" s="353">
        <f t="shared" si="16"/>
        <v>100.00000000000001</v>
      </c>
      <c r="H86" s="355">
        <f t="shared" si="12"/>
        <v>0</v>
      </c>
      <c r="I86" s="363">
        <f t="shared" si="13"/>
        <v>0</v>
      </c>
    </row>
    <row r="87" spans="1:9" s="356" customFormat="1" ht="15" customHeight="1">
      <c r="A87" s="358">
        <v>82</v>
      </c>
      <c r="B87" s="353">
        <v>0.7</v>
      </c>
      <c r="C87" s="353">
        <f t="shared" si="14"/>
        <v>92.608999999999995</v>
      </c>
      <c r="D87" s="353">
        <f t="shared" si="10"/>
        <v>273.33333333333337</v>
      </c>
      <c r="E87" s="354">
        <f t="shared" si="11"/>
        <v>273</v>
      </c>
      <c r="F87" s="353">
        <f t="shared" si="15"/>
        <v>0</v>
      </c>
      <c r="G87" s="353">
        <f t="shared" si="16"/>
        <v>100.00000000000001</v>
      </c>
      <c r="H87" s="355">
        <f t="shared" si="12"/>
        <v>0</v>
      </c>
      <c r="I87" s="363">
        <f t="shared" si="13"/>
        <v>0</v>
      </c>
    </row>
    <row r="88" spans="1:9" s="356" customFormat="1" ht="15" customHeight="1">
      <c r="A88" s="358">
        <v>83</v>
      </c>
      <c r="B88" s="353">
        <v>0.7</v>
      </c>
      <c r="C88" s="353">
        <f t="shared" si="14"/>
        <v>93.308999999999997</v>
      </c>
      <c r="D88" s="353">
        <f t="shared" si="10"/>
        <v>276.66666666666669</v>
      </c>
      <c r="E88" s="354">
        <f t="shared" si="11"/>
        <v>277</v>
      </c>
      <c r="F88" s="353">
        <f t="shared" si="15"/>
        <v>0</v>
      </c>
      <c r="G88" s="353">
        <f t="shared" si="16"/>
        <v>100.00000000000001</v>
      </c>
      <c r="H88" s="355">
        <f t="shared" si="12"/>
        <v>0</v>
      </c>
      <c r="I88" s="363">
        <f t="shared" si="13"/>
        <v>0</v>
      </c>
    </row>
    <row r="89" spans="1:9" s="356" customFormat="1" ht="15" customHeight="1">
      <c r="A89" s="358">
        <v>84</v>
      </c>
      <c r="B89" s="353">
        <v>0.7</v>
      </c>
      <c r="C89" s="353">
        <f t="shared" si="14"/>
        <v>94.009</v>
      </c>
      <c r="D89" s="353">
        <f t="shared" si="10"/>
        <v>280</v>
      </c>
      <c r="E89" s="354">
        <f t="shared" si="11"/>
        <v>280</v>
      </c>
      <c r="F89" s="353">
        <f t="shared" si="15"/>
        <v>0</v>
      </c>
      <c r="G89" s="353">
        <f t="shared" si="16"/>
        <v>100.00000000000001</v>
      </c>
      <c r="H89" s="355">
        <f t="shared" si="12"/>
        <v>0</v>
      </c>
      <c r="I89" s="363">
        <f t="shared" si="13"/>
        <v>0</v>
      </c>
    </row>
    <row r="90" spans="1:9" s="356" customFormat="1" ht="15" customHeight="1">
      <c r="A90" s="358">
        <v>85</v>
      </c>
      <c r="B90" s="353">
        <v>0.7</v>
      </c>
      <c r="C90" s="353">
        <f t="shared" si="14"/>
        <v>94.709000000000003</v>
      </c>
      <c r="D90" s="353">
        <f t="shared" si="10"/>
        <v>283.33333333333337</v>
      </c>
      <c r="E90" s="354">
        <f t="shared" si="11"/>
        <v>283</v>
      </c>
      <c r="F90" s="353">
        <f t="shared" si="15"/>
        <v>0</v>
      </c>
      <c r="G90" s="353">
        <f t="shared" si="16"/>
        <v>100.00000000000001</v>
      </c>
      <c r="H90" s="355">
        <f t="shared" si="12"/>
        <v>0</v>
      </c>
      <c r="I90" s="363">
        <f t="shared" si="13"/>
        <v>0</v>
      </c>
    </row>
    <row r="91" spans="1:9" s="356" customFormat="1" ht="15" customHeight="1">
      <c r="A91" s="358">
        <v>86</v>
      </c>
      <c r="B91" s="353">
        <v>0.57999999999999996</v>
      </c>
      <c r="C91" s="353">
        <f t="shared" si="14"/>
        <v>95.289000000000001</v>
      </c>
      <c r="D91" s="353">
        <f t="shared" si="10"/>
        <v>286.66666666666669</v>
      </c>
      <c r="E91" s="354">
        <f t="shared" si="11"/>
        <v>287</v>
      </c>
      <c r="F91" s="353">
        <f t="shared" si="15"/>
        <v>0</v>
      </c>
      <c r="G91" s="353">
        <f t="shared" si="16"/>
        <v>100.00000000000001</v>
      </c>
      <c r="H91" s="355">
        <f t="shared" si="12"/>
        <v>0</v>
      </c>
      <c r="I91" s="363">
        <f t="shared" si="13"/>
        <v>0</v>
      </c>
    </row>
    <row r="92" spans="1:9" s="356" customFormat="1" ht="15" customHeight="1">
      <c r="A92" s="358">
        <v>87</v>
      </c>
      <c r="B92" s="353">
        <v>0.57999999999999996</v>
      </c>
      <c r="C92" s="353">
        <f t="shared" si="14"/>
        <v>95.869</v>
      </c>
      <c r="D92" s="353">
        <f t="shared" si="10"/>
        <v>290</v>
      </c>
      <c r="E92" s="354">
        <f t="shared" si="11"/>
        <v>290</v>
      </c>
      <c r="F92" s="353">
        <f t="shared" si="15"/>
        <v>0</v>
      </c>
      <c r="G92" s="353">
        <f t="shared" si="16"/>
        <v>100.00000000000001</v>
      </c>
      <c r="H92" s="355">
        <f t="shared" si="12"/>
        <v>0</v>
      </c>
      <c r="I92" s="363">
        <f t="shared" si="13"/>
        <v>0</v>
      </c>
    </row>
    <row r="93" spans="1:9" s="356" customFormat="1" ht="15" customHeight="1">
      <c r="A93" s="358">
        <v>88</v>
      </c>
      <c r="B93" s="353">
        <v>0.57999999999999996</v>
      </c>
      <c r="C93" s="353">
        <f t="shared" si="14"/>
        <v>96.448999999999998</v>
      </c>
      <c r="D93" s="353">
        <f t="shared" si="10"/>
        <v>293.33333333333337</v>
      </c>
      <c r="E93" s="354">
        <f t="shared" si="11"/>
        <v>293</v>
      </c>
      <c r="F93" s="353">
        <f t="shared" si="15"/>
        <v>0</v>
      </c>
      <c r="G93" s="353">
        <f t="shared" si="16"/>
        <v>100.00000000000001</v>
      </c>
      <c r="H93" s="355">
        <f t="shared" si="12"/>
        <v>0</v>
      </c>
      <c r="I93" s="363">
        <f t="shared" si="13"/>
        <v>0</v>
      </c>
    </row>
    <row r="94" spans="1:9" s="356" customFormat="1" ht="15" customHeight="1">
      <c r="A94" s="358">
        <v>89</v>
      </c>
      <c r="B94" s="353">
        <v>0.57999999999999996</v>
      </c>
      <c r="C94" s="353">
        <f t="shared" si="14"/>
        <v>97.028999999999996</v>
      </c>
      <c r="D94" s="353">
        <f t="shared" si="10"/>
        <v>296.66666666666669</v>
      </c>
      <c r="E94" s="354">
        <f t="shared" si="11"/>
        <v>297</v>
      </c>
      <c r="F94" s="353">
        <f t="shared" si="15"/>
        <v>0</v>
      </c>
      <c r="G94" s="353">
        <f t="shared" si="16"/>
        <v>100.00000000000001</v>
      </c>
      <c r="H94" s="355">
        <f t="shared" si="12"/>
        <v>0</v>
      </c>
      <c r="I94" s="363">
        <f t="shared" si="13"/>
        <v>0</v>
      </c>
    </row>
    <row r="95" spans="1:9" s="356" customFormat="1" ht="15" customHeight="1">
      <c r="A95" s="358">
        <v>90</v>
      </c>
      <c r="B95" s="353">
        <v>0.57999999999999996</v>
      </c>
      <c r="C95" s="353">
        <f t="shared" si="14"/>
        <v>97.608999999999995</v>
      </c>
      <c r="D95" s="353">
        <f t="shared" si="10"/>
        <v>300</v>
      </c>
      <c r="E95" s="354">
        <f t="shared" si="11"/>
        <v>300</v>
      </c>
      <c r="F95" s="353">
        <f t="shared" si="15"/>
        <v>0</v>
      </c>
      <c r="G95" s="353">
        <f t="shared" si="16"/>
        <v>100.00000000000001</v>
      </c>
      <c r="H95" s="355">
        <f t="shared" si="12"/>
        <v>0</v>
      </c>
      <c r="I95" s="363">
        <f t="shared" si="13"/>
        <v>0</v>
      </c>
    </row>
    <row r="96" spans="1:9" s="356" customFormat="1" ht="15" customHeight="1">
      <c r="A96" s="358">
        <v>91</v>
      </c>
      <c r="B96" s="353">
        <v>0.22</v>
      </c>
      <c r="C96" s="353">
        <f t="shared" si="14"/>
        <v>97.828999999999994</v>
      </c>
      <c r="D96" s="353">
        <f t="shared" si="10"/>
        <v>303.33333333333337</v>
      </c>
      <c r="E96" s="354">
        <f t="shared" si="11"/>
        <v>303</v>
      </c>
      <c r="F96" s="353">
        <f t="shared" si="15"/>
        <v>0</v>
      </c>
      <c r="G96" s="353">
        <f t="shared" si="16"/>
        <v>100.00000000000001</v>
      </c>
      <c r="H96" s="355">
        <f t="shared" si="12"/>
        <v>0</v>
      </c>
      <c r="I96" s="363">
        <f t="shared" si="13"/>
        <v>0</v>
      </c>
    </row>
    <row r="97" spans="1:9" s="356" customFormat="1" ht="15" customHeight="1">
      <c r="A97" s="358">
        <v>92</v>
      </c>
      <c r="B97" s="353">
        <v>0.22</v>
      </c>
      <c r="C97" s="353">
        <f t="shared" si="14"/>
        <v>98.048999999999992</v>
      </c>
      <c r="D97" s="353">
        <f t="shared" si="10"/>
        <v>306.66666666666669</v>
      </c>
      <c r="E97" s="354">
        <f t="shared" si="11"/>
        <v>307</v>
      </c>
      <c r="F97" s="353">
        <f t="shared" si="15"/>
        <v>0</v>
      </c>
      <c r="G97" s="353">
        <f t="shared" si="16"/>
        <v>100.00000000000001</v>
      </c>
      <c r="H97" s="355">
        <f t="shared" si="12"/>
        <v>0</v>
      </c>
      <c r="I97" s="363">
        <f t="shared" si="13"/>
        <v>0</v>
      </c>
    </row>
    <row r="98" spans="1:9" s="356" customFormat="1" ht="15" customHeight="1">
      <c r="A98" s="358">
        <v>93</v>
      </c>
      <c r="B98" s="353">
        <v>0.22</v>
      </c>
      <c r="C98" s="353">
        <f t="shared" si="14"/>
        <v>98.268999999999991</v>
      </c>
      <c r="D98" s="353">
        <f t="shared" si="10"/>
        <v>310</v>
      </c>
      <c r="E98" s="354">
        <f t="shared" si="11"/>
        <v>310</v>
      </c>
      <c r="F98" s="353">
        <f t="shared" si="15"/>
        <v>0</v>
      </c>
      <c r="G98" s="353">
        <f t="shared" si="16"/>
        <v>100.00000000000001</v>
      </c>
      <c r="H98" s="355">
        <f t="shared" si="12"/>
        <v>0</v>
      </c>
      <c r="I98" s="363">
        <f t="shared" si="13"/>
        <v>0</v>
      </c>
    </row>
    <row r="99" spans="1:9" s="356" customFormat="1" ht="15" customHeight="1">
      <c r="A99" s="358">
        <v>94</v>
      </c>
      <c r="B99" s="353">
        <v>0.22</v>
      </c>
      <c r="C99" s="353">
        <f t="shared" si="14"/>
        <v>98.48899999999999</v>
      </c>
      <c r="D99" s="353">
        <f t="shared" si="10"/>
        <v>313.33333333333337</v>
      </c>
      <c r="E99" s="354">
        <f t="shared" si="11"/>
        <v>313</v>
      </c>
      <c r="F99" s="353">
        <f t="shared" si="15"/>
        <v>0</v>
      </c>
      <c r="G99" s="353">
        <f t="shared" si="16"/>
        <v>100.00000000000001</v>
      </c>
      <c r="H99" s="355">
        <f t="shared" si="12"/>
        <v>0</v>
      </c>
      <c r="I99" s="363">
        <f t="shared" si="13"/>
        <v>0</v>
      </c>
    </row>
    <row r="100" spans="1:9" s="356" customFormat="1" ht="15" customHeight="1">
      <c r="A100" s="358">
        <v>95</v>
      </c>
      <c r="B100" s="353">
        <v>0.22</v>
      </c>
      <c r="C100" s="353">
        <f t="shared" si="14"/>
        <v>98.708999999999989</v>
      </c>
      <c r="D100" s="353">
        <f t="shared" si="10"/>
        <v>316.66666666666669</v>
      </c>
      <c r="E100" s="354">
        <f t="shared" si="11"/>
        <v>317</v>
      </c>
      <c r="F100" s="353">
        <f t="shared" si="15"/>
        <v>0</v>
      </c>
      <c r="G100" s="353">
        <f t="shared" si="16"/>
        <v>100.00000000000001</v>
      </c>
      <c r="H100" s="355">
        <f t="shared" si="12"/>
        <v>0</v>
      </c>
      <c r="I100" s="363">
        <f t="shared" si="13"/>
        <v>0</v>
      </c>
    </row>
    <row r="101" spans="1:9" s="356" customFormat="1" ht="15" customHeight="1">
      <c r="A101" s="358">
        <v>96</v>
      </c>
      <c r="B101" s="353">
        <v>0.26</v>
      </c>
      <c r="C101" s="353">
        <f t="shared" si="14"/>
        <v>98.968999999999994</v>
      </c>
      <c r="D101" s="353">
        <f t="shared" si="10"/>
        <v>320</v>
      </c>
      <c r="E101" s="354">
        <f t="shared" si="11"/>
        <v>320</v>
      </c>
      <c r="F101" s="353">
        <f t="shared" si="15"/>
        <v>0</v>
      </c>
      <c r="G101" s="353">
        <f t="shared" si="16"/>
        <v>100.00000000000001</v>
      </c>
      <c r="H101" s="355">
        <f t="shared" si="12"/>
        <v>0</v>
      </c>
      <c r="I101" s="363">
        <f t="shared" si="13"/>
        <v>0</v>
      </c>
    </row>
    <row r="102" spans="1:9" s="356" customFormat="1" ht="15" customHeight="1">
      <c r="A102" s="358">
        <v>97</v>
      </c>
      <c r="B102" s="353">
        <v>0.26</v>
      </c>
      <c r="C102" s="353">
        <f t="shared" si="14"/>
        <v>99.228999999999999</v>
      </c>
      <c r="D102" s="353">
        <f t="shared" si="10"/>
        <v>323.33333333333337</v>
      </c>
      <c r="E102" s="354">
        <f>ROUND(D102,0)</f>
        <v>323</v>
      </c>
      <c r="F102" s="353">
        <f t="shared" si="15"/>
        <v>0</v>
      </c>
      <c r="G102" s="353">
        <f>LOOKUP(E102,A102:A201,C102:C201)</f>
        <v>100.00000000000001</v>
      </c>
      <c r="H102" s="355">
        <f t="shared" si="12"/>
        <v>0</v>
      </c>
      <c r="I102" s="363">
        <f>H102/100</f>
        <v>0</v>
      </c>
    </row>
    <row r="103" spans="1:9" s="356" customFormat="1" ht="15" customHeight="1">
      <c r="A103" s="358">
        <v>98</v>
      </c>
      <c r="B103" s="353">
        <v>0.26</v>
      </c>
      <c r="C103" s="353">
        <f>B103+C102</f>
        <v>99.489000000000004</v>
      </c>
      <c r="D103" s="353">
        <f t="shared" si="10"/>
        <v>326.66666666666669</v>
      </c>
      <c r="E103" s="354">
        <f>ROUND(D103,0)</f>
        <v>327</v>
      </c>
      <c r="F103" s="353">
        <f>G103-G102</f>
        <v>0</v>
      </c>
      <c r="G103" s="353">
        <f>LOOKUP(E103,A103:A202,C103:C202)</f>
        <v>100.00000000000001</v>
      </c>
      <c r="H103" s="355">
        <f t="shared" si="12"/>
        <v>0</v>
      </c>
      <c r="I103" s="363">
        <f>H103/100</f>
        <v>0</v>
      </c>
    </row>
    <row r="104" spans="1:9" s="356" customFormat="1" ht="15" customHeight="1">
      <c r="A104" s="358">
        <v>99</v>
      </c>
      <c r="B104" s="353">
        <v>0.26</v>
      </c>
      <c r="C104" s="353">
        <f>B104+C103</f>
        <v>99.749000000000009</v>
      </c>
      <c r="D104" s="353">
        <f t="shared" si="10"/>
        <v>330</v>
      </c>
      <c r="E104" s="354">
        <f>ROUND(D104,0)</f>
        <v>330</v>
      </c>
      <c r="F104" s="353">
        <f>G104-G103</f>
        <v>0</v>
      </c>
      <c r="G104" s="353">
        <f>LOOKUP(E104,A104:A203,C104:C203)</f>
        <v>100.00000000000001</v>
      </c>
      <c r="H104" s="355">
        <f t="shared" si="12"/>
        <v>0</v>
      </c>
      <c r="I104" s="363">
        <f>H104/100</f>
        <v>0</v>
      </c>
    </row>
    <row r="105" spans="1:9" s="356" customFormat="1" ht="15" customHeight="1">
      <c r="A105" s="358">
        <v>100</v>
      </c>
      <c r="B105" s="353">
        <v>0.251</v>
      </c>
      <c r="C105" s="353">
        <f>B105+C104</f>
        <v>100.00000000000001</v>
      </c>
      <c r="D105" s="353">
        <f t="shared" si="10"/>
        <v>333.33333333333337</v>
      </c>
      <c r="E105" s="354">
        <f>ROUND(D105,0)</f>
        <v>333</v>
      </c>
      <c r="F105" s="353">
        <f>G105-G104</f>
        <v>0</v>
      </c>
      <c r="G105" s="353">
        <f>LOOKUP(E105,A105:A204,C105:C204)</f>
        <v>100.00000000000001</v>
      </c>
      <c r="H105" s="355">
        <f t="shared" si="12"/>
        <v>0</v>
      </c>
      <c r="I105" s="363">
        <f>H105/100</f>
        <v>0</v>
      </c>
    </row>
  </sheetData>
  <sheetProtection algorithmName="SHA-512" hashValue="OdkaJi1O7NTxeBXla1grvzJlhVdh4F4NkFanWmSPYy/L54F7r3PaAUwZ5ZRmA1ysVh4XPjlQb1RUjpdPuZM1yw==" saltValue="hpHn5ZTRYsKQDdtoto2fLw==" spinCount="100000" sheet="1" objects="1" scenarios="1"/>
  <mergeCells count="4">
    <mergeCell ref="A1:C1"/>
    <mergeCell ref="D1:F1"/>
    <mergeCell ref="G1:I1"/>
    <mergeCell ref="L4:O4"/>
  </mergeCells>
  <phoneticPr fontId="4" type="noConversion"/>
  <pageMargins left="0.7" right="0.7" top="0.75" bottom="0.75" header="0.3" footer="0.3"/>
  <pageSetup paperSize="9" orientation="portrait" horizontalDpi="300" verticalDpi="300" r:id="rId1"/>
  <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dimension ref="A1:J63"/>
  <sheetViews>
    <sheetView topLeftCell="A4" workbookViewId="0">
      <selection activeCell="N10" activeCellId="8" sqref="C2:O4 A6:D6 C7 C8:D9 C10:D11 G6:I9 L8:X11 M6:X6 N10:X10"/>
    </sheetView>
  </sheetViews>
  <sheetFormatPr defaultColWidth="9" defaultRowHeight="10.8"/>
  <cols>
    <col min="1" max="1" width="15.3984375" style="58" bestFit="1" customWidth="1"/>
    <col min="2" max="2" width="76.8984375" style="58" bestFit="1" customWidth="1"/>
    <col min="3" max="3" width="8.59765625" style="58" bestFit="1" customWidth="1"/>
    <col min="4" max="4" width="23.19921875" style="58" customWidth="1"/>
    <col min="5" max="5" width="12" style="58" bestFit="1" customWidth="1"/>
    <col min="6" max="6" width="27.19921875" style="58" customWidth="1"/>
    <col min="7" max="7" width="13" style="58" customWidth="1"/>
    <col min="8" max="8" width="8" style="58" bestFit="1" customWidth="1"/>
    <col min="9" max="9" width="8.19921875" style="58" bestFit="1" customWidth="1"/>
    <col min="10" max="10" width="24.3984375" style="58" bestFit="1" customWidth="1"/>
    <col min="11" max="16384" width="9" style="58"/>
  </cols>
  <sheetData>
    <row r="1" spans="1:10" ht="15" customHeight="1"/>
    <row r="2" spans="1:10" ht="15" customHeight="1">
      <c r="A2" s="2445" t="s">
        <v>459</v>
      </c>
      <c r="B2" s="2445"/>
      <c r="C2" s="2445"/>
      <c r="D2" s="2445"/>
      <c r="E2" s="2445"/>
      <c r="F2" s="2445"/>
      <c r="G2" s="2445"/>
    </row>
    <row r="3" spans="1:10" ht="15" customHeight="1" thickBot="1"/>
    <row r="4" spans="1:10" ht="15" customHeight="1" thickTop="1">
      <c r="A4" s="2446" t="s">
        <v>460</v>
      </c>
      <c r="B4" s="98" t="s">
        <v>461</v>
      </c>
      <c r="C4" s="99"/>
      <c r="D4" s="99"/>
      <c r="E4" s="99"/>
      <c r="F4" s="99"/>
      <c r="G4" s="99"/>
    </row>
    <row r="5" spans="1:10" ht="15" customHeight="1">
      <c r="A5" s="2432"/>
      <c r="B5" s="57" t="s">
        <v>462</v>
      </c>
    </row>
    <row r="6" spans="1:10" ht="15" customHeight="1">
      <c r="A6" s="2432"/>
      <c r="B6" s="100" t="s">
        <v>463</v>
      </c>
    </row>
    <row r="7" spans="1:10" ht="15" customHeight="1">
      <c r="A7" s="2432"/>
      <c r="B7" s="57" t="s">
        <v>464</v>
      </c>
    </row>
    <row r="8" spans="1:10" ht="15" customHeight="1">
      <c r="A8" s="2432"/>
      <c r="B8" s="101" t="s">
        <v>465</v>
      </c>
    </row>
    <row r="9" spans="1:10" ht="15" customHeight="1">
      <c r="A9" s="2432"/>
      <c r="B9" s="57" t="s">
        <v>466</v>
      </c>
    </row>
    <row r="10" spans="1:10" ht="15" customHeight="1">
      <c r="A10" s="2432"/>
      <c r="B10" s="2442" t="s">
        <v>467</v>
      </c>
      <c r="C10" s="102">
        <f>SUM(분양개요!C7:C14)</f>
        <v>367</v>
      </c>
      <c r="D10" s="103">
        <v>3</v>
      </c>
      <c r="E10" s="104">
        <v>0</v>
      </c>
      <c r="F10" s="105">
        <v>33</v>
      </c>
      <c r="G10" s="106">
        <f>(C10*D10+E10)*F10</f>
        <v>36333</v>
      </c>
      <c r="H10" s="107"/>
      <c r="I10" s="107"/>
      <c r="J10" s="108"/>
    </row>
    <row r="11" spans="1:10" ht="15" customHeight="1">
      <c r="A11" s="2432"/>
      <c r="B11" s="2442"/>
      <c r="C11" s="109">
        <v>0</v>
      </c>
      <c r="D11" s="110">
        <v>110</v>
      </c>
      <c r="E11" s="111"/>
      <c r="F11" s="111"/>
      <c r="G11" s="106">
        <f>C11*D11</f>
        <v>0</v>
      </c>
      <c r="H11" s="107"/>
      <c r="I11" s="107"/>
      <c r="J11" s="108"/>
    </row>
    <row r="12" spans="1:10" ht="15" customHeight="1">
      <c r="A12" s="2431" t="s">
        <v>468</v>
      </c>
      <c r="B12" s="112" t="s">
        <v>469</v>
      </c>
      <c r="C12" s="112"/>
      <c r="D12" s="112"/>
      <c r="E12" s="112"/>
      <c r="F12" s="112"/>
      <c r="G12" s="112"/>
      <c r="H12" s="57"/>
      <c r="I12" s="57"/>
      <c r="J12" s="57"/>
    </row>
    <row r="13" spans="1:10" ht="15" customHeight="1">
      <c r="A13" s="2432"/>
      <c r="B13" s="57" t="s">
        <v>470</v>
      </c>
      <c r="C13" s="57"/>
      <c r="D13" s="57"/>
      <c r="E13" s="57"/>
      <c r="F13" s="57"/>
      <c r="G13" s="57"/>
      <c r="H13" s="57"/>
      <c r="I13" s="57"/>
      <c r="J13" s="57"/>
    </row>
    <row r="14" spans="1:10" ht="15" customHeight="1">
      <c r="A14" s="2432"/>
      <c r="B14" s="57" t="s">
        <v>471</v>
      </c>
      <c r="C14" s="57"/>
      <c r="D14" s="57"/>
      <c r="E14" s="57"/>
      <c r="F14" s="57"/>
      <c r="G14" s="57"/>
      <c r="H14" s="57"/>
      <c r="I14" s="57"/>
      <c r="J14" s="57"/>
    </row>
    <row r="15" spans="1:10" ht="15" customHeight="1">
      <c r="A15" s="2432"/>
      <c r="B15" s="57" t="s">
        <v>472</v>
      </c>
      <c r="C15" s="57"/>
      <c r="D15" s="57"/>
      <c r="E15" s="57"/>
      <c r="F15" s="57"/>
      <c r="G15" s="57"/>
      <c r="H15" s="113"/>
      <c r="I15" s="67"/>
      <c r="J15" s="67"/>
    </row>
    <row r="16" spans="1:10" ht="15" customHeight="1">
      <c r="A16" s="2432"/>
      <c r="B16" s="57" t="s">
        <v>473</v>
      </c>
      <c r="C16" s="57"/>
      <c r="D16" s="57"/>
      <c r="E16" s="57"/>
      <c r="F16" s="57"/>
      <c r="G16" s="57"/>
      <c r="H16" s="113"/>
      <c r="I16" s="67"/>
      <c r="J16" s="67"/>
    </row>
    <row r="17" spans="1:10" ht="15" customHeight="1">
      <c r="A17" s="2433"/>
      <c r="B17" s="114" t="s">
        <v>474</v>
      </c>
      <c r="C17" s="115">
        <f>SUM(분양개요!E7:E15)</f>
        <v>31432.68</v>
      </c>
      <c r="D17" s="116">
        <v>1.8</v>
      </c>
      <c r="E17" s="117">
        <f>C10</f>
        <v>367</v>
      </c>
      <c r="F17" s="118">
        <v>327</v>
      </c>
      <c r="G17" s="119">
        <f>C17*D17+E17*F17</f>
        <v>176587.82399999999</v>
      </c>
      <c r="H17" s="120"/>
      <c r="I17" s="120"/>
      <c r="J17" s="121"/>
    </row>
    <row r="18" spans="1:10" ht="15" customHeight="1">
      <c r="A18" s="2432" t="s">
        <v>475</v>
      </c>
      <c r="B18" s="57" t="s">
        <v>476</v>
      </c>
      <c r="C18" s="57"/>
      <c r="D18" s="57"/>
      <c r="E18" s="57"/>
      <c r="F18" s="57"/>
      <c r="G18" s="57"/>
      <c r="H18" s="57"/>
      <c r="I18" s="57"/>
      <c r="J18" s="57"/>
    </row>
    <row r="19" spans="1:10" ht="15" customHeight="1">
      <c r="A19" s="2432"/>
      <c r="B19" s="57" t="s">
        <v>477</v>
      </c>
      <c r="C19" s="57"/>
      <c r="D19" s="57"/>
      <c r="E19" s="57"/>
      <c r="F19" s="67"/>
      <c r="G19" s="57"/>
      <c r="H19" s="57"/>
      <c r="I19" s="57"/>
      <c r="J19" s="57"/>
    </row>
    <row r="20" spans="1:10" ht="15" customHeight="1">
      <c r="A20" s="2432"/>
      <c r="B20" s="57" t="s">
        <v>478</v>
      </c>
      <c r="C20" s="57"/>
      <c r="D20" s="57"/>
      <c r="E20" s="57"/>
      <c r="F20" s="67"/>
      <c r="G20" s="57"/>
      <c r="H20" s="57"/>
      <c r="I20" s="57"/>
      <c r="J20" s="57"/>
    </row>
    <row r="21" spans="1:10" ht="15" customHeight="1">
      <c r="A21" s="2432"/>
      <c r="B21" s="57" t="s">
        <v>479</v>
      </c>
      <c r="C21" s="57"/>
      <c r="D21" s="57"/>
      <c r="E21" s="57"/>
      <c r="F21" s="67"/>
      <c r="G21" s="57"/>
      <c r="H21" s="57"/>
      <c r="I21" s="57"/>
      <c r="J21" s="57"/>
    </row>
    <row r="22" spans="1:10" ht="15" customHeight="1">
      <c r="A22" s="2432"/>
      <c r="B22" s="57" t="s">
        <v>473</v>
      </c>
      <c r="C22" s="122"/>
      <c r="D22" s="122"/>
      <c r="E22" s="122"/>
      <c r="F22" s="122"/>
      <c r="G22" s="122"/>
      <c r="H22" s="122"/>
      <c r="I22" s="122"/>
      <c r="J22" s="122"/>
    </row>
    <row r="23" spans="1:10" ht="15" customHeight="1">
      <c r="A23" s="2432"/>
      <c r="B23" s="123" t="s">
        <v>480</v>
      </c>
      <c r="C23" s="106">
        <v>1000</v>
      </c>
      <c r="D23" s="124">
        <v>3.5</v>
      </c>
      <c r="E23" s="125">
        <v>0.2</v>
      </c>
      <c r="F23" s="126">
        <f>E17</f>
        <v>367</v>
      </c>
      <c r="G23" s="127">
        <f>C23*D23*E23*F23</f>
        <v>256900</v>
      </c>
      <c r="H23" s="128"/>
      <c r="I23" s="129"/>
      <c r="J23" s="129"/>
    </row>
    <row r="24" spans="1:10" ht="15" customHeight="1">
      <c r="A24" s="2431" t="s">
        <v>481</v>
      </c>
      <c r="B24" s="112" t="s">
        <v>482</v>
      </c>
      <c r="C24" s="112"/>
      <c r="D24" s="112"/>
      <c r="E24" s="112"/>
      <c r="F24" s="112"/>
      <c r="G24" s="112"/>
      <c r="H24" s="57"/>
      <c r="I24" s="57"/>
      <c r="J24" s="57"/>
    </row>
    <row r="25" spans="1:10" ht="15" customHeight="1">
      <c r="A25" s="2432"/>
      <c r="B25" s="57" t="s">
        <v>483</v>
      </c>
      <c r="C25" s="57"/>
      <c r="D25" s="57"/>
      <c r="E25" s="57"/>
      <c r="F25" s="57"/>
      <c r="G25" s="57"/>
      <c r="H25" s="57"/>
      <c r="I25" s="57"/>
      <c r="J25" s="57"/>
    </row>
    <row r="26" spans="1:10" ht="15" customHeight="1">
      <c r="A26" s="2432"/>
      <c r="B26" s="57" t="s">
        <v>484</v>
      </c>
      <c r="C26" s="57"/>
      <c r="D26" s="57"/>
      <c r="E26" s="57"/>
      <c r="F26" s="57"/>
      <c r="G26" s="57"/>
      <c r="H26" s="57"/>
      <c r="I26" s="57"/>
      <c r="J26" s="57"/>
    </row>
    <row r="27" spans="1:10" ht="15" customHeight="1">
      <c r="A27" s="2432"/>
      <c r="B27" s="57" t="s">
        <v>485</v>
      </c>
      <c r="C27" s="57"/>
      <c r="D27" s="57"/>
      <c r="E27" s="57"/>
      <c r="F27" s="57"/>
      <c r="G27" s="57"/>
      <c r="H27" s="57"/>
      <c r="I27" s="57"/>
      <c r="J27" s="57"/>
    </row>
    <row r="28" spans="1:10" ht="15" customHeight="1">
      <c r="A28" s="2432"/>
      <c r="B28" s="57" t="s">
        <v>486</v>
      </c>
      <c r="C28" s="57"/>
      <c r="D28" s="57"/>
      <c r="E28" s="57"/>
      <c r="F28" s="57"/>
      <c r="G28" s="57"/>
      <c r="H28" s="57"/>
      <c r="I28" s="57"/>
      <c r="J28" s="57"/>
    </row>
    <row r="29" spans="1:10" ht="15" customHeight="1">
      <c r="A29" s="2432"/>
      <c r="B29" s="57" t="s">
        <v>487</v>
      </c>
      <c r="C29" s="57"/>
      <c r="D29" s="57"/>
      <c r="E29" s="57"/>
      <c r="F29" s="57"/>
      <c r="G29" s="57"/>
      <c r="H29" s="57"/>
      <c r="I29" s="57"/>
      <c r="J29" s="57"/>
    </row>
    <row r="30" spans="1:10" ht="15" customHeight="1">
      <c r="A30" s="2432"/>
      <c r="B30" s="2442" t="s">
        <v>488</v>
      </c>
      <c r="C30" s="130">
        <f>F23</f>
        <v>367</v>
      </c>
      <c r="D30" s="131">
        <v>150</v>
      </c>
      <c r="E30" s="132">
        <v>10</v>
      </c>
      <c r="F30" s="133">
        <v>400</v>
      </c>
      <c r="G30" s="134">
        <f>C30*D30+E30*F30</f>
        <v>59050</v>
      </c>
      <c r="H30" s="135"/>
      <c r="I30" s="135"/>
      <c r="J30" s="135"/>
    </row>
    <row r="31" spans="1:10" ht="15" customHeight="1">
      <c r="A31" s="2432"/>
      <c r="B31" s="2443"/>
      <c r="C31" s="130">
        <v>0</v>
      </c>
      <c r="D31" s="131">
        <v>112.5</v>
      </c>
      <c r="E31" s="132">
        <v>0</v>
      </c>
      <c r="F31" s="133">
        <v>400</v>
      </c>
      <c r="G31" s="134">
        <f>C31*D31+E31*F31</f>
        <v>0</v>
      </c>
      <c r="H31" s="135"/>
      <c r="I31" s="135"/>
      <c r="J31" s="135"/>
    </row>
    <row r="32" spans="1:10" ht="15" customHeight="1">
      <c r="A32" s="2433"/>
      <c r="B32" s="2444"/>
      <c r="C32" s="117">
        <v>0</v>
      </c>
      <c r="D32" s="136">
        <v>262.5</v>
      </c>
      <c r="E32" s="137">
        <v>0</v>
      </c>
      <c r="F32" s="138">
        <v>400</v>
      </c>
      <c r="G32" s="119">
        <f>C32*D32+E32*F32</f>
        <v>0</v>
      </c>
      <c r="H32" s="139"/>
      <c r="I32" s="139"/>
      <c r="J32" s="139"/>
    </row>
    <row r="33" spans="1:10" ht="15" customHeight="1">
      <c r="A33" s="2431" t="s">
        <v>489</v>
      </c>
      <c r="B33" s="112" t="s">
        <v>490</v>
      </c>
      <c r="C33" s="112"/>
      <c r="D33" s="112"/>
      <c r="E33" s="112"/>
      <c r="F33" s="112"/>
      <c r="G33" s="112"/>
      <c r="H33" s="57"/>
      <c r="I33" s="57"/>
      <c r="J33" s="57"/>
    </row>
    <row r="34" spans="1:10" ht="15" customHeight="1">
      <c r="A34" s="2432"/>
      <c r="B34" s="57" t="s">
        <v>491</v>
      </c>
      <c r="C34" s="57"/>
      <c r="D34" s="57"/>
      <c r="E34" s="57"/>
      <c r="F34" s="57"/>
      <c r="G34" s="57"/>
      <c r="H34" s="57"/>
      <c r="I34" s="57"/>
      <c r="J34" s="57"/>
    </row>
    <row r="35" spans="1:10" ht="15" customHeight="1">
      <c r="A35" s="2432"/>
      <c r="B35" s="57" t="s">
        <v>492</v>
      </c>
      <c r="C35" s="57"/>
      <c r="D35" s="57"/>
      <c r="E35" s="57"/>
      <c r="F35" s="57"/>
      <c r="G35" s="57"/>
      <c r="H35" s="57"/>
      <c r="I35" s="57"/>
      <c r="J35" s="57"/>
    </row>
    <row r="36" spans="1:10" ht="15" customHeight="1">
      <c r="A36" s="2433"/>
      <c r="B36" s="114" t="s">
        <v>480</v>
      </c>
      <c r="C36" s="140">
        <v>0</v>
      </c>
      <c r="D36" s="141">
        <v>14.04</v>
      </c>
      <c r="E36" s="140"/>
      <c r="F36" s="142"/>
      <c r="G36" s="143">
        <f>C36*D36</f>
        <v>0</v>
      </c>
      <c r="H36" s="121"/>
      <c r="I36" s="121"/>
      <c r="J36" s="121"/>
    </row>
    <row r="37" spans="1:10" ht="15" customHeight="1">
      <c r="A37" s="2434" t="s">
        <v>493</v>
      </c>
      <c r="B37" s="2434"/>
      <c r="C37" s="144"/>
      <c r="D37" s="144"/>
      <c r="E37" s="144"/>
      <c r="F37" s="144"/>
      <c r="G37" s="145">
        <f>G10+G11+G17+G23+G30+G31+G32+G36</f>
        <v>528870.82400000002</v>
      </c>
    </row>
    <row r="38" spans="1:10" ht="15" customHeight="1">
      <c r="A38" s="2435" t="s">
        <v>494</v>
      </c>
      <c r="B38" s="146" t="s">
        <v>495</v>
      </c>
      <c r="C38" s="146"/>
      <c r="D38" s="146"/>
      <c r="E38" s="112"/>
      <c r="F38" s="146"/>
      <c r="G38" s="147"/>
    </row>
    <row r="39" spans="1:10" ht="15" customHeight="1">
      <c r="A39" s="2436"/>
      <c r="B39" s="100" t="s">
        <v>496</v>
      </c>
      <c r="C39" s="100"/>
      <c r="D39" s="100"/>
      <c r="E39" s="57"/>
      <c r="F39" s="57"/>
    </row>
    <row r="40" spans="1:10" ht="15" customHeight="1">
      <c r="A40" s="2436"/>
      <c r="B40" s="100" t="s">
        <v>497</v>
      </c>
      <c r="C40" s="100"/>
      <c r="D40" s="100"/>
      <c r="E40" s="57"/>
      <c r="F40" s="57"/>
    </row>
    <row r="41" spans="1:10" ht="15" customHeight="1">
      <c r="A41" s="2436"/>
      <c r="B41" s="100" t="s">
        <v>498</v>
      </c>
      <c r="C41" s="100"/>
      <c r="D41" s="100"/>
      <c r="E41" s="57"/>
      <c r="F41" s="57"/>
    </row>
    <row r="42" spans="1:10" ht="15" customHeight="1">
      <c r="A42" s="2436"/>
      <c r="B42" s="100" t="s">
        <v>499</v>
      </c>
      <c r="C42" s="100"/>
      <c r="D42" s="100"/>
      <c r="E42" s="57"/>
      <c r="F42" s="57"/>
    </row>
    <row r="43" spans="1:10" ht="15" customHeight="1">
      <c r="A43" s="2436"/>
      <c r="B43" s="57" t="s">
        <v>500</v>
      </c>
      <c r="C43" s="148">
        <v>1923</v>
      </c>
      <c r="D43" s="97" t="s">
        <v>1348</v>
      </c>
      <c r="E43" s="57"/>
      <c r="F43" s="57"/>
    </row>
    <row r="44" spans="1:10" ht="15" customHeight="1">
      <c r="A44" s="2436"/>
      <c r="B44" s="57" t="s">
        <v>501</v>
      </c>
      <c r="C44" s="148"/>
      <c r="D44" s="97"/>
      <c r="E44" s="57"/>
      <c r="F44" s="57"/>
    </row>
    <row r="45" spans="1:10" ht="15" customHeight="1">
      <c r="A45" s="2436"/>
      <c r="B45" s="57" t="s">
        <v>502</v>
      </c>
      <c r="C45" s="148"/>
      <c r="D45" s="97"/>
      <c r="E45" s="57"/>
      <c r="F45" s="57"/>
    </row>
    <row r="46" spans="1:10" ht="15" customHeight="1">
      <c r="A46" s="2436"/>
      <c r="B46" s="57" t="s">
        <v>503</v>
      </c>
      <c r="C46" s="57"/>
      <c r="D46" s="57"/>
      <c r="E46" s="57"/>
      <c r="F46" s="100"/>
    </row>
    <row r="47" spans="1:10" ht="15" customHeight="1">
      <c r="A47" s="2436"/>
      <c r="B47" s="57" t="s">
        <v>504</v>
      </c>
      <c r="C47" s="57"/>
      <c r="D47" s="57"/>
      <c r="E47" s="57"/>
      <c r="F47" s="100"/>
    </row>
    <row r="48" spans="1:10" ht="15" customHeight="1" thickBot="1">
      <c r="A48" s="2436"/>
      <c r="B48" s="100" t="s">
        <v>505</v>
      </c>
      <c r="C48" s="100"/>
      <c r="D48" s="100"/>
      <c r="E48" s="57"/>
      <c r="F48" s="57"/>
      <c r="H48" s="58" t="s">
        <v>506</v>
      </c>
    </row>
    <row r="49" spans="1:10" ht="15" customHeight="1" thickTop="1">
      <c r="A49" s="2436"/>
      <c r="B49" s="100"/>
      <c r="C49" s="100"/>
      <c r="D49" s="100"/>
      <c r="E49" s="65" t="s">
        <v>507</v>
      </c>
      <c r="F49" s="97">
        <f>간접공사비!C43</f>
        <v>1923</v>
      </c>
      <c r="G49" s="100" t="s">
        <v>508</v>
      </c>
      <c r="H49" s="2438" t="s">
        <v>509</v>
      </c>
      <c r="I49" s="2439"/>
      <c r="J49" s="149" t="s">
        <v>510</v>
      </c>
    </row>
    <row r="50" spans="1:10" ht="15" customHeight="1">
      <c r="A50" s="2436"/>
      <c r="B50" s="100"/>
      <c r="C50" s="100"/>
      <c r="D50" s="100"/>
      <c r="E50" s="65" t="s">
        <v>511</v>
      </c>
      <c r="F50" s="67">
        <f ca="1">SUM(분양개요!I7)</f>
        <v>55331.880000000005</v>
      </c>
      <c r="G50" s="100" t="s">
        <v>512</v>
      </c>
      <c r="H50" s="2440" t="s">
        <v>513</v>
      </c>
      <c r="I50" s="2441"/>
      <c r="J50" s="150" t="s">
        <v>514</v>
      </c>
    </row>
    <row r="51" spans="1:10" ht="15" customHeight="1">
      <c r="A51" s="2436"/>
      <c r="B51" s="100"/>
      <c r="C51" s="100"/>
      <c r="D51" s="100"/>
      <c r="E51" s="65" t="s">
        <v>515</v>
      </c>
      <c r="F51" s="67">
        <f>분양개요!H7</f>
        <v>40373.46</v>
      </c>
      <c r="G51" s="100" t="s">
        <v>512</v>
      </c>
      <c r="H51" s="2440" t="s">
        <v>516</v>
      </c>
      <c r="I51" s="88" t="s">
        <v>517</v>
      </c>
      <c r="J51" s="151">
        <v>7.0000000000000001E-3</v>
      </c>
    </row>
    <row r="52" spans="1:10" ht="15" customHeight="1">
      <c r="A52" s="2436"/>
      <c r="B52" s="100"/>
      <c r="C52" s="100"/>
      <c r="D52" s="100"/>
      <c r="E52" s="65" t="s">
        <v>518</v>
      </c>
      <c r="F52" s="152">
        <v>1E-3</v>
      </c>
      <c r="G52" s="100"/>
      <c r="H52" s="2440"/>
      <c r="I52" s="88" t="s">
        <v>519</v>
      </c>
      <c r="J52" s="150" t="s">
        <v>520</v>
      </c>
    </row>
    <row r="53" spans="1:10" ht="15" customHeight="1">
      <c r="A53" s="2436"/>
      <c r="B53" s="100"/>
      <c r="C53" s="100"/>
      <c r="D53" s="100"/>
      <c r="E53" s="65" t="s">
        <v>521</v>
      </c>
      <c r="F53" s="67">
        <f>SUM(분양개요!I8:I14)</f>
        <v>330</v>
      </c>
      <c r="G53" s="100" t="s">
        <v>522</v>
      </c>
      <c r="H53" s="2440"/>
      <c r="I53" s="88"/>
      <c r="J53" s="150" t="s">
        <v>523</v>
      </c>
    </row>
    <row r="54" spans="1:10" ht="15" customHeight="1">
      <c r="A54" s="2436"/>
      <c r="B54" s="100"/>
      <c r="C54" s="100"/>
      <c r="D54" s="100"/>
      <c r="E54" s="65" t="s">
        <v>524</v>
      </c>
      <c r="F54" s="67">
        <f>SUM(분양개요!G8:G14)</f>
        <v>0</v>
      </c>
      <c r="G54" s="100" t="s">
        <v>522</v>
      </c>
    </row>
    <row r="55" spans="1:10" ht="15" customHeight="1">
      <c r="A55" s="2436"/>
      <c r="B55" s="57" t="s">
        <v>525</v>
      </c>
      <c r="C55" s="57"/>
      <c r="D55" s="57"/>
      <c r="E55" s="65" t="s">
        <v>526</v>
      </c>
      <c r="F55" s="152">
        <v>7.0000000000000001E-3</v>
      </c>
      <c r="G55" s="100"/>
    </row>
    <row r="56" spans="1:10" ht="15" customHeight="1">
      <c r="A56" s="2437"/>
      <c r="B56" s="114" t="s">
        <v>527</v>
      </c>
      <c r="C56" s="153"/>
      <c r="D56" s="153"/>
      <c r="E56" s="154" t="s">
        <v>528</v>
      </c>
      <c r="F56" s="155">
        <f ca="1">ROUND(((F50-F51)*F52+(F53-F54)*F55)*F49,-3)</f>
        <v>33000</v>
      </c>
      <c r="G56" s="156" t="s">
        <v>529</v>
      </c>
    </row>
    <row r="57" spans="1:10" ht="15" customHeight="1"/>
    <row r="58" spans="1:10" ht="15" customHeight="1"/>
    <row r="59" spans="1:10" ht="15" customHeight="1">
      <c r="F59" s="157"/>
    </row>
    <row r="60" spans="1:10" ht="15" customHeight="1"/>
    <row r="61" spans="1:10" ht="15" customHeight="1"/>
    <row r="62" spans="1:10" ht="15" customHeight="1"/>
    <row r="63" spans="1:10" ht="15" customHeight="1"/>
  </sheetData>
  <sheetProtection algorithmName="SHA-512" hashValue="dF++rGwgIa/1gZm11q0GzCgtdmWwxH45n6Ur2HWTgowR0eeAlulFmT35yFedgt2fZ4mTNXxEMzLlwTLjFBe9ng==" saltValue="zSBNu5+PG3wieV+LdKcj8A==" spinCount="100000" sheet="1" objects="1" scenarios="1"/>
  <mergeCells count="13">
    <mergeCell ref="A24:A32"/>
    <mergeCell ref="B30:B32"/>
    <mergeCell ref="A2:G2"/>
    <mergeCell ref="A4:A11"/>
    <mergeCell ref="B10:B11"/>
    <mergeCell ref="A12:A17"/>
    <mergeCell ref="A18:A23"/>
    <mergeCell ref="A33:A36"/>
    <mergeCell ref="A37:B37"/>
    <mergeCell ref="A38:A56"/>
    <mergeCell ref="H49:I49"/>
    <mergeCell ref="H50:I50"/>
    <mergeCell ref="H51:H53"/>
  </mergeCells>
  <phoneticPr fontId="4" type="noConversion"/>
  <pageMargins left="0.70866141732283472" right="0.70866141732283472" top="0.74803149606299213" bottom="0.74803149606299213" header="0.31496062992125984" footer="0.31496062992125984"/>
  <pageSetup paperSize="9" scale="49" orientation="portrait" horizontalDpi="300" verticalDpi="300"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dimension ref="A1:N104"/>
  <sheetViews>
    <sheetView topLeftCell="A19" workbookViewId="0">
      <selection activeCell="D15" sqref="D15"/>
    </sheetView>
  </sheetViews>
  <sheetFormatPr defaultColWidth="9" defaultRowHeight="10.8"/>
  <cols>
    <col min="1" max="1" width="14.19921875" style="58" bestFit="1" customWidth="1"/>
    <col min="2" max="2" width="96" style="58" bestFit="1" customWidth="1"/>
    <col min="3" max="3" width="18" style="58" bestFit="1" customWidth="1"/>
    <col min="4" max="4" width="20.09765625" style="58" bestFit="1" customWidth="1"/>
    <col min="5" max="5" width="11" style="58" customWidth="1"/>
    <col min="6" max="6" width="10.3984375" style="58" bestFit="1" customWidth="1"/>
    <col min="7" max="7" width="12.69921875" style="58" customWidth="1"/>
    <col min="8" max="8" width="9.8984375" style="58" bestFit="1" customWidth="1"/>
    <col min="9" max="9" width="17.5" style="58" bestFit="1" customWidth="1"/>
    <col min="10" max="10" width="9.09765625" style="58" bestFit="1" customWidth="1"/>
    <col min="11" max="11" width="12.69921875" style="58" bestFit="1" customWidth="1"/>
    <col min="12" max="12" width="11.19921875" style="58" bestFit="1" customWidth="1"/>
    <col min="13" max="16384" width="9" style="58"/>
  </cols>
  <sheetData>
    <row r="1" spans="1:11" ht="15" customHeight="1">
      <c r="A1" s="158"/>
    </row>
    <row r="2" spans="1:11" ht="15" customHeight="1">
      <c r="A2" s="2445" t="s">
        <v>530</v>
      </c>
      <c r="B2" s="2445"/>
      <c r="C2" s="2445"/>
      <c r="D2" s="2445"/>
      <c r="E2" s="2445"/>
      <c r="F2" s="2445"/>
      <c r="G2" s="2445"/>
    </row>
    <row r="3" spans="1:11" ht="15" customHeight="1" thickBot="1">
      <c r="A3" s="158"/>
    </row>
    <row r="4" spans="1:11" ht="15" customHeight="1" thickTop="1">
      <c r="A4" s="2461" t="s">
        <v>531</v>
      </c>
      <c r="B4" s="159" t="s">
        <v>532</v>
      </c>
      <c r="C4" s="99"/>
      <c r="D4" s="99"/>
      <c r="E4" s="99"/>
      <c r="F4" s="99"/>
      <c r="G4" s="99"/>
    </row>
    <row r="5" spans="1:11" ht="15" customHeight="1">
      <c r="A5" s="2462"/>
      <c r="B5" s="160" t="s">
        <v>533</v>
      </c>
      <c r="C5" s="161"/>
    </row>
    <row r="6" spans="1:11" ht="15" customHeight="1">
      <c r="A6" s="2462"/>
      <c r="B6" s="162" t="s">
        <v>534</v>
      </c>
      <c r="C6" s="163"/>
    </row>
    <row r="7" spans="1:11" ht="15" customHeight="1">
      <c r="A7" s="2462"/>
      <c r="B7" s="164" t="s">
        <v>535</v>
      </c>
      <c r="C7" s="57"/>
    </row>
    <row r="8" spans="1:11" ht="15" customHeight="1">
      <c r="A8" s="2462"/>
      <c r="B8" s="165" t="s">
        <v>536</v>
      </c>
      <c r="C8" s="57"/>
    </row>
    <row r="9" spans="1:11" ht="15" customHeight="1">
      <c r="A9" s="2462"/>
      <c r="B9" s="165" t="s">
        <v>537</v>
      </c>
      <c r="C9" s="57"/>
    </row>
    <row r="10" spans="1:11" ht="15" customHeight="1">
      <c r="A10" s="2462"/>
      <c r="B10" s="160" t="s">
        <v>538</v>
      </c>
      <c r="C10" s="57"/>
    </row>
    <row r="11" spans="1:11" ht="15" customHeight="1">
      <c r="A11" s="2462"/>
      <c r="B11" s="165" t="s">
        <v>539</v>
      </c>
      <c r="C11" s="65"/>
      <c r="D11" s="158" t="s">
        <v>540</v>
      </c>
      <c r="E11" s="158"/>
      <c r="F11" s="158" t="s">
        <v>541</v>
      </c>
      <c r="G11" s="158" t="s">
        <v>542</v>
      </c>
    </row>
    <row r="12" spans="1:11" ht="15" customHeight="1">
      <c r="A12" s="2462"/>
      <c r="B12" s="2463" t="s">
        <v>543</v>
      </c>
      <c r="C12" s="166" t="s">
        <v>544</v>
      </c>
      <c r="D12" s="167">
        <v>25000</v>
      </c>
      <c r="E12" s="168"/>
      <c r="F12" s="167">
        <v>15000</v>
      </c>
      <c r="G12" s="167">
        <v>25000</v>
      </c>
    </row>
    <row r="13" spans="1:11" ht="15" customHeight="1">
      <c r="A13" s="2462"/>
      <c r="B13" s="2463"/>
      <c r="C13" s="166" t="s">
        <v>545</v>
      </c>
      <c r="D13" s="167">
        <f>D15</f>
        <v>14740.04</v>
      </c>
      <c r="E13" s="168"/>
      <c r="F13" s="167">
        <f>D13</f>
        <v>14740.04</v>
      </c>
      <c r="G13" s="167">
        <f>F13</f>
        <v>14740.04</v>
      </c>
    </row>
    <row r="14" spans="1:11" ht="15" customHeight="1">
      <c r="A14" s="2462"/>
      <c r="B14" s="2463"/>
      <c r="C14" s="166" t="s">
        <v>546</v>
      </c>
      <c r="D14" s="167">
        <v>4597.5956000000006</v>
      </c>
      <c r="E14" s="168"/>
      <c r="F14" s="167">
        <f>D14</f>
        <v>4597.5956000000006</v>
      </c>
      <c r="G14" s="167">
        <v>9500</v>
      </c>
      <c r="H14" s="169" t="s">
        <v>547</v>
      </c>
      <c r="I14" s="169"/>
      <c r="J14" s="169"/>
      <c r="K14" s="169"/>
    </row>
    <row r="15" spans="1:11" ht="15" customHeight="1">
      <c r="A15" s="2462"/>
      <c r="B15" s="2463"/>
      <c r="C15" s="166" t="s">
        <v>548</v>
      </c>
      <c r="D15" s="167">
        <v>14740.04</v>
      </c>
      <c r="E15" s="168"/>
      <c r="F15" s="167">
        <f>D15</f>
        <v>14740.04</v>
      </c>
      <c r="G15" s="167">
        <f>F15</f>
        <v>14740.04</v>
      </c>
      <c r="H15" s="169" t="s">
        <v>549</v>
      </c>
      <c r="I15" s="170">
        <v>1715000</v>
      </c>
      <c r="J15" s="169"/>
      <c r="K15" s="169"/>
    </row>
    <row r="16" spans="1:11" ht="15" customHeight="1">
      <c r="A16" s="2462"/>
      <c r="B16" s="2463"/>
      <c r="C16" s="166" t="s">
        <v>550</v>
      </c>
      <c r="D16" s="171">
        <f>I15/1000</f>
        <v>1715</v>
      </c>
      <c r="E16" s="172"/>
      <c r="F16" s="173">
        <f>D16</f>
        <v>1715</v>
      </c>
      <c r="G16" s="173">
        <f>F16</f>
        <v>1715</v>
      </c>
    </row>
    <row r="17" spans="1:14" ht="15" customHeight="1">
      <c r="A17" s="2462"/>
      <c r="B17" s="2464"/>
      <c r="C17" s="142" t="s">
        <v>551</v>
      </c>
      <c r="D17" s="174">
        <f>IF((D14+5000)&gt;D12,(D15-D14-5000)*D16*10%,(D12-D14-5000)*D16*5%+(D15-D12)*D16*10%)</f>
        <v>-438826.9626999998</v>
      </c>
      <c r="E17" s="174"/>
      <c r="F17" s="174">
        <f>IF((F14+5000)&gt;F12,(F15-F14-5000)*F16*10%,(F12-F14-5000)*F16*5%+(F15-F12)*F16*10%)</f>
        <v>418673.03730000008</v>
      </c>
      <c r="G17" s="174">
        <f>IF(G13&lt;G12,IF((G14+5000)&gt;G13,(G15-G14-5000)*G16*10%,(G13-G14-5000)*G16*5%+(G15-G13)*G16*10%),IF((G14+5000)&gt;G12,(G15-G14-5000)*G16*10%,(G12-G14-5000)*G16*5%+(G15-G12)*G16*10%))</f>
        <v>20583.430000000077</v>
      </c>
      <c r="H17" s="58" t="s">
        <v>552</v>
      </c>
    </row>
    <row r="18" spans="1:14" ht="15" customHeight="1">
      <c r="A18" s="2465" t="s">
        <v>553</v>
      </c>
      <c r="B18" s="175" t="s">
        <v>554</v>
      </c>
    </row>
    <row r="19" spans="1:14" ht="15" customHeight="1">
      <c r="A19" s="2462"/>
      <c r="B19" s="176" t="s">
        <v>555</v>
      </c>
    </row>
    <row r="20" spans="1:14" ht="15" customHeight="1">
      <c r="A20" s="2462"/>
      <c r="B20" s="176" t="s">
        <v>556</v>
      </c>
    </row>
    <row r="21" spans="1:14" ht="15" customHeight="1">
      <c r="A21" s="2462"/>
      <c r="B21" s="177" t="s">
        <v>557</v>
      </c>
    </row>
    <row r="22" spans="1:14" ht="15" customHeight="1">
      <c r="A22" s="2462"/>
      <c r="B22" s="177" t="s">
        <v>558</v>
      </c>
    </row>
    <row r="23" spans="1:14" ht="15" customHeight="1">
      <c r="A23" s="2462"/>
      <c r="B23" s="2463" t="s">
        <v>559</v>
      </c>
      <c r="C23" s="178" t="s">
        <v>560</v>
      </c>
      <c r="D23" s="179" t="s">
        <v>561</v>
      </c>
      <c r="E23" s="179"/>
      <c r="F23" s="180"/>
      <c r="G23" s="180"/>
    </row>
    <row r="24" spans="1:14" ht="15" customHeight="1">
      <c r="A24" s="2466"/>
      <c r="B24" s="2464"/>
      <c r="C24" s="181">
        <f>분양개요!O7</f>
        <v>152662145.625</v>
      </c>
      <c r="D24" s="182">
        <v>8.0000000000000002E-3</v>
      </c>
      <c r="E24" s="183"/>
      <c r="F24" s="184"/>
      <c r="G24" s="185">
        <f>C24*D24</f>
        <v>1221297.165</v>
      </c>
    </row>
    <row r="25" spans="1:14" ht="15" customHeight="1">
      <c r="A25" s="2431" t="s">
        <v>562</v>
      </c>
      <c r="B25" s="112" t="s">
        <v>563</v>
      </c>
      <c r="C25" s="186"/>
      <c r="D25" s="186"/>
      <c r="E25" s="186"/>
      <c r="F25" s="186"/>
      <c r="G25" s="186"/>
      <c r="H25" s="2457" t="s">
        <v>1349</v>
      </c>
      <c r="I25" s="2457"/>
      <c r="J25" s="2457"/>
      <c r="K25" s="2457"/>
      <c r="L25" s="2457"/>
      <c r="M25" s="2457"/>
    </row>
    <row r="26" spans="1:14" ht="15" customHeight="1">
      <c r="A26" s="2432"/>
      <c r="B26" s="187" t="s">
        <v>564</v>
      </c>
      <c r="C26" s="65"/>
      <c r="D26" s="65"/>
      <c r="E26" s="65"/>
      <c r="F26" s="65"/>
      <c r="G26" s="65"/>
      <c r="H26" s="188" t="s">
        <v>565</v>
      </c>
      <c r="I26" s="189" t="s">
        <v>566</v>
      </c>
      <c r="J26" s="189" t="s">
        <v>567</v>
      </c>
      <c r="K26" s="190"/>
      <c r="L26" s="190"/>
      <c r="M26" s="191"/>
      <c r="N26" s="191"/>
    </row>
    <row r="27" spans="1:14" ht="15" customHeight="1">
      <c r="A27" s="2432"/>
      <c r="B27" s="187" t="s">
        <v>568</v>
      </c>
      <c r="C27" s="57"/>
      <c r="D27" s="65"/>
      <c r="E27" s="65"/>
      <c r="F27" s="65"/>
      <c r="G27" s="65"/>
      <c r="H27" s="2453" t="s">
        <v>569</v>
      </c>
      <c r="I27" s="192" t="s">
        <v>570</v>
      </c>
      <c r="J27" s="193">
        <v>1026.0999999999999</v>
      </c>
      <c r="K27" s="190"/>
      <c r="L27" s="190"/>
      <c r="M27" s="191"/>
      <c r="N27" s="191"/>
    </row>
    <row r="28" spans="1:14" ht="15" customHeight="1">
      <c r="A28" s="2432"/>
      <c r="B28" s="187" t="s">
        <v>571</v>
      </c>
      <c r="C28" s="57"/>
      <c r="D28" s="65"/>
      <c r="E28" s="65"/>
      <c r="F28" s="65"/>
      <c r="G28" s="65"/>
      <c r="H28" s="2453"/>
      <c r="I28" s="192" t="s">
        <v>572</v>
      </c>
      <c r="J28" s="193">
        <v>1043</v>
      </c>
      <c r="K28" s="190"/>
      <c r="L28" s="190"/>
      <c r="M28" s="191"/>
      <c r="N28" s="191"/>
    </row>
    <row r="29" spans="1:14" ht="15" customHeight="1">
      <c r="A29" s="2432"/>
      <c r="B29" s="187" t="s">
        <v>573</v>
      </c>
      <c r="C29" s="65"/>
      <c r="D29" s="100"/>
      <c r="E29" s="100"/>
      <c r="F29" s="65"/>
      <c r="G29" s="65"/>
      <c r="H29" s="2453"/>
      <c r="I29" s="192" t="s">
        <v>574</v>
      </c>
      <c r="J29" s="193">
        <v>1010.5</v>
      </c>
      <c r="K29" s="190"/>
      <c r="L29" s="190"/>
      <c r="M29" s="191"/>
      <c r="N29" s="191"/>
    </row>
    <row r="30" spans="1:14" ht="15" customHeight="1">
      <c r="A30" s="2432"/>
      <c r="B30" s="187" t="s">
        <v>575</v>
      </c>
      <c r="C30" s="65"/>
      <c r="D30" s="65"/>
      <c r="E30" s="65"/>
      <c r="F30" s="65"/>
      <c r="G30" s="65"/>
      <c r="H30" s="2453"/>
      <c r="I30" s="192" t="s">
        <v>576</v>
      </c>
      <c r="J30" s="193">
        <v>1020.8</v>
      </c>
      <c r="K30" s="190"/>
      <c r="L30" s="190"/>
      <c r="M30" s="191"/>
      <c r="N30" s="191"/>
    </row>
    <row r="31" spans="1:14" ht="15" customHeight="1">
      <c r="A31" s="2432"/>
      <c r="B31" s="187" t="s">
        <v>577</v>
      </c>
      <c r="C31" s="57"/>
      <c r="D31" s="65"/>
      <c r="E31" s="65"/>
      <c r="F31" s="65"/>
      <c r="G31" s="65"/>
      <c r="H31" s="2453" t="s">
        <v>578</v>
      </c>
      <c r="I31" s="192" t="s">
        <v>570</v>
      </c>
      <c r="J31" s="194">
        <v>1101.8</v>
      </c>
      <c r="K31" s="190"/>
      <c r="L31" s="190"/>
      <c r="M31" s="191"/>
      <c r="N31" s="191"/>
    </row>
    <row r="32" spans="1:14" ht="15" customHeight="1">
      <c r="A32" s="2432"/>
      <c r="B32" s="187" t="s">
        <v>579</v>
      </c>
      <c r="C32" s="65"/>
      <c r="D32" s="65"/>
      <c r="E32" s="65"/>
      <c r="F32" s="65"/>
      <c r="G32" s="65"/>
      <c r="H32" s="2453"/>
      <c r="I32" s="192" t="s">
        <v>580</v>
      </c>
      <c r="J32" s="194">
        <v>1116.7</v>
      </c>
      <c r="K32" s="190"/>
      <c r="L32" s="190"/>
      <c r="M32" s="191"/>
      <c r="N32" s="191"/>
    </row>
    <row r="33" spans="1:14" ht="15" customHeight="1">
      <c r="A33" s="2432"/>
      <c r="B33" s="187" t="s">
        <v>581</v>
      </c>
      <c r="H33" s="2453"/>
      <c r="I33" s="192" t="s">
        <v>582</v>
      </c>
      <c r="J33" s="194">
        <v>1082.4000000000001</v>
      </c>
      <c r="K33" s="190"/>
      <c r="L33" s="190"/>
      <c r="M33" s="191"/>
      <c r="N33" s="191"/>
    </row>
    <row r="34" spans="1:14" ht="15" customHeight="1">
      <c r="A34" s="2432"/>
      <c r="B34" s="187" t="s">
        <v>583</v>
      </c>
      <c r="H34" s="2453"/>
      <c r="I34" s="192" t="s">
        <v>576</v>
      </c>
      <c r="J34" s="194">
        <v>1085.9000000000001</v>
      </c>
    </row>
    <row r="35" spans="1:14" ht="15" customHeight="1">
      <c r="A35" s="2432"/>
      <c r="B35" s="187" t="s">
        <v>584</v>
      </c>
      <c r="H35" s="2453" t="s">
        <v>585</v>
      </c>
      <c r="I35" s="192" t="s">
        <v>570</v>
      </c>
      <c r="J35" s="193">
        <v>1041</v>
      </c>
    </row>
    <row r="36" spans="1:14" ht="15" customHeight="1">
      <c r="A36" s="2432"/>
      <c r="B36" s="187" t="s">
        <v>586</v>
      </c>
      <c r="H36" s="2453"/>
      <c r="I36" s="192" t="s">
        <v>587</v>
      </c>
      <c r="J36" s="194">
        <v>1051.0999999999999</v>
      </c>
    </row>
    <row r="37" spans="1:14" ht="15" customHeight="1">
      <c r="A37" s="2432"/>
      <c r="B37" s="195" t="s">
        <v>588</v>
      </c>
      <c r="G37" s="58" t="s">
        <v>589</v>
      </c>
      <c r="H37" s="2453"/>
      <c r="I37" s="192" t="s">
        <v>590</v>
      </c>
      <c r="J37" s="193">
        <v>1019.4</v>
      </c>
    </row>
    <row r="38" spans="1:14" ht="15" customHeight="1">
      <c r="A38" s="2432"/>
      <c r="B38" s="2458" t="s">
        <v>591</v>
      </c>
      <c r="C38" s="178" t="s">
        <v>592</v>
      </c>
      <c r="D38" s="178" t="s">
        <v>593</v>
      </c>
      <c r="E38" s="178" t="s">
        <v>594</v>
      </c>
      <c r="F38" s="178" t="s">
        <v>595</v>
      </c>
      <c r="G38" s="178"/>
      <c r="H38" s="2453"/>
      <c r="I38" s="192" t="s">
        <v>576</v>
      </c>
      <c r="J38" s="193">
        <v>1018.9</v>
      </c>
    </row>
    <row r="39" spans="1:14" ht="15" customHeight="1">
      <c r="A39" s="2432"/>
      <c r="B39" s="2458"/>
      <c r="C39" s="196">
        <f>총괄장!H7</f>
        <v>40553.46</v>
      </c>
      <c r="D39" s="197">
        <f>J35</f>
        <v>1041</v>
      </c>
      <c r="E39" s="198">
        <v>0.04</v>
      </c>
      <c r="F39" s="199">
        <v>0.5</v>
      </c>
      <c r="G39" s="200">
        <f>C39*D39*E39*(1-F39)+C42*D39*E42</f>
        <v>844323.03720000002</v>
      </c>
      <c r="H39" s="2453" t="s">
        <v>596</v>
      </c>
      <c r="I39" s="192" t="s">
        <v>570</v>
      </c>
      <c r="J39" s="194">
        <v>1058.8</v>
      </c>
    </row>
    <row r="40" spans="1:14" ht="15" customHeight="1">
      <c r="A40" s="2432"/>
      <c r="B40" s="2458"/>
      <c r="C40" s="180"/>
      <c r="D40" s="180"/>
      <c r="E40" s="201">
        <v>0.04</v>
      </c>
      <c r="F40" s="180"/>
      <c r="G40" s="180"/>
      <c r="H40" s="2453"/>
      <c r="I40" s="192" t="s">
        <v>572</v>
      </c>
      <c r="J40" s="194">
        <v>1069</v>
      </c>
    </row>
    <row r="41" spans="1:14" ht="15" customHeight="1">
      <c r="A41" s="2433"/>
      <c r="B41" s="2459"/>
      <c r="C41" s="184"/>
      <c r="D41" s="184"/>
      <c r="E41" s="202">
        <v>0.02</v>
      </c>
      <c r="F41" s="184"/>
      <c r="G41" s="184"/>
      <c r="H41" s="2453"/>
      <c r="I41" s="192" t="s">
        <v>574</v>
      </c>
      <c r="J41" s="193">
        <v>1037.5</v>
      </c>
    </row>
    <row r="42" spans="1:14" ht="15" customHeight="1">
      <c r="A42" s="2432" t="s">
        <v>597</v>
      </c>
      <c r="B42" s="57" t="s">
        <v>598</v>
      </c>
      <c r="C42" s="196">
        <v>9743.3465999999989</v>
      </c>
      <c r="E42" s="203">
        <v>0</v>
      </c>
      <c r="H42" s="2460"/>
      <c r="I42" s="204" t="s">
        <v>576</v>
      </c>
      <c r="J42" s="205">
        <v>1036.8</v>
      </c>
    </row>
    <row r="43" spans="1:14" ht="15" customHeight="1">
      <c r="A43" s="2432"/>
      <c r="B43" s="57" t="s">
        <v>599</v>
      </c>
      <c r="C43" s="57"/>
      <c r="D43" s="57"/>
      <c r="E43" s="57"/>
      <c r="F43" s="57"/>
      <c r="G43" s="57"/>
      <c r="H43" s="2449" t="s">
        <v>600</v>
      </c>
      <c r="I43" s="2449"/>
      <c r="J43" s="2449"/>
      <c r="K43" s="2449"/>
      <c r="L43" s="2449"/>
      <c r="M43" s="2449"/>
      <c r="N43" s="57"/>
    </row>
    <row r="44" spans="1:14" ht="15" customHeight="1">
      <c r="A44" s="2432"/>
      <c r="B44" s="57" t="s">
        <v>601</v>
      </c>
      <c r="C44" s="57"/>
      <c r="D44" s="57"/>
      <c r="E44" s="57"/>
      <c r="F44" s="57"/>
      <c r="H44" s="206" t="s">
        <v>602</v>
      </c>
      <c r="I44" s="207" t="s">
        <v>603</v>
      </c>
      <c r="J44" s="207" t="s">
        <v>604</v>
      </c>
      <c r="K44" s="207" t="s">
        <v>605</v>
      </c>
      <c r="L44" s="207" t="s">
        <v>606</v>
      </c>
      <c r="M44" s="207" t="s">
        <v>607</v>
      </c>
    </row>
    <row r="45" spans="1:14" ht="15" customHeight="1">
      <c r="A45" s="2432"/>
      <c r="B45" s="57" t="s">
        <v>608</v>
      </c>
      <c r="C45" s="57"/>
      <c r="D45" s="57"/>
      <c r="E45" s="57"/>
      <c r="F45" s="57"/>
      <c r="H45" s="208">
        <v>2006</v>
      </c>
      <c r="I45" s="209"/>
      <c r="J45" s="210">
        <v>0</v>
      </c>
      <c r="K45" s="210"/>
      <c r="L45" s="211"/>
      <c r="M45" s="212"/>
    </row>
    <row r="46" spans="1:14" ht="15" customHeight="1">
      <c r="A46" s="2432"/>
      <c r="B46" s="57" t="s">
        <v>609</v>
      </c>
      <c r="C46" s="57"/>
      <c r="D46" s="57"/>
      <c r="E46" s="57"/>
      <c r="F46" s="57"/>
      <c r="H46" s="208">
        <f>H45+1</f>
        <v>2007</v>
      </c>
      <c r="I46" s="209"/>
      <c r="J46" s="210">
        <v>0</v>
      </c>
      <c r="K46" s="210">
        <f>(J46+J45)/(H46-H45)</f>
        <v>0</v>
      </c>
      <c r="L46" s="211"/>
      <c r="M46" s="212"/>
    </row>
    <row r="47" spans="1:14" ht="15" customHeight="1">
      <c r="A47" s="2432"/>
      <c r="B47" s="195" t="s">
        <v>610</v>
      </c>
      <c r="C47" s="57"/>
      <c r="D47" s="57"/>
      <c r="E47" s="57"/>
      <c r="F47" s="57"/>
      <c r="H47" s="208">
        <f t="shared" ref="H47:H57" si="0">H46+1</f>
        <v>2008</v>
      </c>
      <c r="I47" s="209"/>
      <c r="J47" s="210">
        <v>0</v>
      </c>
      <c r="K47" s="210">
        <f>SUM(J45:J47)/(H47-H45)</f>
        <v>0</v>
      </c>
      <c r="L47" s="211"/>
      <c r="M47" s="212"/>
    </row>
    <row r="48" spans="1:14" ht="15" customHeight="1">
      <c r="A48" s="2432"/>
      <c r="B48" s="195" t="s">
        <v>611</v>
      </c>
      <c r="C48" s="57"/>
      <c r="D48" s="57"/>
      <c r="E48" s="57"/>
      <c r="F48" s="57"/>
      <c r="H48" s="208">
        <f t="shared" si="0"/>
        <v>2009</v>
      </c>
      <c r="I48" s="209"/>
      <c r="J48" s="210">
        <v>0</v>
      </c>
      <c r="K48" s="210">
        <f>SUM(J45:J48)/(H48-H45)</f>
        <v>0</v>
      </c>
      <c r="L48" s="211"/>
      <c r="M48" s="212"/>
    </row>
    <row r="49" spans="1:14" ht="15" customHeight="1">
      <c r="A49" s="2432"/>
      <c r="B49" s="195" t="s">
        <v>612</v>
      </c>
      <c r="C49" s="122"/>
      <c r="D49" s="122"/>
      <c r="E49" s="122"/>
      <c r="F49" s="122"/>
      <c r="H49" s="208">
        <f t="shared" si="0"/>
        <v>2010</v>
      </c>
      <c r="I49" s="209"/>
      <c r="J49" s="210">
        <v>0</v>
      </c>
      <c r="K49" s="210">
        <f>SUM(J45:J49)/(H49-H45)</f>
        <v>0</v>
      </c>
      <c r="L49" s="211"/>
      <c r="M49" s="212"/>
    </row>
    <row r="50" spans="1:14" ht="15" customHeight="1">
      <c r="A50" s="2432"/>
      <c r="B50" s="57" t="s">
        <v>613</v>
      </c>
      <c r="C50" s="122"/>
      <c r="D50" s="122"/>
      <c r="E50" s="213">
        <f>C55-C53</f>
        <v>1420058.6400000006</v>
      </c>
      <c r="F50" s="122"/>
      <c r="H50" s="208">
        <f t="shared" si="0"/>
        <v>2011</v>
      </c>
      <c r="I50" s="209"/>
      <c r="J50" s="210">
        <v>0</v>
      </c>
      <c r="K50" s="210">
        <f>SUM(J45:J50)/(H50-H45)</f>
        <v>0</v>
      </c>
      <c r="L50" s="211"/>
      <c r="M50" s="212"/>
    </row>
    <row r="51" spans="1:14" ht="15" customHeight="1">
      <c r="A51" s="2432"/>
      <c r="B51" s="57" t="s">
        <v>614</v>
      </c>
      <c r="C51" s="214"/>
      <c r="D51" s="65"/>
      <c r="E51" s="215"/>
      <c r="F51" s="215"/>
      <c r="H51" s="208">
        <f t="shared" si="0"/>
        <v>2012</v>
      </c>
      <c r="I51" s="209"/>
      <c r="J51" s="210">
        <v>0</v>
      </c>
      <c r="K51" s="210">
        <f>SUM(J46:J51)/(H51-H45)</f>
        <v>0</v>
      </c>
      <c r="L51" s="211"/>
      <c r="M51" s="212"/>
    </row>
    <row r="52" spans="1:14" ht="15" customHeight="1">
      <c r="A52" s="2432"/>
      <c r="B52" s="214" t="s">
        <v>615</v>
      </c>
      <c r="C52" s="216" t="s">
        <v>616</v>
      </c>
      <c r="D52" s="65" t="s">
        <v>617</v>
      </c>
      <c r="E52" s="217" t="s">
        <v>618</v>
      </c>
      <c r="F52" s="217" t="s">
        <v>619</v>
      </c>
      <c r="H52" s="208">
        <f t="shared" si="0"/>
        <v>2013</v>
      </c>
      <c r="I52" s="209"/>
      <c r="J52" s="210" t="e">
        <f>I52/I51-100%</f>
        <v>#DIV/0!</v>
      </c>
      <c r="K52" s="210" t="e">
        <f>SUM(J45:J52)/(H52-H45)</f>
        <v>#DIV/0!</v>
      </c>
      <c r="L52" s="211"/>
      <c r="M52" s="212"/>
    </row>
    <row r="53" spans="1:14" ht="15" customHeight="1">
      <c r="A53" s="2432"/>
      <c r="B53" s="2450" t="s">
        <v>620</v>
      </c>
      <c r="C53" s="218">
        <f>I55*D53</f>
        <v>6762184</v>
      </c>
      <c r="D53" s="219">
        <v>2672.8</v>
      </c>
      <c r="E53" s="220">
        <v>205110</v>
      </c>
      <c r="F53" s="221">
        <v>0.25</v>
      </c>
      <c r="G53" s="200">
        <f>(C55-(C53+C57+E55+E53))*F53</f>
        <v>303737.16000000015</v>
      </c>
      <c r="H53" s="208">
        <f t="shared" si="0"/>
        <v>2014</v>
      </c>
      <c r="I53" s="209"/>
      <c r="J53" s="210" t="e">
        <f>I53/I52-100%</f>
        <v>#DIV/0!</v>
      </c>
      <c r="K53" s="210" t="e">
        <f>SUM(J45:J53)/(H53-H45)</f>
        <v>#DIV/0!</v>
      </c>
      <c r="L53" s="211"/>
      <c r="M53" s="212"/>
    </row>
    <row r="54" spans="1:14" ht="15" customHeight="1">
      <c r="A54" s="2432"/>
      <c r="B54" s="2450"/>
      <c r="C54" s="178" t="s">
        <v>621</v>
      </c>
      <c r="D54" s="222" t="s">
        <v>622</v>
      </c>
      <c r="E54" s="178" t="s">
        <v>623</v>
      </c>
      <c r="F54" s="178"/>
      <c r="G54" s="180"/>
      <c r="H54" s="208">
        <f t="shared" si="0"/>
        <v>2015</v>
      </c>
      <c r="I54" s="209"/>
      <c r="J54" s="210" t="e">
        <f>I54/I53-100%</f>
        <v>#DIV/0!</v>
      </c>
      <c r="K54" s="210" t="e">
        <f>SUM(J45:J54)/(H54-H45)</f>
        <v>#DIV/0!</v>
      </c>
      <c r="L54" s="211">
        <f>I54</f>
        <v>0</v>
      </c>
      <c r="M54" s="223">
        <v>0.05</v>
      </c>
    </row>
    <row r="55" spans="1:14" ht="15" customHeight="1">
      <c r="A55" s="2432"/>
      <c r="B55" s="2450"/>
      <c r="C55" s="218">
        <f>D53*I57</f>
        <v>8182242.6400000006</v>
      </c>
      <c r="D55" s="219">
        <v>0</v>
      </c>
      <c r="E55" s="224">
        <f>D55*I54</f>
        <v>0</v>
      </c>
      <c r="F55" s="178"/>
      <c r="G55" s="180"/>
      <c r="H55" s="208">
        <f t="shared" si="0"/>
        <v>2016</v>
      </c>
      <c r="I55" s="225">
        <v>2530</v>
      </c>
      <c r="J55" s="210"/>
      <c r="K55" s="210">
        <v>0.1</v>
      </c>
      <c r="L55" s="211">
        <f>L54*(100%+M54)</f>
        <v>0</v>
      </c>
      <c r="M55" s="226"/>
    </row>
    <row r="56" spans="1:14" ht="15" customHeight="1">
      <c r="A56" s="2432"/>
      <c r="B56" s="2450"/>
      <c r="C56" s="178" t="s">
        <v>624</v>
      </c>
      <c r="D56" s="178"/>
      <c r="E56" s="178"/>
      <c r="F56" s="178"/>
      <c r="G56" s="180"/>
      <c r="H56" s="208">
        <f t="shared" si="0"/>
        <v>2017</v>
      </c>
      <c r="I56" s="225">
        <f>I55*(1+K56)</f>
        <v>2783</v>
      </c>
      <c r="J56" s="210"/>
      <c r="K56" s="210">
        <v>0.1</v>
      </c>
      <c r="L56" s="211">
        <f>L55*(100%+M54)</f>
        <v>0</v>
      </c>
      <c r="M56" s="226"/>
    </row>
    <row r="57" spans="1:14" ht="15" customHeight="1">
      <c r="A57" s="2432"/>
      <c r="B57" s="2450"/>
      <c r="C57" s="224">
        <f>(L57-L54)*D53</f>
        <v>0</v>
      </c>
      <c r="D57" s="178"/>
      <c r="E57" s="178"/>
      <c r="F57" s="178"/>
      <c r="G57" s="180"/>
      <c r="H57" s="227">
        <f t="shared" si="0"/>
        <v>2018</v>
      </c>
      <c r="I57" s="228">
        <f>I56*(1+K57)</f>
        <v>3061.3</v>
      </c>
      <c r="J57" s="229"/>
      <c r="K57" s="229">
        <v>0.1</v>
      </c>
      <c r="L57" s="230">
        <f>L56*(100%+M54)</f>
        <v>0</v>
      </c>
      <c r="M57" s="231"/>
    </row>
    <row r="58" spans="1:14" ht="15" customHeight="1">
      <c r="A58" s="2431" t="s">
        <v>625</v>
      </c>
      <c r="B58" s="112" t="s">
        <v>626</v>
      </c>
      <c r="C58" s="112"/>
      <c r="D58" s="112"/>
      <c r="E58" s="112"/>
      <c r="F58" s="112"/>
      <c r="G58" s="112"/>
      <c r="H58" s="2451" t="s">
        <v>627</v>
      </c>
      <c r="I58" s="2451"/>
      <c r="J58" s="2451"/>
      <c r="K58" s="2451"/>
      <c r="L58" s="2451"/>
      <c r="M58" s="2451"/>
      <c r="N58" s="232"/>
    </row>
    <row r="59" spans="1:14" ht="15" customHeight="1">
      <c r="A59" s="2432"/>
      <c r="B59" s="57" t="s">
        <v>628</v>
      </c>
      <c r="C59" s="57"/>
      <c r="D59" s="57"/>
      <c r="E59" s="57"/>
      <c r="F59" s="57"/>
      <c r="G59" s="57"/>
      <c r="H59" s="2452" t="s">
        <v>629</v>
      </c>
      <c r="I59" s="2454" t="s">
        <v>630</v>
      </c>
      <c r="J59" s="2456" t="s">
        <v>631</v>
      </c>
      <c r="K59" s="2456"/>
      <c r="L59" s="2456"/>
      <c r="M59" s="2456"/>
    </row>
    <row r="60" spans="1:14" ht="15" customHeight="1">
      <c r="A60" s="2432"/>
      <c r="B60" s="57" t="s">
        <v>632</v>
      </c>
      <c r="C60" s="233"/>
      <c r="D60" s="65"/>
      <c r="E60" s="234"/>
      <c r="F60" s="234"/>
      <c r="G60" s="235"/>
      <c r="H60" s="2453"/>
      <c r="I60" s="2455"/>
      <c r="J60" s="236" t="s">
        <v>633</v>
      </c>
      <c r="K60" s="237" t="s">
        <v>634</v>
      </c>
      <c r="L60" s="237" t="s">
        <v>635</v>
      </c>
      <c r="M60" s="238" t="s">
        <v>636</v>
      </c>
    </row>
    <row r="61" spans="1:14" ht="15" customHeight="1">
      <c r="A61" s="2432"/>
      <c r="B61" s="57" t="s">
        <v>637</v>
      </c>
      <c r="C61" s="233"/>
      <c r="D61" s="65"/>
      <c r="E61" s="234"/>
      <c r="F61" s="234"/>
      <c r="G61" s="239"/>
      <c r="H61" s="240" t="s">
        <v>638</v>
      </c>
      <c r="I61" s="236" t="s">
        <v>639</v>
      </c>
      <c r="J61" s="241">
        <v>1.68</v>
      </c>
      <c r="K61" s="241">
        <v>1.66</v>
      </c>
      <c r="L61" s="241">
        <v>1.64</v>
      </c>
      <c r="M61" s="242">
        <v>1.1200000000000001</v>
      </c>
    </row>
    <row r="62" spans="1:14" ht="15" customHeight="1">
      <c r="A62" s="2432"/>
      <c r="B62" s="57" t="s">
        <v>640</v>
      </c>
      <c r="C62" s="243" t="s">
        <v>641</v>
      </c>
      <c r="D62" s="65" t="s">
        <v>642</v>
      </c>
      <c r="E62" s="213" t="s">
        <v>643</v>
      </c>
      <c r="F62" s="213"/>
      <c r="G62" s="239" t="s">
        <v>644</v>
      </c>
      <c r="H62" s="240" t="s">
        <v>645</v>
      </c>
      <c r="I62" s="236" t="s">
        <v>646</v>
      </c>
      <c r="J62" s="241">
        <v>4.5599999999999996</v>
      </c>
      <c r="K62" s="241">
        <v>4.4800000000000004</v>
      </c>
      <c r="L62" s="241">
        <v>2.67</v>
      </c>
      <c r="M62" s="242">
        <v>2.67</v>
      </c>
    </row>
    <row r="63" spans="1:14" ht="15" customHeight="1">
      <c r="A63" s="2433"/>
      <c r="B63" s="114" t="s">
        <v>559</v>
      </c>
      <c r="C63" s="244">
        <v>14740.04</v>
      </c>
      <c r="D63" s="245">
        <v>0.7</v>
      </c>
      <c r="E63" s="246">
        <f>J63</f>
        <v>1.2</v>
      </c>
      <c r="F63" s="247"/>
      <c r="G63" s="248">
        <f>C63*D63*E63</f>
        <v>12381.633599999999</v>
      </c>
      <c r="H63" s="249" t="s">
        <v>647</v>
      </c>
      <c r="I63" s="250" t="s">
        <v>648</v>
      </c>
      <c r="J63" s="251">
        <v>1.2</v>
      </c>
      <c r="K63" s="251">
        <v>1</v>
      </c>
      <c r="L63" s="251">
        <v>0.82</v>
      </c>
      <c r="M63" s="252">
        <v>0.82</v>
      </c>
    </row>
    <row r="64" spans="1:14" ht="15" customHeight="1">
      <c r="A64" s="2432" t="s">
        <v>649</v>
      </c>
      <c r="B64" s="100" t="s">
        <v>650</v>
      </c>
      <c r="C64" s="232"/>
      <c r="D64" s="232"/>
      <c r="E64" s="232"/>
      <c r="F64" s="232"/>
      <c r="G64" s="232"/>
      <c r="H64" s="232"/>
      <c r="I64" s="232"/>
      <c r="J64" s="232"/>
      <c r="K64" s="232"/>
      <c r="L64" s="232"/>
      <c r="M64" s="232"/>
      <c r="N64" s="232"/>
    </row>
    <row r="65" spans="1:14" ht="15" customHeight="1">
      <c r="A65" s="2432"/>
      <c r="B65" s="100" t="s">
        <v>651</v>
      </c>
      <c r="C65" s="232"/>
      <c r="D65" s="232"/>
      <c r="E65" s="232"/>
      <c r="F65" s="232"/>
      <c r="G65" s="232"/>
      <c r="H65" s="232"/>
      <c r="I65" s="232"/>
      <c r="J65" s="232"/>
      <c r="K65" s="232"/>
      <c r="L65" s="232"/>
      <c r="M65" s="232"/>
      <c r="N65" s="232"/>
    </row>
    <row r="66" spans="1:14" ht="15" customHeight="1">
      <c r="A66" s="2432"/>
      <c r="B66" s="100" t="s">
        <v>652</v>
      </c>
      <c r="C66" s="253"/>
      <c r="D66" s="253"/>
      <c r="E66" s="253"/>
      <c r="F66" s="253"/>
      <c r="G66" s="253"/>
      <c r="H66" s="253"/>
      <c r="I66" s="253"/>
      <c r="J66" s="253"/>
      <c r="K66" s="253"/>
      <c r="L66" s="253"/>
      <c r="M66" s="253"/>
      <c r="N66" s="253"/>
    </row>
    <row r="67" spans="1:14" ht="15" customHeight="1">
      <c r="A67" s="2432"/>
      <c r="B67" s="100" t="s">
        <v>653</v>
      </c>
    </row>
    <row r="68" spans="1:14" ht="15" customHeight="1">
      <c r="A68" s="2432"/>
      <c r="B68" s="100" t="s">
        <v>654</v>
      </c>
      <c r="C68" s="158" t="s">
        <v>655</v>
      </c>
      <c r="D68" s="158" t="s">
        <v>656</v>
      </c>
      <c r="E68" s="254" t="s">
        <v>657</v>
      </c>
    </row>
    <row r="69" spans="1:14" ht="15" customHeight="1">
      <c r="A69" s="2432"/>
      <c r="B69" s="255" t="s">
        <v>591</v>
      </c>
      <c r="C69" s="256" t="s">
        <v>658</v>
      </c>
      <c r="D69" s="257" t="s">
        <v>659</v>
      </c>
      <c r="E69" s="221">
        <v>0.3</v>
      </c>
      <c r="F69" s="180"/>
      <c r="G69" s="258">
        <v>0</v>
      </c>
    </row>
    <row r="70" spans="1:14" ht="15" customHeight="1">
      <c r="A70" s="2431" t="s">
        <v>660</v>
      </c>
      <c r="B70" s="112" t="s">
        <v>661</v>
      </c>
      <c r="C70" s="147"/>
      <c r="D70" s="147"/>
      <c r="E70" s="147"/>
      <c r="F70" s="147"/>
      <c r="G70" s="147"/>
      <c r="H70" s="58" t="s">
        <v>662</v>
      </c>
    </row>
    <row r="71" spans="1:14" ht="15" customHeight="1">
      <c r="A71" s="2432"/>
      <c r="B71" s="57" t="s">
        <v>663</v>
      </c>
      <c r="H71" s="188" t="s">
        <v>664</v>
      </c>
      <c r="I71" s="189" t="s">
        <v>665</v>
      </c>
      <c r="J71" s="189" t="s">
        <v>666</v>
      </c>
      <c r="K71" s="189" t="s">
        <v>667</v>
      </c>
    </row>
    <row r="72" spans="1:14" ht="15" customHeight="1">
      <c r="A72" s="2432"/>
      <c r="B72" s="57" t="s">
        <v>668</v>
      </c>
      <c r="C72" s="158" t="s">
        <v>669</v>
      </c>
      <c r="D72" s="158" t="s">
        <v>670</v>
      </c>
      <c r="H72" s="249" t="s">
        <v>671</v>
      </c>
      <c r="I72" s="259">
        <v>3.74</v>
      </c>
      <c r="J72" s="259">
        <v>4.8600000000000003</v>
      </c>
      <c r="K72" s="259">
        <v>7.48</v>
      </c>
    </row>
    <row r="73" spans="1:14" ht="15" customHeight="1">
      <c r="A73" s="2433"/>
      <c r="B73" s="114" t="s">
        <v>543</v>
      </c>
      <c r="C73" s="260" t="s">
        <v>658</v>
      </c>
      <c r="D73" s="261" t="s">
        <v>658</v>
      </c>
      <c r="E73" s="184"/>
      <c r="F73" s="184"/>
      <c r="G73" s="185">
        <v>0</v>
      </c>
    </row>
    <row r="74" spans="1:14" ht="15" customHeight="1">
      <c r="A74" s="2447" t="s">
        <v>672</v>
      </c>
      <c r="B74" s="57" t="s">
        <v>673</v>
      </c>
      <c r="C74" s="262"/>
      <c r="D74" s="263"/>
      <c r="E74" s="264"/>
      <c r="F74" s="264"/>
      <c r="H74" s="58" t="s">
        <v>674</v>
      </c>
    </row>
    <row r="75" spans="1:14" ht="15" customHeight="1">
      <c r="A75" s="2447"/>
      <c r="B75" s="57" t="s">
        <v>675</v>
      </c>
      <c r="C75" s="262"/>
      <c r="D75" s="263"/>
      <c r="E75" s="264"/>
      <c r="F75" s="264"/>
    </row>
    <row r="76" spans="1:14" ht="15" customHeight="1">
      <c r="A76" s="2447"/>
      <c r="B76" s="57" t="s">
        <v>676</v>
      </c>
      <c r="C76" s="262"/>
      <c r="D76" s="263"/>
      <c r="E76" s="264"/>
      <c r="F76" s="264"/>
    </row>
    <row r="77" spans="1:14" ht="15" customHeight="1">
      <c r="A77" s="2447"/>
      <c r="B77" s="57" t="s">
        <v>677</v>
      </c>
      <c r="D77" s="263"/>
      <c r="E77" s="264"/>
      <c r="F77" s="264"/>
    </row>
    <row r="78" spans="1:14" ht="15" customHeight="1">
      <c r="A78" s="2447"/>
      <c r="B78" s="233" t="s">
        <v>678</v>
      </c>
      <c r="C78" s="265"/>
      <c r="D78" s="265"/>
      <c r="E78" s="265"/>
      <c r="F78" s="265"/>
    </row>
    <row r="79" spans="1:14" ht="15" customHeight="1">
      <c r="A79" s="2447"/>
      <c r="B79" s="57" t="s">
        <v>679</v>
      </c>
      <c r="C79" s="265"/>
      <c r="D79" s="266"/>
      <c r="E79" s="267"/>
      <c r="F79" s="268"/>
    </row>
    <row r="80" spans="1:14" ht="15" customHeight="1">
      <c r="A80" s="2447"/>
      <c r="B80" s="57" t="s">
        <v>680</v>
      </c>
      <c r="C80" s="265"/>
      <c r="D80" s="266"/>
      <c r="E80" s="267"/>
      <c r="F80" s="268"/>
    </row>
    <row r="81" spans="1:7" ht="15" customHeight="1">
      <c r="A81" s="2448"/>
      <c r="B81" s="114" t="s">
        <v>681</v>
      </c>
      <c r="C81" s="142"/>
      <c r="D81" s="269"/>
      <c r="E81" s="269"/>
      <c r="F81" s="269"/>
      <c r="G81" s="184"/>
    </row>
    <row r="82" spans="1:7" ht="15" customHeight="1"/>
    <row r="83" spans="1:7" ht="15" customHeight="1"/>
    <row r="84" spans="1:7" ht="15" customHeight="1"/>
    <row r="85" spans="1:7" ht="15" customHeight="1"/>
    <row r="86" spans="1:7" ht="15" customHeight="1"/>
    <row r="87" spans="1:7" ht="15" customHeight="1"/>
    <row r="88" spans="1:7" ht="15" customHeight="1"/>
    <row r="89" spans="1:7" ht="15" customHeight="1"/>
    <row r="90" spans="1:7" ht="15" customHeight="1"/>
    <row r="91" spans="1:7" ht="15" customHeight="1"/>
    <row r="92" spans="1:7" ht="15" customHeight="1"/>
    <row r="93" spans="1:7" ht="15" customHeight="1"/>
    <row r="94" spans="1:7" ht="15" customHeight="1"/>
    <row r="95" spans="1:7" ht="15" customHeight="1"/>
    <row r="96" spans="1:7" ht="15" customHeight="1"/>
    <row r="97" ht="15" customHeight="1"/>
    <row r="98" ht="15" customHeight="1"/>
    <row r="99" ht="15" customHeight="1"/>
    <row r="100" ht="15" customHeight="1"/>
    <row r="101" ht="15" customHeight="1"/>
    <row r="102" ht="15" customHeight="1"/>
    <row r="103" ht="15" customHeight="1"/>
    <row r="104" ht="15" customHeight="1"/>
  </sheetData>
  <sheetProtection algorithmName="SHA-512" hashValue="ynuF5PEI7jOHUaT3UCdilLvlzK5NZhNWkq1zS+ukFP0XhTD6iXGsaGCkqoeCCf5Mp1FOHl+VR3Y6O+bYjT00VQ==" saltValue="OljqwNzxde+hKnO2CC/w2w==" spinCount="100000" sheet="1" objects="1" scenarios="1"/>
  <mergeCells count="23">
    <mergeCell ref="A25:A41"/>
    <mergeCell ref="A2:G2"/>
    <mergeCell ref="A4:A17"/>
    <mergeCell ref="B12:B17"/>
    <mergeCell ref="A18:A24"/>
    <mergeCell ref="B23:B24"/>
    <mergeCell ref="H25:M25"/>
    <mergeCell ref="H27:H30"/>
    <mergeCell ref="H31:H34"/>
    <mergeCell ref="H35:H38"/>
    <mergeCell ref="B38:B41"/>
    <mergeCell ref="H39:H42"/>
    <mergeCell ref="A64:A69"/>
    <mergeCell ref="A70:A73"/>
    <mergeCell ref="A74:A81"/>
    <mergeCell ref="A42:A57"/>
    <mergeCell ref="H43:M43"/>
    <mergeCell ref="B53:B57"/>
    <mergeCell ref="A58:A63"/>
    <mergeCell ref="H58:M58"/>
    <mergeCell ref="H59:H60"/>
    <mergeCell ref="I59:I60"/>
    <mergeCell ref="J59:M59"/>
  </mergeCells>
  <phoneticPr fontId="4" type="noConversion"/>
  <pageMargins left="0.7" right="0.7" top="0.75" bottom="0.75" header="0.3" footer="0.3"/>
  <pageSetup paperSize="9" scale="43" orientation="portrait" horizontalDpi="300" verticalDpi="300" r:id="rId1"/>
  <colBreaks count="1" manualBreakCount="1">
    <brk id="7" max="1048575" man="1"/>
  </colBreak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dimension ref="A1:I45"/>
  <sheetViews>
    <sheetView workbookViewId="0">
      <selection activeCell="N10" activeCellId="8" sqref="C2:O4 A6:D6 C7 C8:D9 C10:D11 G6:I9 L8:X11 M6:X6 N10:X10"/>
    </sheetView>
  </sheetViews>
  <sheetFormatPr defaultColWidth="9" defaultRowHeight="10.8"/>
  <cols>
    <col min="1" max="1" width="14.19921875" style="158" bestFit="1" customWidth="1"/>
    <col min="2" max="2" width="79.19921875" style="58" bestFit="1" customWidth="1"/>
    <col min="3" max="3" width="6.8984375" style="58" bestFit="1" customWidth="1"/>
    <col min="4" max="4" width="10.09765625" style="58" bestFit="1" customWidth="1"/>
    <col min="5" max="5" width="12.3984375" style="58" customWidth="1"/>
    <col min="6" max="6" width="9.8984375" style="58" bestFit="1" customWidth="1"/>
    <col min="7" max="7" width="16.8984375" style="58" bestFit="1" customWidth="1"/>
    <col min="8" max="8" width="24.5" style="58" bestFit="1" customWidth="1"/>
    <col min="9" max="16384" width="9" style="58"/>
  </cols>
  <sheetData>
    <row r="1" spans="1:9" ht="15" customHeight="1"/>
    <row r="2" spans="1:9" ht="15" customHeight="1">
      <c r="A2" s="2445" t="s">
        <v>682</v>
      </c>
      <c r="B2" s="2445"/>
      <c r="C2" s="2445"/>
      <c r="D2" s="2445"/>
      <c r="E2" s="2445"/>
    </row>
    <row r="3" spans="1:9" ht="15" customHeight="1" thickBot="1"/>
    <row r="4" spans="1:9" ht="15" customHeight="1" thickTop="1">
      <c r="A4" s="2469" t="s">
        <v>683</v>
      </c>
      <c r="B4" s="159" t="s">
        <v>684</v>
      </c>
      <c r="C4" s="98"/>
      <c r="D4" s="98"/>
      <c r="E4" s="98"/>
      <c r="F4" s="57"/>
      <c r="G4" s="57"/>
      <c r="H4" s="57"/>
      <c r="I4" s="57"/>
    </row>
    <row r="5" spans="1:9" ht="15" customHeight="1">
      <c r="A5" s="2447"/>
      <c r="B5" s="165" t="s">
        <v>685</v>
      </c>
      <c r="C5" s="233"/>
      <c r="D5" s="65"/>
      <c r="E5" s="234"/>
      <c r="F5" s="235"/>
      <c r="G5" s="235"/>
      <c r="H5" s="57"/>
      <c r="I5" s="234"/>
    </row>
    <row r="6" spans="1:9" ht="15" customHeight="1">
      <c r="A6" s="2447"/>
      <c r="B6" s="165" t="s">
        <v>686</v>
      </c>
      <c r="C6" s="233"/>
      <c r="D6" s="65"/>
      <c r="E6" s="234"/>
      <c r="F6" s="235"/>
      <c r="G6" s="235"/>
      <c r="H6" s="234"/>
      <c r="I6" s="234"/>
    </row>
    <row r="7" spans="1:9" ht="15" customHeight="1">
      <c r="A7" s="2448"/>
      <c r="B7" s="270" t="s">
        <v>687</v>
      </c>
      <c r="C7" s="271">
        <v>4458.8621000000003</v>
      </c>
      <c r="D7" s="272">
        <v>50</v>
      </c>
      <c r="E7" s="119">
        <f>C7*D7</f>
        <v>222943.10500000001</v>
      </c>
      <c r="F7" s="273"/>
      <c r="G7" s="273"/>
      <c r="H7" s="274"/>
      <c r="I7" s="274"/>
    </row>
    <row r="8" spans="1:9" ht="15" customHeight="1">
      <c r="A8" s="2432" t="s">
        <v>688</v>
      </c>
      <c r="B8" s="165" t="s">
        <v>689</v>
      </c>
      <c r="C8" s="57"/>
      <c r="D8" s="57"/>
      <c r="E8" s="57"/>
      <c r="F8" s="57"/>
      <c r="G8" s="57"/>
      <c r="H8" s="57"/>
      <c r="I8" s="57"/>
    </row>
    <row r="9" spans="1:9" ht="15" customHeight="1">
      <c r="A9" s="2432"/>
      <c r="B9" s="165" t="s">
        <v>690</v>
      </c>
      <c r="C9" s="57"/>
      <c r="D9" s="57"/>
      <c r="E9" s="57"/>
      <c r="F9" s="57"/>
      <c r="G9" s="57"/>
      <c r="H9" s="57"/>
      <c r="I9" s="57"/>
    </row>
    <row r="10" spans="1:9" ht="15" customHeight="1">
      <c r="A10" s="2432"/>
      <c r="B10" s="165" t="s">
        <v>691</v>
      </c>
      <c r="C10" s="233"/>
      <c r="D10" s="65"/>
      <c r="E10" s="234"/>
      <c r="F10" s="235"/>
      <c r="G10" s="235"/>
      <c r="H10" s="57"/>
      <c r="I10" s="234"/>
    </row>
    <row r="11" spans="1:9" ht="15" customHeight="1">
      <c r="A11" s="2432"/>
      <c r="B11" s="275" t="s">
        <v>692</v>
      </c>
      <c r="C11" s="276">
        <f>C7</f>
        <v>4458.8621000000003</v>
      </c>
      <c r="D11" s="277">
        <v>60</v>
      </c>
      <c r="E11" s="278">
        <f>C11*D11</f>
        <v>267531.72600000002</v>
      </c>
      <c r="F11" s="273"/>
      <c r="G11" s="273"/>
      <c r="H11" s="274"/>
      <c r="I11" s="274"/>
    </row>
    <row r="12" spans="1:9" ht="15" customHeight="1">
      <c r="A12" s="2470" t="s">
        <v>693</v>
      </c>
      <c r="B12" s="279" t="s">
        <v>694</v>
      </c>
      <c r="C12" s="112"/>
      <c r="D12" s="112"/>
      <c r="E12" s="112"/>
      <c r="F12" s="57"/>
      <c r="G12" s="57"/>
      <c r="H12" s="57"/>
      <c r="I12" s="57"/>
    </row>
    <row r="13" spans="1:9" ht="15" customHeight="1">
      <c r="A13" s="2447"/>
      <c r="B13" s="165" t="s">
        <v>1086</v>
      </c>
      <c r="C13" s="57"/>
      <c r="D13" s="57"/>
      <c r="E13" s="57"/>
      <c r="F13" s="57"/>
      <c r="G13" s="57"/>
      <c r="H13" s="57"/>
      <c r="I13" s="57"/>
    </row>
    <row r="14" spans="1:9" ht="15" customHeight="1">
      <c r="A14" s="2447"/>
      <c r="B14" s="165" t="s">
        <v>695</v>
      </c>
      <c r="C14" s="233"/>
      <c r="D14" s="65"/>
      <c r="E14" s="234"/>
      <c r="F14" s="235"/>
      <c r="G14" s="235"/>
      <c r="H14" s="234"/>
      <c r="I14" s="234"/>
    </row>
    <row r="15" spans="1:9" ht="15" customHeight="1">
      <c r="A15" s="2448"/>
      <c r="B15" s="270" t="s">
        <v>696</v>
      </c>
      <c r="C15" s="271">
        <v>808.52200000000005</v>
      </c>
      <c r="D15" s="272">
        <v>0</v>
      </c>
      <c r="E15" s="280">
        <v>0</v>
      </c>
      <c r="F15" s="281"/>
      <c r="G15" s="281"/>
      <c r="H15" s="274"/>
      <c r="I15" s="274"/>
    </row>
    <row r="16" spans="1:9" ht="15" customHeight="1">
      <c r="A16" s="2432" t="s">
        <v>697</v>
      </c>
      <c r="B16" s="282" t="s">
        <v>698</v>
      </c>
      <c r="F16" s="57"/>
      <c r="G16" s="57"/>
      <c r="H16" s="57"/>
      <c r="I16" s="57"/>
    </row>
    <row r="17" spans="1:9" ht="15" customHeight="1">
      <c r="A17" s="2432"/>
      <c r="B17" s="282"/>
      <c r="F17" s="283" t="s">
        <v>699</v>
      </c>
      <c r="G17" s="284" t="s">
        <v>700</v>
      </c>
      <c r="H17" s="189" t="s">
        <v>701</v>
      </c>
    </row>
    <row r="18" spans="1:9" ht="15" customHeight="1">
      <c r="A18" s="2432"/>
      <c r="B18" s="282"/>
      <c r="F18" s="285" t="s">
        <v>702</v>
      </c>
      <c r="G18" s="286" t="s">
        <v>703</v>
      </c>
      <c r="H18" s="236" t="s">
        <v>704</v>
      </c>
    </row>
    <row r="19" spans="1:9" ht="15" customHeight="1">
      <c r="A19" s="2432"/>
      <c r="B19" s="282"/>
      <c r="F19" s="285" t="s">
        <v>705</v>
      </c>
      <c r="G19" s="286" t="s">
        <v>706</v>
      </c>
      <c r="H19" s="236" t="s">
        <v>707</v>
      </c>
    </row>
    <row r="20" spans="1:9" ht="15" customHeight="1">
      <c r="A20" s="2432"/>
      <c r="B20" s="282"/>
      <c r="F20" s="285" t="s">
        <v>708</v>
      </c>
      <c r="G20" s="286" t="s">
        <v>709</v>
      </c>
      <c r="H20" s="236" t="s">
        <v>710</v>
      </c>
    </row>
    <row r="21" spans="1:9" ht="15" customHeight="1">
      <c r="A21" s="2432"/>
      <c r="B21" s="282"/>
      <c r="F21" s="2467" t="s">
        <v>711</v>
      </c>
      <c r="G21" s="286" t="s">
        <v>712</v>
      </c>
      <c r="H21" s="236" t="s">
        <v>713</v>
      </c>
    </row>
    <row r="22" spans="1:9" ht="15" customHeight="1">
      <c r="A22" s="2432"/>
      <c r="B22" s="282"/>
      <c r="F22" s="2468"/>
      <c r="G22" s="286" t="s">
        <v>714</v>
      </c>
      <c r="H22" s="236" t="s">
        <v>715</v>
      </c>
    </row>
    <row r="23" spans="1:9" ht="15" customHeight="1">
      <c r="A23" s="2432"/>
      <c r="B23" s="282"/>
      <c r="F23" s="285" t="s">
        <v>716</v>
      </c>
      <c r="G23" s="286" t="s">
        <v>717</v>
      </c>
      <c r="H23" s="236" t="s">
        <v>718</v>
      </c>
    </row>
    <row r="24" spans="1:9" ht="15" customHeight="1">
      <c r="A24" s="2432"/>
      <c r="B24" s="282"/>
      <c r="F24" s="287" t="s">
        <v>719</v>
      </c>
      <c r="G24" s="288" t="s">
        <v>720</v>
      </c>
      <c r="H24" s="250" t="s">
        <v>721</v>
      </c>
    </row>
    <row r="25" spans="1:9" ht="15" customHeight="1">
      <c r="A25" s="2432"/>
      <c r="B25" s="282"/>
      <c r="C25" s="233"/>
      <c r="D25" s="65"/>
      <c r="E25" s="234"/>
      <c r="F25" s="289"/>
      <c r="G25" s="290"/>
      <c r="H25" s="290"/>
    </row>
    <row r="26" spans="1:9" ht="15" customHeight="1">
      <c r="A26" s="2432"/>
      <c r="B26" s="165" t="s">
        <v>722</v>
      </c>
      <c r="C26" s="291"/>
      <c r="D26" s="291"/>
      <c r="E26" s="291"/>
      <c r="F26" s="292"/>
      <c r="G26" s="293"/>
      <c r="H26" s="274"/>
      <c r="I26" s="294"/>
    </row>
    <row r="27" spans="1:9" ht="15" customHeight="1">
      <c r="A27" s="2432"/>
      <c r="B27" s="275" t="s">
        <v>1088</v>
      </c>
      <c r="C27" s="276">
        <f>C11</f>
        <v>4458.8621000000003</v>
      </c>
      <c r="D27" s="277">
        <v>0</v>
      </c>
      <c r="E27" s="278">
        <f>C27*D27</f>
        <v>0</v>
      </c>
      <c r="F27" s="57"/>
      <c r="G27" s="57"/>
      <c r="H27" s="57"/>
      <c r="I27" s="274"/>
    </row>
    <row r="28" spans="1:9" ht="15" customHeight="1">
      <c r="A28" s="2431" t="s">
        <v>723</v>
      </c>
      <c r="B28" s="279" t="s">
        <v>724</v>
      </c>
      <c r="C28" s="112"/>
      <c r="D28" s="112"/>
      <c r="E28" s="112"/>
      <c r="F28" s="57"/>
      <c r="G28" s="57"/>
      <c r="H28" s="57"/>
      <c r="I28" s="57"/>
    </row>
    <row r="29" spans="1:9" ht="15" customHeight="1">
      <c r="A29" s="2432"/>
      <c r="B29" s="165" t="s">
        <v>725</v>
      </c>
      <c r="C29" s="57"/>
      <c r="D29" s="57"/>
      <c r="E29" s="57"/>
      <c r="F29" s="57"/>
      <c r="G29" s="57"/>
      <c r="H29" s="57"/>
      <c r="I29" s="57"/>
    </row>
    <row r="30" spans="1:9" ht="15" customHeight="1">
      <c r="A30" s="2432"/>
      <c r="B30" s="165" t="s">
        <v>726</v>
      </c>
      <c r="C30" s="57"/>
      <c r="D30" s="57"/>
      <c r="E30" s="57"/>
      <c r="F30" s="57"/>
      <c r="G30" s="113"/>
      <c r="H30" s="67"/>
      <c r="I30" s="57"/>
    </row>
    <row r="31" spans="1:9" ht="15" customHeight="1">
      <c r="A31" s="2432"/>
      <c r="B31" s="165" t="s">
        <v>727</v>
      </c>
      <c r="C31" s="57"/>
      <c r="D31" s="57"/>
      <c r="E31" s="57"/>
      <c r="F31" s="57"/>
      <c r="G31" s="113"/>
      <c r="H31" s="67"/>
      <c r="I31" s="67"/>
    </row>
    <row r="32" spans="1:9" ht="15" customHeight="1">
      <c r="A32" s="2432"/>
      <c r="B32" s="165" t="s">
        <v>728</v>
      </c>
      <c r="C32" s="57"/>
      <c r="D32" s="57"/>
      <c r="E32" s="57"/>
      <c r="F32" s="57"/>
      <c r="G32" s="57"/>
      <c r="H32" s="57"/>
      <c r="I32" s="67"/>
    </row>
    <row r="33" spans="1:9" ht="15" customHeight="1">
      <c r="A33" s="2433"/>
      <c r="B33" s="270" t="s">
        <v>729</v>
      </c>
      <c r="C33" s="114"/>
      <c r="D33" s="114" t="s">
        <v>730</v>
      </c>
      <c r="E33" s="295">
        <v>0</v>
      </c>
      <c r="F33" s="57"/>
      <c r="G33" s="57"/>
      <c r="H33" s="57"/>
      <c r="I33" s="57"/>
    </row>
    <row r="34" spans="1:9" ht="15" customHeight="1">
      <c r="A34" s="2431" t="s">
        <v>731</v>
      </c>
      <c r="B34" s="279" t="s">
        <v>732</v>
      </c>
      <c r="C34" s="112"/>
      <c r="D34" s="112"/>
      <c r="E34" s="112"/>
      <c r="F34" s="57"/>
      <c r="G34" s="57"/>
      <c r="H34" s="57"/>
      <c r="I34" s="57"/>
    </row>
    <row r="35" spans="1:9" ht="15" customHeight="1">
      <c r="A35" s="2432"/>
      <c r="B35" s="165" t="s">
        <v>1089</v>
      </c>
      <c r="C35" s="57"/>
      <c r="D35" s="57"/>
      <c r="E35" s="57"/>
      <c r="F35" s="122"/>
      <c r="G35" s="122"/>
      <c r="H35" s="122"/>
      <c r="I35" s="57"/>
    </row>
    <row r="36" spans="1:9" ht="15" customHeight="1">
      <c r="A36" s="2432"/>
      <c r="B36" s="165" t="s">
        <v>733</v>
      </c>
      <c r="C36" s="122"/>
      <c r="D36" s="122"/>
      <c r="E36" s="122"/>
      <c r="F36" s="296"/>
      <c r="G36" s="296"/>
      <c r="H36" s="274"/>
      <c r="I36" s="122"/>
    </row>
    <row r="37" spans="1:9" ht="15" customHeight="1">
      <c r="A37" s="2433"/>
      <c r="B37" s="297" t="s">
        <v>734</v>
      </c>
      <c r="C37" s="271">
        <f>C15</f>
        <v>808.52200000000005</v>
      </c>
      <c r="D37" s="272">
        <v>0</v>
      </c>
      <c r="E37" s="280">
        <f>C37*D37</f>
        <v>0</v>
      </c>
      <c r="I37" s="274"/>
    </row>
    <row r="38" spans="1:9" ht="15" customHeight="1">
      <c r="A38" s="58"/>
      <c r="I38" s="57"/>
    </row>
    <row r="39" spans="1:9" ht="15" customHeight="1">
      <c r="A39" s="58"/>
      <c r="I39" s="57"/>
    </row>
    <row r="40" spans="1:9" ht="15" customHeight="1">
      <c r="A40" s="58"/>
      <c r="I40" s="291"/>
    </row>
    <row r="41" spans="1:9" ht="15" customHeight="1">
      <c r="A41" s="58"/>
      <c r="I41" s="291"/>
    </row>
    <row r="42" spans="1:9" ht="15" customHeight="1">
      <c r="A42" s="58"/>
      <c r="I42" s="291"/>
    </row>
    <row r="43" spans="1:9" ht="15" customHeight="1">
      <c r="A43" s="58"/>
      <c r="I43" s="291"/>
    </row>
    <row r="44" spans="1:9" ht="15" customHeight="1">
      <c r="A44" s="58"/>
      <c r="I44" s="57"/>
    </row>
    <row r="45" spans="1:9" ht="15" customHeight="1">
      <c r="A45" s="58"/>
      <c r="I45" s="298"/>
    </row>
  </sheetData>
  <sheetProtection algorithmName="SHA-512" hashValue="soakMqgA9NBYXoNNRaHSfET2K53+lx04CYeYSIjky+ekZCUiR6251T1BPgKFoNaE0c7Mgi3IJquZLgebfivfgg==" saltValue="jtoJTorpUhM9liRTbrz44A==" spinCount="100000" sheet="1" objects="1" scenarios="1"/>
  <mergeCells count="8">
    <mergeCell ref="F21:F22"/>
    <mergeCell ref="A28:A33"/>
    <mergeCell ref="A34:A37"/>
    <mergeCell ref="A2:E2"/>
    <mergeCell ref="A4:A7"/>
    <mergeCell ref="A8:A11"/>
    <mergeCell ref="A12:A15"/>
    <mergeCell ref="A16:A27"/>
  </mergeCells>
  <phoneticPr fontId="4" type="noConversion"/>
  <pageMargins left="0.7" right="0.7" top="0.75" bottom="0.75" header="0.3" footer="0.3"/>
  <pageSetup paperSize="9" scale="66" orientation="portrait" horizontalDpi="300" verticalDpi="3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2"/>
  <dimension ref="A1:Q91"/>
  <sheetViews>
    <sheetView workbookViewId="0">
      <selection activeCell="N10" activeCellId="8" sqref="C2:O4 A6:D6 C7 C8:D9 C10:D11 G6:I9 L8:X11 M6:X6 N10:X10"/>
    </sheetView>
  </sheetViews>
  <sheetFormatPr defaultColWidth="9" defaultRowHeight="10.8"/>
  <cols>
    <col min="1" max="1" width="11.19921875" style="58" bestFit="1" customWidth="1"/>
    <col min="2" max="2" width="84.69921875" style="58" bestFit="1" customWidth="1"/>
    <col min="3" max="3" width="12.09765625" style="58" bestFit="1" customWidth="1"/>
    <col min="4" max="4" width="22" style="58" bestFit="1" customWidth="1"/>
    <col min="5" max="5" width="16.09765625" style="58" bestFit="1" customWidth="1"/>
    <col min="6" max="6" width="24.5" style="58" bestFit="1" customWidth="1"/>
    <col min="7" max="8" width="9.09765625" style="58" bestFit="1" customWidth="1"/>
    <col min="9" max="9" width="22.69921875" style="58" bestFit="1" customWidth="1"/>
    <col min="10" max="10" width="28.69921875" style="58" bestFit="1" customWidth="1"/>
    <col min="11" max="11" width="17.69921875" style="58" bestFit="1" customWidth="1"/>
    <col min="12" max="12" width="11.09765625" style="58" bestFit="1" customWidth="1"/>
    <col min="13" max="13" width="9.8984375" style="58" bestFit="1" customWidth="1"/>
    <col min="14" max="14" width="10.09765625" style="58" customWidth="1"/>
    <col min="15" max="15" width="16" style="58" bestFit="1" customWidth="1"/>
    <col min="16" max="16" width="10.09765625" style="58" customWidth="1"/>
    <col min="17" max="16384" width="9" style="58"/>
  </cols>
  <sheetData>
    <row r="1" spans="1:15" ht="15" customHeight="1">
      <c r="A1" s="158"/>
    </row>
    <row r="2" spans="1:15" ht="15" customHeight="1">
      <c r="A2" s="2445" t="s">
        <v>735</v>
      </c>
      <c r="B2" s="2445"/>
      <c r="C2" s="2445"/>
      <c r="D2" s="2445"/>
      <c r="E2" s="2445"/>
      <c r="F2" s="2445"/>
      <c r="G2" s="2445"/>
      <c r="H2" s="2445"/>
      <c r="I2" s="2445"/>
    </row>
    <row r="3" spans="1:15" ht="15" customHeight="1" thickBot="1">
      <c r="A3" s="158"/>
    </row>
    <row r="4" spans="1:15" ht="15" customHeight="1" thickTop="1">
      <c r="A4" s="2446" t="s">
        <v>736</v>
      </c>
      <c r="B4" s="98" t="s">
        <v>737</v>
      </c>
      <c r="C4" s="57"/>
      <c r="D4" s="57"/>
      <c r="K4" s="58" t="s">
        <v>738</v>
      </c>
    </row>
    <row r="5" spans="1:15" ht="15" customHeight="1">
      <c r="A5" s="2432"/>
      <c r="B5" s="57" t="s">
        <v>739</v>
      </c>
      <c r="C5" s="57"/>
      <c r="D5" s="57"/>
      <c r="K5" s="2471" t="s">
        <v>740</v>
      </c>
      <c r="L5" s="2456" t="s">
        <v>741</v>
      </c>
      <c r="M5" s="2456"/>
      <c r="N5" s="2484" t="s">
        <v>742</v>
      </c>
      <c r="O5" s="2485"/>
    </row>
    <row r="6" spans="1:15" ht="15" customHeight="1">
      <c r="A6" s="2432"/>
      <c r="B6" s="57" t="s">
        <v>743</v>
      </c>
      <c r="K6" s="2472"/>
      <c r="L6" s="299" t="s">
        <v>744</v>
      </c>
      <c r="M6" s="299" t="s">
        <v>745</v>
      </c>
      <c r="N6" s="2486"/>
      <c r="O6" s="2487"/>
    </row>
    <row r="7" spans="1:15" ht="15" customHeight="1">
      <c r="A7" s="2432"/>
      <c r="B7" s="2476" t="s">
        <v>746</v>
      </c>
      <c r="K7" s="300" t="s">
        <v>747</v>
      </c>
      <c r="L7" s="300">
        <v>150000</v>
      </c>
      <c r="M7" s="299"/>
      <c r="N7" s="2488" t="s">
        <v>748</v>
      </c>
      <c r="O7" s="2489"/>
    </row>
    <row r="8" spans="1:15" ht="15" customHeight="1">
      <c r="A8" s="2432"/>
      <c r="B8" s="2476"/>
      <c r="K8" s="300" t="s">
        <v>749</v>
      </c>
      <c r="L8" s="300">
        <v>95000</v>
      </c>
      <c r="M8" s="299">
        <v>1.1000000000000001E-3</v>
      </c>
      <c r="N8" s="2488" t="s">
        <v>750</v>
      </c>
      <c r="O8" s="2489"/>
    </row>
    <row r="9" spans="1:15" ht="15" customHeight="1">
      <c r="A9" s="2432"/>
      <c r="B9" s="2476"/>
      <c r="K9" s="300" t="s">
        <v>751</v>
      </c>
      <c r="L9" s="300">
        <v>195000</v>
      </c>
      <c r="M9" s="299">
        <v>8.9999999999999998E-4</v>
      </c>
      <c r="N9" s="2488" t="s">
        <v>752</v>
      </c>
      <c r="O9" s="2489"/>
    </row>
    <row r="10" spans="1:15" ht="15" customHeight="1">
      <c r="A10" s="2432"/>
      <c r="B10" s="2476"/>
      <c r="C10" s="57"/>
      <c r="D10" s="57"/>
      <c r="E10" s="57"/>
      <c r="F10" s="57"/>
      <c r="G10" s="57"/>
      <c r="H10" s="57"/>
      <c r="I10" s="57"/>
      <c r="J10" s="57"/>
      <c r="K10" s="300" t="s">
        <v>753</v>
      </c>
      <c r="L10" s="300">
        <v>295000</v>
      </c>
      <c r="M10" s="299">
        <v>8.0000000000000004E-4</v>
      </c>
      <c r="N10" s="2488" t="s">
        <v>754</v>
      </c>
      <c r="O10" s="2489"/>
    </row>
    <row r="11" spans="1:15" ht="15" customHeight="1">
      <c r="A11" s="2432"/>
      <c r="B11" s="2476"/>
      <c r="C11" s="57"/>
      <c r="D11" s="57"/>
      <c r="E11" s="57"/>
      <c r="F11" s="57"/>
      <c r="G11" s="57"/>
      <c r="H11" s="298"/>
      <c r="I11" s="298"/>
      <c r="J11" s="298"/>
      <c r="K11" s="301" t="s">
        <v>755</v>
      </c>
      <c r="L11" s="301">
        <v>795000</v>
      </c>
      <c r="M11" s="299">
        <v>6.9999999999999999E-4</v>
      </c>
      <c r="N11" s="2490"/>
      <c r="O11" s="2491"/>
    </row>
    <row r="12" spans="1:15" ht="15" customHeight="1">
      <c r="A12" s="2432"/>
      <c r="B12" s="2476"/>
      <c r="C12" s="57"/>
      <c r="D12" s="57"/>
      <c r="E12" s="57"/>
      <c r="F12" s="57"/>
      <c r="G12" s="57"/>
      <c r="H12" s="298"/>
      <c r="I12" s="298"/>
      <c r="J12" s="298"/>
      <c r="K12" s="301" t="s">
        <v>756</v>
      </c>
      <c r="L12" s="301">
        <v>1795000</v>
      </c>
      <c r="M12" s="299">
        <v>5.9999999999999995E-4</v>
      </c>
      <c r="N12" s="2490"/>
      <c r="O12" s="2491"/>
    </row>
    <row r="13" spans="1:15" ht="15" customHeight="1">
      <c r="A13" s="2432"/>
      <c r="B13" s="2476"/>
      <c r="C13" s="65" t="s">
        <v>757</v>
      </c>
      <c r="D13" s="65" t="s">
        <v>758</v>
      </c>
      <c r="E13" s="65" t="s">
        <v>759</v>
      </c>
      <c r="F13" s="65"/>
      <c r="G13" s="65"/>
      <c r="H13" s="302"/>
      <c r="I13" s="302" t="s">
        <v>760</v>
      </c>
      <c r="J13" s="298"/>
      <c r="K13" s="301" t="s">
        <v>761</v>
      </c>
      <c r="L13" s="301">
        <v>6795000</v>
      </c>
      <c r="M13" s="299">
        <v>5.0000000000000001E-4</v>
      </c>
      <c r="N13" s="2490"/>
      <c r="O13" s="2491"/>
    </row>
    <row r="14" spans="1:15" ht="15" customHeight="1">
      <c r="A14" s="2432"/>
      <c r="B14" s="2476"/>
      <c r="C14" s="303">
        <f>D18</f>
        <v>12103000</v>
      </c>
      <c r="D14" s="304">
        <v>0</v>
      </c>
      <c r="E14" s="305">
        <f>M12</f>
        <v>5.9999999999999995E-4</v>
      </c>
      <c r="F14" s="158"/>
      <c r="G14" s="158"/>
      <c r="H14" s="158"/>
      <c r="I14" s="306">
        <f>D14+C14*E14</f>
        <v>7261.7999999999993</v>
      </c>
      <c r="K14" s="307" t="s">
        <v>762</v>
      </c>
      <c r="L14" s="307">
        <v>16795000</v>
      </c>
      <c r="M14" s="308">
        <v>4.0000000000000002E-4</v>
      </c>
      <c r="N14" s="2492"/>
      <c r="O14" s="2493"/>
    </row>
    <row r="15" spans="1:15" ht="15" customHeight="1">
      <c r="A15" s="2470" t="s">
        <v>763</v>
      </c>
      <c r="B15" s="112" t="s">
        <v>764</v>
      </c>
      <c r="K15" s="2482" t="s">
        <v>765</v>
      </c>
      <c r="L15" s="2482"/>
      <c r="M15" s="2482"/>
    </row>
    <row r="16" spans="1:15" ht="15" customHeight="1">
      <c r="A16" s="2447"/>
      <c r="B16" s="2476" t="s">
        <v>766</v>
      </c>
      <c r="C16" s="158" t="s">
        <v>767</v>
      </c>
      <c r="D16" s="158" t="s">
        <v>768</v>
      </c>
      <c r="E16" s="158" t="s">
        <v>769</v>
      </c>
      <c r="F16" s="158" t="s">
        <v>770</v>
      </c>
      <c r="G16" s="158" t="s">
        <v>771</v>
      </c>
      <c r="H16" s="158" t="s">
        <v>772</v>
      </c>
      <c r="I16" s="158" t="s">
        <v>773</v>
      </c>
      <c r="J16" s="158" t="s">
        <v>774</v>
      </c>
      <c r="K16" s="309">
        <v>50000</v>
      </c>
      <c r="L16" s="310">
        <v>0</v>
      </c>
      <c r="M16" s="311">
        <v>1E-3</v>
      </c>
    </row>
    <row r="17" spans="1:13" ht="15" customHeight="1">
      <c r="A17" s="2447"/>
      <c r="B17" s="2476"/>
      <c r="C17" s="158" t="s">
        <v>775</v>
      </c>
      <c r="D17" s="303">
        <v>6762184</v>
      </c>
      <c r="E17" s="304">
        <v>1185</v>
      </c>
      <c r="F17" s="312">
        <v>4.0000000000000002E-4</v>
      </c>
      <c r="G17" s="304">
        <f>(D17-K21)*F17</f>
        <v>1904.8736000000001</v>
      </c>
      <c r="H17" s="303">
        <f>G17*0.3</f>
        <v>571.46208000000001</v>
      </c>
      <c r="I17" s="303">
        <f>H17+E17</f>
        <v>1756.46208</v>
      </c>
      <c r="J17" s="158"/>
      <c r="K17" s="313">
        <v>100000</v>
      </c>
      <c r="L17" s="314">
        <v>40</v>
      </c>
      <c r="M17" s="315">
        <v>8.9999999999999998E-4</v>
      </c>
    </row>
    <row r="18" spans="1:13" ht="15" customHeight="1">
      <c r="A18" s="2447"/>
      <c r="B18" s="2476"/>
      <c r="C18" s="158" t="s">
        <v>776</v>
      </c>
      <c r="D18" s="303">
        <v>12103000</v>
      </c>
      <c r="E18" s="304">
        <v>1185</v>
      </c>
      <c r="F18" s="312">
        <v>4.0000000000000002E-4</v>
      </c>
      <c r="G18" s="304">
        <f>(D18-K21)*F18</f>
        <v>4041.2000000000003</v>
      </c>
      <c r="H18" s="303">
        <f>G18*0.3</f>
        <v>1212.3600000000001</v>
      </c>
      <c r="I18" s="303">
        <f>H18+E18</f>
        <v>2397.36</v>
      </c>
      <c r="J18" s="158" t="s">
        <v>777</v>
      </c>
      <c r="K18" s="313">
        <v>300000</v>
      </c>
      <c r="L18" s="314">
        <v>85</v>
      </c>
      <c r="M18" s="315">
        <v>8.0000000000000004E-4</v>
      </c>
    </row>
    <row r="19" spans="1:13" ht="15" customHeight="1">
      <c r="A19" s="2447"/>
      <c r="B19" s="2476"/>
      <c r="C19" s="158" t="s">
        <v>778</v>
      </c>
      <c r="D19" s="303">
        <v>903591.09749999992</v>
      </c>
      <c r="E19" s="304">
        <v>1185</v>
      </c>
      <c r="F19" s="312">
        <v>4.0000000000000002E-4</v>
      </c>
      <c r="G19" s="304">
        <f>(D19-K21)*F19</f>
        <v>-438.56356100000005</v>
      </c>
      <c r="H19" s="303">
        <f>G19*0.3</f>
        <v>-131.5690683</v>
      </c>
      <c r="I19" s="303">
        <f>H19+E19</f>
        <v>1053.4309317</v>
      </c>
      <c r="J19" s="158"/>
      <c r="K19" s="313">
        <v>500000</v>
      </c>
      <c r="L19" s="314">
        <v>245</v>
      </c>
      <c r="M19" s="315">
        <v>6.9999999999999999E-4</v>
      </c>
    </row>
    <row r="20" spans="1:13" ht="15" customHeight="1">
      <c r="A20" s="2447"/>
      <c r="B20" s="2476"/>
      <c r="C20" s="158" t="s">
        <v>779</v>
      </c>
      <c r="D20" s="303">
        <v>0</v>
      </c>
      <c r="E20" s="304">
        <v>0</v>
      </c>
      <c r="F20" s="312">
        <v>0</v>
      </c>
      <c r="G20" s="304">
        <f>(D20-K21)*F20</f>
        <v>0</v>
      </c>
      <c r="H20" s="303">
        <f>G20*0.3</f>
        <v>0</v>
      </c>
      <c r="I20" s="303">
        <f>H20+E20</f>
        <v>0</v>
      </c>
      <c r="J20" s="158" t="s">
        <v>780</v>
      </c>
      <c r="K20" s="313">
        <v>1000000</v>
      </c>
      <c r="L20" s="314">
        <v>385</v>
      </c>
      <c r="M20" s="315">
        <v>5.9999999999999995E-4</v>
      </c>
    </row>
    <row r="21" spans="1:13" ht="15" customHeight="1">
      <c r="A21" s="2448"/>
      <c r="B21" s="2477"/>
      <c r="C21" s="158"/>
      <c r="D21" s="158"/>
      <c r="E21" s="158"/>
      <c r="F21" s="2483" t="s">
        <v>781</v>
      </c>
      <c r="G21" s="2483"/>
      <c r="H21" s="2483"/>
      <c r="I21" s="306">
        <f>SUM(I17:I20)</f>
        <v>5207.2530116999997</v>
      </c>
      <c r="J21" s="158"/>
      <c r="K21" s="313">
        <v>2000000</v>
      </c>
      <c r="L21" s="314">
        <v>685</v>
      </c>
      <c r="M21" s="315">
        <v>5.0000000000000001E-4</v>
      </c>
    </row>
    <row r="22" spans="1:13" ht="15" customHeight="1">
      <c r="A22" s="2470" t="s">
        <v>782</v>
      </c>
      <c r="B22" s="112" t="s">
        <v>783</v>
      </c>
      <c r="C22" s="57"/>
      <c r="D22" s="57"/>
      <c r="E22" s="57"/>
      <c r="F22" s="57"/>
      <c r="G22" s="57"/>
      <c r="H22" s="57"/>
      <c r="I22" s="57"/>
      <c r="J22" s="57"/>
      <c r="K22" s="313">
        <v>20000000</v>
      </c>
      <c r="L22" s="314">
        <v>1185</v>
      </c>
      <c r="M22" s="315">
        <v>4.0000000000000002E-4</v>
      </c>
    </row>
    <row r="23" spans="1:13" ht="15" customHeight="1">
      <c r="A23" s="2447"/>
      <c r="B23" s="57" t="s">
        <v>784</v>
      </c>
      <c r="C23" s="233"/>
      <c r="D23" s="65"/>
      <c r="E23" s="234"/>
      <c r="F23" s="234"/>
      <c r="G23" s="235"/>
      <c r="H23" s="234"/>
      <c r="I23" s="234"/>
      <c r="J23" s="235"/>
      <c r="K23" s="316"/>
      <c r="L23" s="316"/>
      <c r="M23" s="316"/>
    </row>
    <row r="24" spans="1:13" ht="15" customHeight="1">
      <c r="A24" s="2447"/>
      <c r="B24" s="57" t="s">
        <v>785</v>
      </c>
      <c r="C24" s="57"/>
      <c r="D24" s="57"/>
      <c r="E24" s="57"/>
      <c r="F24" s="57"/>
      <c r="G24" s="57"/>
      <c r="H24" s="57"/>
      <c r="I24" s="57"/>
      <c r="J24" s="57"/>
      <c r="K24" s="235"/>
      <c r="L24" s="57"/>
      <c r="M24" s="57"/>
    </row>
    <row r="25" spans="1:13" ht="15" customHeight="1">
      <c r="A25" s="2447"/>
      <c r="B25" s="57" t="s">
        <v>786</v>
      </c>
      <c r="C25" s="57"/>
      <c r="D25" s="57"/>
      <c r="E25" s="57"/>
      <c r="F25" s="57"/>
      <c r="G25" s="57"/>
      <c r="H25" s="57"/>
      <c r="I25" s="57"/>
      <c r="J25" s="57"/>
      <c r="K25" s="57"/>
      <c r="L25" s="57"/>
      <c r="M25" s="57"/>
    </row>
    <row r="26" spans="1:13" ht="15" customHeight="1">
      <c r="A26" s="2447"/>
      <c r="B26" s="57" t="s">
        <v>787</v>
      </c>
      <c r="C26" s="57"/>
      <c r="D26" s="57"/>
      <c r="E26" s="57"/>
      <c r="F26" s="57"/>
      <c r="G26" s="57"/>
      <c r="H26" s="57"/>
      <c r="I26" s="57"/>
      <c r="J26" s="57"/>
      <c r="K26" s="57"/>
      <c r="L26" s="57"/>
      <c r="M26" s="57"/>
    </row>
    <row r="27" spans="1:13" ht="15" customHeight="1">
      <c r="A27" s="2447"/>
      <c r="B27" s="57" t="s">
        <v>788</v>
      </c>
      <c r="C27" s="57"/>
      <c r="D27" s="57"/>
      <c r="E27" s="57"/>
      <c r="F27" s="57"/>
      <c r="G27" s="57"/>
      <c r="H27" s="57"/>
      <c r="I27" s="57"/>
      <c r="J27" s="57"/>
      <c r="K27" s="57"/>
      <c r="L27" s="57"/>
      <c r="M27" s="57"/>
    </row>
    <row r="28" spans="1:13" ht="15" customHeight="1">
      <c r="A28" s="2447"/>
      <c r="B28" s="57" t="s">
        <v>789</v>
      </c>
      <c r="C28" s="57"/>
      <c r="D28" s="57"/>
      <c r="E28" s="57"/>
      <c r="F28" s="57"/>
      <c r="G28" s="57"/>
      <c r="H28" s="57"/>
      <c r="I28" s="57"/>
      <c r="J28" s="57"/>
      <c r="K28" s="57"/>
      <c r="L28" s="57"/>
      <c r="M28" s="57"/>
    </row>
    <row r="29" spans="1:13" ht="15" customHeight="1">
      <c r="A29" s="2447"/>
      <c r="B29" s="57" t="s">
        <v>790</v>
      </c>
      <c r="C29" s="57"/>
      <c r="D29" s="57"/>
      <c r="E29" s="57"/>
      <c r="F29" s="57"/>
      <c r="G29" s="57"/>
      <c r="H29" s="57"/>
      <c r="I29" s="57"/>
      <c r="J29" s="57"/>
      <c r="K29" s="57"/>
      <c r="L29" s="57"/>
      <c r="M29" s="57"/>
    </row>
    <row r="30" spans="1:13" ht="15" customHeight="1">
      <c r="A30" s="2447"/>
      <c r="B30" s="57" t="s">
        <v>791</v>
      </c>
      <c r="K30" s="57"/>
      <c r="L30" s="57"/>
      <c r="M30" s="57"/>
    </row>
    <row r="31" spans="1:13" ht="15" customHeight="1">
      <c r="A31" s="2447"/>
      <c r="B31" s="57" t="s">
        <v>792</v>
      </c>
      <c r="C31" s="158" t="s">
        <v>793</v>
      </c>
      <c r="D31" s="158"/>
      <c r="E31" s="158" t="s">
        <v>759</v>
      </c>
      <c r="F31" s="158" t="s">
        <v>793</v>
      </c>
      <c r="G31" s="158" t="s">
        <v>759</v>
      </c>
      <c r="H31" s="158"/>
      <c r="I31" s="158" t="s">
        <v>794</v>
      </c>
    </row>
    <row r="32" spans="1:13" ht="15" customHeight="1">
      <c r="A32" s="2447"/>
      <c r="B32" s="317" t="s">
        <v>795</v>
      </c>
      <c r="C32" s="318">
        <v>0</v>
      </c>
      <c r="D32" s="158" t="s">
        <v>796</v>
      </c>
      <c r="E32" s="312">
        <v>3.0000000000000001E-3</v>
      </c>
      <c r="F32" s="158"/>
      <c r="G32" s="158"/>
      <c r="H32" s="158"/>
      <c r="I32" s="319">
        <f>C32*E32</f>
        <v>0</v>
      </c>
    </row>
    <row r="33" spans="1:17" ht="15" customHeight="1">
      <c r="A33" s="2447"/>
      <c r="B33" s="317" t="s">
        <v>797</v>
      </c>
      <c r="C33" s="318">
        <v>57091511.846249998</v>
      </c>
      <c r="D33" s="158" t="s">
        <v>798</v>
      </c>
      <c r="E33" s="312">
        <v>7.0000000000000001E-3</v>
      </c>
      <c r="F33" s="158"/>
      <c r="G33" s="158"/>
      <c r="H33" s="158"/>
      <c r="I33" s="319">
        <f>C33*E33</f>
        <v>399640.58292374999</v>
      </c>
    </row>
    <row r="34" spans="1:17" ht="15" customHeight="1">
      <c r="A34" s="2448"/>
      <c r="B34" s="114" t="s">
        <v>799</v>
      </c>
      <c r="C34" s="318">
        <v>21090652.072999999</v>
      </c>
      <c r="D34" s="158" t="s">
        <v>800</v>
      </c>
      <c r="E34" s="312">
        <v>0.03</v>
      </c>
      <c r="F34" s="318">
        <f>C33</f>
        <v>57091511.846249998</v>
      </c>
      <c r="G34" s="320">
        <v>0.01</v>
      </c>
      <c r="H34" s="158"/>
      <c r="I34" s="319">
        <v>1500000</v>
      </c>
    </row>
    <row r="35" spans="1:17" ht="15" customHeight="1">
      <c r="A35" s="2447" t="s">
        <v>801</v>
      </c>
      <c r="B35" s="57" t="s">
        <v>802</v>
      </c>
      <c r="C35" s="57"/>
      <c r="D35" s="57"/>
      <c r="E35" s="57"/>
      <c r="F35" s="57"/>
      <c r="G35" s="57"/>
      <c r="H35" s="57"/>
      <c r="K35" s="58" t="s">
        <v>803</v>
      </c>
    </row>
    <row r="36" spans="1:17" ht="15" customHeight="1">
      <c r="A36" s="2447"/>
      <c r="B36" s="58" t="s">
        <v>804</v>
      </c>
      <c r="K36" s="189" t="s">
        <v>805</v>
      </c>
      <c r="L36" s="321">
        <v>1280976</v>
      </c>
      <c r="M36" s="322" t="s">
        <v>806</v>
      </c>
      <c r="N36" s="322"/>
      <c r="O36" s="322"/>
      <c r="P36" s="188"/>
      <c r="Q36" s="65"/>
    </row>
    <row r="37" spans="1:17" ht="15" customHeight="1">
      <c r="A37" s="2447"/>
      <c r="B37" s="58" t="s">
        <v>807</v>
      </c>
      <c r="K37" s="299" t="s">
        <v>808</v>
      </c>
      <c r="L37" s="2474" t="s">
        <v>809</v>
      </c>
      <c r="M37" s="2475"/>
      <c r="N37" s="323"/>
      <c r="O37" s="323"/>
      <c r="P37" s="324"/>
    </row>
    <row r="38" spans="1:17" ht="15" customHeight="1">
      <c r="A38" s="2447"/>
      <c r="B38" s="2476" t="s">
        <v>810</v>
      </c>
      <c r="I38" s="325">
        <f>L36</f>
        <v>1280976</v>
      </c>
      <c r="K38" s="299" t="s">
        <v>811</v>
      </c>
      <c r="L38" s="326">
        <f>I20</f>
        <v>0</v>
      </c>
      <c r="M38" s="323" t="s">
        <v>812</v>
      </c>
      <c r="N38" s="323"/>
      <c r="O38" s="323"/>
      <c r="P38" s="324"/>
    </row>
    <row r="39" spans="1:17" ht="15" customHeight="1">
      <c r="A39" s="2447"/>
      <c r="B39" s="2476"/>
      <c r="K39" s="299" t="s">
        <v>813</v>
      </c>
      <c r="L39" s="326">
        <f>L36*N39</f>
        <v>5123.9040000000005</v>
      </c>
      <c r="M39" s="323" t="s">
        <v>814</v>
      </c>
      <c r="N39" s="327">
        <f>4/1000</f>
        <v>4.0000000000000001E-3</v>
      </c>
      <c r="O39" s="323"/>
      <c r="P39" s="324"/>
    </row>
    <row r="40" spans="1:17" ht="15" customHeight="1">
      <c r="A40" s="2447"/>
      <c r="B40" s="2476"/>
      <c r="K40" s="299" t="s">
        <v>815</v>
      </c>
      <c r="L40" s="326">
        <f>L39*N40</f>
        <v>1024.7808000000002</v>
      </c>
      <c r="M40" s="323" t="s">
        <v>816</v>
      </c>
      <c r="N40" s="328">
        <v>0.2</v>
      </c>
      <c r="O40" s="323"/>
      <c r="P40" s="324"/>
    </row>
    <row r="41" spans="1:17" ht="15" customHeight="1">
      <c r="A41" s="2447"/>
      <c r="B41" s="2476"/>
      <c r="K41" s="299" t="s">
        <v>817</v>
      </c>
      <c r="L41" s="326">
        <v>200</v>
      </c>
      <c r="M41" s="323"/>
      <c r="N41" s="323"/>
      <c r="O41" s="323"/>
      <c r="P41" s="324"/>
    </row>
    <row r="42" spans="1:17" ht="15" customHeight="1">
      <c r="A42" s="2447"/>
      <c r="B42" s="2476"/>
      <c r="K42" s="299" t="s">
        <v>818</v>
      </c>
      <c r="L42" s="326">
        <f>L36*N42*P42</f>
        <v>230.57568000000001</v>
      </c>
      <c r="M42" s="323" t="s">
        <v>819</v>
      </c>
      <c r="N42" s="329">
        <v>1E-3</v>
      </c>
      <c r="O42" s="323" t="s">
        <v>820</v>
      </c>
      <c r="P42" s="330">
        <v>0.18</v>
      </c>
    </row>
    <row r="43" spans="1:17" ht="15" customHeight="1">
      <c r="A43" s="2447"/>
      <c r="B43" s="2476"/>
      <c r="K43" s="299" t="s">
        <v>821</v>
      </c>
      <c r="L43" s="326">
        <v>100</v>
      </c>
      <c r="M43" s="323"/>
      <c r="N43" s="323"/>
      <c r="O43" s="323"/>
      <c r="P43" s="324"/>
    </row>
    <row r="44" spans="1:17" ht="15" customHeight="1">
      <c r="A44" s="2448"/>
      <c r="B44" s="2477"/>
      <c r="K44" s="308" t="s">
        <v>822</v>
      </c>
      <c r="L44" s="331">
        <f>SUM(L38:L43)</f>
        <v>6679.2604800000008</v>
      </c>
      <c r="M44" s="332"/>
      <c r="N44" s="332"/>
      <c r="O44" s="332"/>
      <c r="P44" s="333"/>
    </row>
    <row r="45" spans="1:17" ht="15" customHeight="1" thickBot="1">
      <c r="A45" s="57"/>
    </row>
    <row r="46" spans="1:17" ht="15" customHeight="1" thickTop="1">
      <c r="A46" s="2478" t="s">
        <v>823</v>
      </c>
      <c r="B46" s="159" t="s">
        <v>824</v>
      </c>
    </row>
    <row r="47" spans="1:17" ht="15" customHeight="1">
      <c r="A47" s="2436"/>
      <c r="B47" s="165" t="s">
        <v>825</v>
      </c>
    </row>
    <row r="48" spans="1:17" ht="15" customHeight="1">
      <c r="A48" s="2436"/>
      <c r="B48" s="165" t="s">
        <v>826</v>
      </c>
    </row>
    <row r="49" spans="1:16" ht="15" customHeight="1">
      <c r="A49" s="2436"/>
      <c r="B49" s="165" t="s">
        <v>827</v>
      </c>
    </row>
    <row r="50" spans="1:16" ht="15" customHeight="1">
      <c r="A50" s="2436"/>
      <c r="B50" s="165" t="s">
        <v>828</v>
      </c>
    </row>
    <row r="51" spans="1:16" ht="15" customHeight="1">
      <c r="A51" s="2436"/>
      <c r="B51" s="2479" t="s">
        <v>829</v>
      </c>
      <c r="C51" s="158" t="s">
        <v>830</v>
      </c>
      <c r="D51" s="158" t="s">
        <v>831</v>
      </c>
      <c r="E51" s="158" t="s">
        <v>832</v>
      </c>
      <c r="F51" s="158" t="s">
        <v>833</v>
      </c>
      <c r="G51" s="158"/>
      <c r="H51" s="158"/>
      <c r="I51" s="158"/>
      <c r="K51" s="58" t="s">
        <v>834</v>
      </c>
      <c r="O51" s="2457" t="s">
        <v>835</v>
      </c>
      <c r="P51" s="2457"/>
    </row>
    <row r="52" spans="1:16" ht="15" customHeight="1">
      <c r="A52" s="2436"/>
      <c r="B52" s="2480"/>
      <c r="C52" s="334">
        <v>2672.8</v>
      </c>
      <c r="D52" s="303">
        <v>0</v>
      </c>
      <c r="E52" s="335" t="s">
        <v>836</v>
      </c>
      <c r="F52" s="320">
        <v>0.1</v>
      </c>
      <c r="G52" s="158"/>
      <c r="H52" s="158"/>
      <c r="I52" s="306">
        <v>24343.862400000002</v>
      </c>
      <c r="K52" s="2456" t="s">
        <v>837</v>
      </c>
      <c r="L52" s="2456" t="s">
        <v>838</v>
      </c>
      <c r="M52" s="2456"/>
      <c r="O52" s="207" t="s">
        <v>839</v>
      </c>
      <c r="P52" s="336">
        <v>0.3</v>
      </c>
    </row>
    <row r="53" spans="1:16" ht="15" customHeight="1">
      <c r="A53" s="2436"/>
      <c r="B53" s="2480" t="s">
        <v>840</v>
      </c>
      <c r="C53" s="158" t="s">
        <v>841</v>
      </c>
      <c r="E53" s="158" t="s">
        <v>842</v>
      </c>
      <c r="F53" s="158" t="s">
        <v>843</v>
      </c>
      <c r="G53" s="158"/>
      <c r="H53" s="158"/>
      <c r="I53" s="158"/>
      <c r="K53" s="2473"/>
      <c r="L53" s="299" t="s">
        <v>844</v>
      </c>
      <c r="M53" s="299" t="s">
        <v>845</v>
      </c>
      <c r="O53" s="337" t="s">
        <v>846</v>
      </c>
      <c r="P53" s="338">
        <v>1</v>
      </c>
    </row>
    <row r="54" spans="1:16" ht="15" customHeight="1">
      <c r="A54" s="2436"/>
      <c r="B54" s="2480"/>
      <c r="C54" s="334">
        <v>13261.1675</v>
      </c>
      <c r="E54" s="339">
        <v>0</v>
      </c>
      <c r="F54" s="254">
        <f>F52</f>
        <v>0.1</v>
      </c>
      <c r="G54" s="158"/>
      <c r="H54" s="158"/>
      <c r="I54" s="306">
        <f>C54*E54*F54</f>
        <v>0</v>
      </c>
      <c r="J54" s="58" t="s">
        <v>847</v>
      </c>
      <c r="K54" s="299" t="s">
        <v>848</v>
      </c>
      <c r="L54" s="340">
        <v>2.5000000000000001E-2</v>
      </c>
      <c r="M54" s="340">
        <v>0.02</v>
      </c>
      <c r="O54" s="337" t="s">
        <v>849</v>
      </c>
      <c r="P54" s="338">
        <v>2</v>
      </c>
    </row>
    <row r="55" spans="1:16" ht="15" customHeight="1">
      <c r="A55" s="2436"/>
      <c r="B55" s="2480"/>
      <c r="C55" s="158" t="s">
        <v>850</v>
      </c>
      <c r="E55" s="158" t="s">
        <v>851</v>
      </c>
      <c r="F55" s="158" t="s">
        <v>852</v>
      </c>
      <c r="G55" s="158"/>
      <c r="H55" s="158"/>
      <c r="I55" s="158"/>
      <c r="K55" s="299" t="s">
        <v>853</v>
      </c>
      <c r="L55" s="340">
        <v>0.04</v>
      </c>
      <c r="M55" s="340">
        <v>3.5000000000000003E-2</v>
      </c>
      <c r="O55" s="337" t="s">
        <v>854</v>
      </c>
      <c r="P55" s="338">
        <v>4</v>
      </c>
    </row>
    <row r="56" spans="1:16" ht="15" customHeight="1">
      <c r="A56" s="2436"/>
      <c r="B56" s="2480"/>
      <c r="C56" s="334">
        <v>1478.8724999999999</v>
      </c>
      <c r="E56" s="158">
        <f>P60</f>
        <v>1.3</v>
      </c>
      <c r="F56" s="254">
        <f>F54</f>
        <v>0.1</v>
      </c>
      <c r="G56" s="158"/>
      <c r="H56" s="158"/>
      <c r="I56" s="306">
        <f>C56*E56*F56</f>
        <v>192.25342499999999</v>
      </c>
      <c r="K56" s="308" t="s">
        <v>855</v>
      </c>
      <c r="L56" s="341">
        <v>0.05</v>
      </c>
      <c r="M56" s="341">
        <v>4.4999999999999998E-2</v>
      </c>
      <c r="O56" s="337" t="s">
        <v>856</v>
      </c>
      <c r="P56" s="338">
        <v>10</v>
      </c>
    </row>
    <row r="57" spans="1:16" ht="15" customHeight="1">
      <c r="A57" s="2436"/>
      <c r="B57" s="2480" t="s">
        <v>857</v>
      </c>
      <c r="C57" s="158"/>
      <c r="D57" s="158" t="s">
        <v>858</v>
      </c>
      <c r="E57" s="158" t="s">
        <v>859</v>
      </c>
      <c r="F57" s="158" t="s">
        <v>860</v>
      </c>
      <c r="G57" s="158"/>
      <c r="H57" s="158"/>
      <c r="I57" s="158"/>
      <c r="K57" s="65"/>
      <c r="L57" s="65"/>
      <c r="M57" s="65"/>
      <c r="O57" s="337" t="s">
        <v>861</v>
      </c>
      <c r="P57" s="338">
        <v>17</v>
      </c>
    </row>
    <row r="58" spans="1:16" ht="15" customHeight="1">
      <c r="A58" s="2437"/>
      <c r="B58" s="2481"/>
      <c r="C58" s="158"/>
      <c r="D58" s="318">
        <v>21058176.67774</v>
      </c>
      <c r="E58" s="342">
        <f>L63</f>
        <v>2.3E-2</v>
      </c>
      <c r="F58" s="254">
        <f>F56</f>
        <v>0.1</v>
      </c>
      <c r="G58" s="158"/>
      <c r="H58" s="158"/>
      <c r="I58" s="306">
        <f>D58*E58*F58</f>
        <v>48433.806358802001</v>
      </c>
      <c r="J58" s="58" t="s">
        <v>862</v>
      </c>
      <c r="K58" s="2471" t="s">
        <v>863</v>
      </c>
      <c r="L58" s="2456" t="s">
        <v>864</v>
      </c>
      <c r="M58" s="2456"/>
      <c r="O58" s="343" t="s">
        <v>865</v>
      </c>
      <c r="P58" s="344">
        <v>28</v>
      </c>
    </row>
    <row r="59" spans="1:16" ht="15" customHeight="1">
      <c r="B59" s="345" t="s">
        <v>866</v>
      </c>
      <c r="C59" s="158"/>
      <c r="D59" s="158"/>
      <c r="E59" s="303"/>
      <c r="F59" s="158"/>
      <c r="G59" s="158"/>
      <c r="H59" s="158"/>
      <c r="I59" s="346" t="s">
        <v>867</v>
      </c>
      <c r="K59" s="2472"/>
      <c r="L59" s="299" t="s">
        <v>868</v>
      </c>
      <c r="M59" s="299" t="s">
        <v>869</v>
      </c>
      <c r="O59" s="2457" t="s">
        <v>870</v>
      </c>
      <c r="P59" s="2457"/>
    </row>
    <row r="60" spans="1:16" ht="15" customHeight="1">
      <c r="C60" s="158"/>
      <c r="D60" s="158"/>
      <c r="E60" s="303"/>
      <c r="F60" s="158"/>
      <c r="G60" s="158"/>
      <c r="H60" s="158"/>
      <c r="I60" s="158"/>
      <c r="K60" s="299" t="s">
        <v>871</v>
      </c>
      <c r="L60" s="347">
        <v>1.2999999999999999E-2</v>
      </c>
      <c r="M60" s="347">
        <f>+L60</f>
        <v>1.2999999999999999E-2</v>
      </c>
      <c r="O60" s="348" t="s">
        <v>872</v>
      </c>
      <c r="P60" s="349">
        <v>1.3</v>
      </c>
    </row>
    <row r="61" spans="1:16" ht="15" customHeight="1">
      <c r="C61" s="158"/>
      <c r="D61" s="158"/>
      <c r="E61" s="158"/>
      <c r="F61" s="158"/>
      <c r="G61" s="158"/>
      <c r="H61" s="158"/>
      <c r="I61" s="158"/>
      <c r="K61" s="299" t="s">
        <v>873</v>
      </c>
      <c r="L61" s="347">
        <v>1.9E-2</v>
      </c>
      <c r="M61" s="347">
        <v>1.4E-2</v>
      </c>
    </row>
    <row r="62" spans="1:16" ht="15" customHeight="1">
      <c r="K62" s="299" t="s">
        <v>874</v>
      </c>
      <c r="L62" s="347">
        <v>2.1000000000000001E-2</v>
      </c>
      <c r="M62" s="347">
        <v>1.6E-2</v>
      </c>
    </row>
    <row r="63" spans="1:16" ht="15" customHeight="1">
      <c r="K63" s="299" t="s">
        <v>875</v>
      </c>
      <c r="L63" s="347">
        <v>2.3E-2</v>
      </c>
      <c r="M63" s="347">
        <v>1.7999999999999999E-2</v>
      </c>
    </row>
    <row r="64" spans="1:16" ht="15" customHeight="1">
      <c r="K64" s="299" t="s">
        <v>876</v>
      </c>
      <c r="L64" s="347">
        <v>2.5999999999999999E-2</v>
      </c>
      <c r="M64" s="347">
        <v>2.1000000000000001E-2</v>
      </c>
    </row>
    <row r="65" spans="11:13" ht="15" customHeight="1">
      <c r="K65" s="308" t="s">
        <v>877</v>
      </c>
      <c r="L65" s="350">
        <v>3.1E-2</v>
      </c>
      <c r="M65" s="350">
        <v>2.5999999999999999E-2</v>
      </c>
    </row>
    <row r="66" spans="11:13" ht="15" customHeight="1">
      <c r="K66" s="65"/>
      <c r="L66" s="57"/>
      <c r="M66" s="57"/>
    </row>
    <row r="67" spans="11:13" ht="15" customHeight="1">
      <c r="K67" s="2471" t="s">
        <v>878</v>
      </c>
      <c r="L67" s="2456" t="s">
        <v>879</v>
      </c>
      <c r="M67" s="2456"/>
    </row>
    <row r="68" spans="11:13" ht="15" customHeight="1">
      <c r="K68" s="2472"/>
      <c r="L68" s="299" t="s">
        <v>880</v>
      </c>
      <c r="M68" s="299" t="s">
        <v>881</v>
      </c>
    </row>
    <row r="69" spans="11:13" ht="15" customHeight="1">
      <c r="K69" s="189" t="s">
        <v>882</v>
      </c>
      <c r="L69" s="351">
        <v>0.01</v>
      </c>
      <c r="M69" s="351">
        <v>8.0000000000000002E-3</v>
      </c>
    </row>
    <row r="70" spans="11:13" ht="15" customHeight="1">
      <c r="K70" s="299" t="s">
        <v>883</v>
      </c>
      <c r="L70" s="340">
        <v>1.6E-2</v>
      </c>
      <c r="M70" s="340">
        <v>1.4E-2</v>
      </c>
    </row>
    <row r="71" spans="11:13" ht="15" customHeight="1">
      <c r="K71" s="308" t="s">
        <v>884</v>
      </c>
      <c r="L71" s="341">
        <v>0.02</v>
      </c>
      <c r="M71" s="341">
        <v>1.7999999999999999E-2</v>
      </c>
    </row>
    <row r="72" spans="11:13" ht="15" customHeight="1"/>
    <row r="73" spans="11:13" ht="15" customHeight="1"/>
    <row r="74" spans="11:13" ht="15" customHeight="1"/>
    <row r="75" spans="11:13" ht="15" customHeight="1"/>
    <row r="76" spans="11:13" ht="15" customHeight="1"/>
    <row r="77" spans="11:13" ht="15" customHeight="1"/>
    <row r="78" spans="11:13" ht="15" customHeight="1"/>
    <row r="79" spans="11:13" ht="15" customHeight="1"/>
    <row r="80" spans="11:13" ht="15" customHeight="1"/>
    <row r="81" ht="15" customHeight="1"/>
    <row r="82" ht="15" customHeight="1"/>
    <row r="83" ht="15" customHeight="1"/>
    <row r="84" ht="15" customHeight="1"/>
    <row r="85" ht="15" customHeight="1"/>
    <row r="86" ht="15" customHeight="1"/>
    <row r="87" ht="15" customHeight="1"/>
    <row r="88" ht="15" customHeight="1"/>
    <row r="89" ht="15" customHeight="1"/>
    <row r="90" ht="15" customHeight="1"/>
    <row r="91" ht="15" customHeight="1"/>
  </sheetData>
  <sheetProtection algorithmName="SHA-512" hashValue="tLEPClgujLPRn9B+v2mLh2fZUvzN88Yz6z1ladheWELJHvXDtEIxyIlqeS0PGUjjwzTtatdDGp1lfnw6EPKg4g==" saltValue="3XS7X+kTFyHmvyuAw+6uJA==" spinCount="100000" sheet="1" objects="1" scenarios="1"/>
  <mergeCells count="34">
    <mergeCell ref="A2:I2"/>
    <mergeCell ref="A4:A14"/>
    <mergeCell ref="K5:K6"/>
    <mergeCell ref="L5:M5"/>
    <mergeCell ref="N5:O6"/>
    <mergeCell ref="B7:B14"/>
    <mergeCell ref="N7:O7"/>
    <mergeCell ref="N8:O8"/>
    <mergeCell ref="N9:O9"/>
    <mergeCell ref="N10:O10"/>
    <mergeCell ref="N11:O11"/>
    <mergeCell ref="N12:O12"/>
    <mergeCell ref="N13:O13"/>
    <mergeCell ref="N14:O14"/>
    <mergeCell ref="A15:A21"/>
    <mergeCell ref="K15:M15"/>
    <mergeCell ref="B16:B21"/>
    <mergeCell ref="F21:H21"/>
    <mergeCell ref="A22:A34"/>
    <mergeCell ref="A35:A44"/>
    <mergeCell ref="L37:M37"/>
    <mergeCell ref="B38:B44"/>
    <mergeCell ref="A46:A58"/>
    <mergeCell ref="B51:B52"/>
    <mergeCell ref="B53:B56"/>
    <mergeCell ref="B57:B58"/>
    <mergeCell ref="K58:K59"/>
    <mergeCell ref="L58:M58"/>
    <mergeCell ref="O59:P59"/>
    <mergeCell ref="K67:K68"/>
    <mergeCell ref="L67:M67"/>
    <mergeCell ref="O51:P51"/>
    <mergeCell ref="K52:K53"/>
    <mergeCell ref="L52:M52"/>
  </mergeCells>
  <phoneticPr fontId="4" type="noConversion"/>
  <pageMargins left="0.7" right="0.7" top="0.75" bottom="0.75" header="0.3" footer="0.3"/>
  <pageSetup paperSize="9" orientation="portrait" horizontalDpi="300" verticalDpi="30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3"/>
  <dimension ref="A1:Y145"/>
  <sheetViews>
    <sheetView topLeftCell="A4" workbookViewId="0">
      <selection activeCell="N10" activeCellId="8" sqref="C2:O4 A6:D6 C7 C8:D9 C10:D11 G6:I9 L8:X11 M6:X6 N10:X10"/>
    </sheetView>
  </sheetViews>
  <sheetFormatPr defaultColWidth="9" defaultRowHeight="10.8"/>
  <cols>
    <col min="1" max="2" width="9" style="58"/>
    <col min="3" max="3" width="11.09765625" style="58" bestFit="1" customWidth="1"/>
    <col min="4" max="5" width="11.09765625" style="58" customWidth="1"/>
    <col min="6" max="6" width="12.09765625" style="58" bestFit="1" customWidth="1"/>
    <col min="7" max="8" width="9" style="58"/>
    <col min="9" max="11" width="9.09765625" style="58" bestFit="1" customWidth="1"/>
    <col min="12" max="12" width="2.09765625" style="58" customWidth="1"/>
    <col min="13" max="13" width="8.8984375" style="58" bestFit="1" customWidth="1"/>
    <col min="14" max="14" width="9.8984375" style="58" customWidth="1"/>
    <col min="15" max="15" width="15.19921875" style="58" bestFit="1" customWidth="1"/>
    <col min="16" max="16" width="5.59765625" style="58" bestFit="1" customWidth="1"/>
    <col min="17" max="17" width="21.5" style="58" customWidth="1"/>
    <col min="18" max="21" width="9" style="58"/>
    <col min="22" max="22" width="11.3984375" style="58" customWidth="1"/>
    <col min="23" max="23" width="17.8984375" style="58" customWidth="1"/>
    <col min="24" max="24" width="38.59765625" style="58" customWidth="1"/>
    <col min="25" max="25" width="9.09765625" style="58" bestFit="1" customWidth="1"/>
    <col min="26" max="16384" width="9" style="58"/>
  </cols>
  <sheetData>
    <row r="1" spans="1:25" ht="15" customHeight="1">
      <c r="A1" s="56" t="s">
        <v>1350</v>
      </c>
      <c r="B1" s="56"/>
      <c r="C1" s="57"/>
      <c r="D1" s="57"/>
      <c r="E1" s="57"/>
      <c r="F1" s="57"/>
      <c r="G1" s="57"/>
      <c r="H1" s="57"/>
      <c r="I1" s="57"/>
      <c r="J1" s="57"/>
      <c r="K1" s="57"/>
      <c r="L1" s="57"/>
      <c r="M1" s="57"/>
      <c r="N1" s="57"/>
      <c r="O1" s="57"/>
      <c r="P1" s="57"/>
      <c r="Q1" s="57"/>
      <c r="R1" s="57"/>
      <c r="S1" s="57"/>
      <c r="T1" s="57"/>
      <c r="U1" s="57"/>
      <c r="V1" s="57"/>
      <c r="W1" s="57"/>
      <c r="X1" s="57"/>
    </row>
    <row r="2" spans="1:25" ht="15" customHeight="1">
      <c r="A2" s="56" t="s">
        <v>252</v>
      </c>
      <c r="B2" s="56"/>
      <c r="C2" s="57"/>
      <c r="D2" s="57"/>
      <c r="E2" s="57"/>
      <c r="F2" s="57"/>
      <c r="G2" s="57"/>
      <c r="H2" s="57"/>
      <c r="I2" s="57"/>
      <c r="J2" s="57"/>
      <c r="K2" s="57"/>
      <c r="L2" s="57"/>
      <c r="M2" s="57"/>
      <c r="N2" s="57"/>
      <c r="O2" s="57"/>
      <c r="P2" s="57"/>
      <c r="Q2" s="57"/>
      <c r="R2" s="57"/>
      <c r="S2" s="57"/>
      <c r="T2" s="57"/>
      <c r="U2" s="57"/>
      <c r="V2" s="57"/>
      <c r="W2" s="57"/>
      <c r="X2" s="57"/>
    </row>
    <row r="3" spans="1:25" ht="15" customHeight="1">
      <c r="A3" s="56" t="s">
        <v>253</v>
      </c>
      <c r="B3" s="56"/>
      <c r="C3" s="57"/>
      <c r="D3" s="57"/>
      <c r="E3" s="57"/>
      <c r="F3" s="57"/>
      <c r="G3" s="57"/>
      <c r="H3" s="57"/>
      <c r="I3" s="57"/>
      <c r="J3" s="57"/>
      <c r="K3" s="57"/>
      <c r="L3" s="57"/>
      <c r="M3" s="57"/>
      <c r="N3" s="57"/>
      <c r="O3" s="57"/>
      <c r="P3" s="57"/>
      <c r="Q3" s="57"/>
      <c r="R3" s="57"/>
      <c r="S3" s="57"/>
      <c r="T3" s="57"/>
      <c r="U3" s="57"/>
      <c r="V3" s="57"/>
      <c r="W3" s="57"/>
      <c r="X3" s="57"/>
    </row>
    <row r="4" spans="1:25" ht="15" customHeight="1">
      <c r="A4" s="56" t="s">
        <v>254</v>
      </c>
      <c r="B4" s="59"/>
      <c r="D4" s="57"/>
      <c r="E4" s="57"/>
      <c r="F4" s="57"/>
      <c r="G4" s="57"/>
      <c r="H4" s="57"/>
      <c r="I4" s="57"/>
      <c r="J4" s="57"/>
      <c r="K4" s="57"/>
      <c r="L4" s="57"/>
      <c r="M4" s="57"/>
      <c r="N4" s="57"/>
      <c r="O4" s="57"/>
      <c r="P4" s="57"/>
      <c r="Q4" s="57"/>
      <c r="R4" s="57"/>
      <c r="S4" s="57"/>
      <c r="T4" s="57"/>
      <c r="U4" s="57"/>
      <c r="V4" s="57"/>
      <c r="W4" s="57"/>
      <c r="X4" s="57"/>
    </row>
    <row r="5" spans="1:25" ht="15" customHeight="1" thickBot="1">
      <c r="A5" s="59" t="s">
        <v>255</v>
      </c>
      <c r="B5" s="59"/>
      <c r="D5" s="57"/>
      <c r="E5" s="57"/>
      <c r="F5" s="57"/>
      <c r="G5" s="57"/>
      <c r="H5" s="57"/>
      <c r="I5" s="57"/>
      <c r="J5" s="57"/>
      <c r="K5" s="57"/>
      <c r="L5" s="57"/>
      <c r="M5" s="57"/>
      <c r="N5" s="57"/>
      <c r="O5" s="57"/>
      <c r="P5" s="57"/>
      <c r="Q5" s="57"/>
      <c r="R5" s="57"/>
      <c r="S5" s="57"/>
      <c r="T5" s="57"/>
      <c r="U5" s="57"/>
      <c r="V5" s="57"/>
      <c r="W5" s="57"/>
      <c r="X5" s="57"/>
    </row>
    <row r="6" spans="1:25" ht="15" customHeight="1" thickTop="1">
      <c r="A6" s="2428" t="s">
        <v>256</v>
      </c>
      <c r="B6" s="2428"/>
      <c r="C6" s="2428"/>
      <c r="E6" s="57"/>
      <c r="F6" s="57"/>
      <c r="G6" s="57"/>
      <c r="H6" s="57"/>
      <c r="I6" s="57"/>
      <c r="J6" s="57"/>
      <c r="K6" s="57"/>
      <c r="L6" s="57"/>
      <c r="M6" s="2542" t="s">
        <v>257</v>
      </c>
      <c r="N6" s="2543"/>
      <c r="O6" s="2543"/>
      <c r="P6" s="2543"/>
      <c r="Q6" s="2543"/>
      <c r="R6" s="2543"/>
      <c r="S6" s="2543"/>
      <c r="T6" s="2543"/>
      <c r="U6" s="2543"/>
      <c r="V6" s="2543"/>
      <c r="W6" s="2543"/>
      <c r="X6" s="2543"/>
      <c r="Y6" s="60">
        <v>710000</v>
      </c>
    </row>
    <row r="7" spans="1:25" ht="15" customHeight="1" thickBot="1">
      <c r="A7" s="57"/>
      <c r="B7" s="57"/>
      <c r="C7" s="57"/>
      <c r="D7" s="57"/>
      <c r="E7" s="57"/>
      <c r="F7" s="57"/>
      <c r="G7" s="57"/>
      <c r="H7" s="57"/>
      <c r="I7" s="57"/>
      <c r="K7" s="61" t="s">
        <v>258</v>
      </c>
      <c r="L7" s="61"/>
      <c r="M7" s="57"/>
      <c r="N7" s="62"/>
      <c r="O7" s="63"/>
      <c r="P7" s="63"/>
      <c r="Q7" s="63"/>
      <c r="R7" s="63"/>
      <c r="S7" s="57"/>
      <c r="T7" s="57"/>
      <c r="U7" s="57"/>
      <c r="V7" s="57"/>
      <c r="W7" s="64"/>
      <c r="X7" s="57"/>
      <c r="Y7" s="57"/>
    </row>
    <row r="8" spans="1:25" ht="15" customHeight="1" thickTop="1" thickBot="1">
      <c r="A8" s="2535" t="s">
        <v>259</v>
      </c>
      <c r="B8" s="2510"/>
      <c r="C8" s="2510" t="s">
        <v>260</v>
      </c>
      <c r="D8" s="2509" t="s">
        <v>1351</v>
      </c>
      <c r="E8" s="2510" t="s">
        <v>261</v>
      </c>
      <c r="F8" s="2510" t="s">
        <v>262</v>
      </c>
      <c r="G8" s="2510" t="s">
        <v>263</v>
      </c>
      <c r="H8" s="2510"/>
      <c r="I8" s="2510"/>
      <c r="J8" s="2509" t="s">
        <v>264</v>
      </c>
      <c r="K8" s="2511" t="s">
        <v>265</v>
      </c>
      <c r="L8" s="65"/>
      <c r="M8" s="2428" t="s">
        <v>266</v>
      </c>
      <c r="N8" s="2428"/>
      <c r="O8" s="2428"/>
      <c r="P8" s="66"/>
      <c r="Q8" s="67"/>
      <c r="R8" s="67"/>
      <c r="S8" s="57"/>
      <c r="T8" s="57"/>
      <c r="U8" s="57"/>
      <c r="V8" s="57"/>
      <c r="W8" s="68"/>
      <c r="X8" s="57"/>
      <c r="Y8" s="57"/>
    </row>
    <row r="9" spans="1:25" ht="15" customHeight="1" thickTop="1">
      <c r="A9" s="2544"/>
      <c r="B9" s="2545"/>
      <c r="C9" s="2545"/>
      <c r="D9" s="2545"/>
      <c r="E9" s="2545"/>
      <c r="F9" s="2545"/>
      <c r="G9" s="2545"/>
      <c r="H9" s="2545"/>
      <c r="I9" s="2545"/>
      <c r="J9" s="2545"/>
      <c r="K9" s="2546"/>
      <c r="L9" s="65"/>
      <c r="M9" s="69" t="s">
        <v>267</v>
      </c>
      <c r="N9" s="2536" t="s">
        <v>268</v>
      </c>
      <c r="O9" s="2536"/>
      <c r="P9" s="2536"/>
      <c r="Q9" s="2536"/>
      <c r="R9" s="2536"/>
      <c r="S9" s="2536"/>
      <c r="T9" s="2536"/>
      <c r="U9" s="2536"/>
      <c r="V9" s="2536"/>
      <c r="W9" s="2536"/>
      <c r="X9" s="2536"/>
      <c r="Y9" s="70" t="s">
        <v>269</v>
      </c>
    </row>
    <row r="10" spans="1:25" ht="15" customHeight="1">
      <c r="A10" s="2537" t="s">
        <v>270</v>
      </c>
      <c r="B10" s="2538"/>
      <c r="C10" s="71">
        <v>2530</v>
      </c>
      <c r="D10" s="72">
        <f>+Y6/1000</f>
        <v>710</v>
      </c>
      <c r="E10" s="73">
        <f>+Y11/100</f>
        <v>1.1000000000000001</v>
      </c>
      <c r="F10" s="73">
        <f>+Y36/100</f>
        <v>1.1000000000000001</v>
      </c>
      <c r="G10" s="2539">
        <f>Y24/100</f>
        <v>0.95</v>
      </c>
      <c r="H10" s="2540"/>
      <c r="I10" s="2541"/>
      <c r="J10" s="74">
        <v>1</v>
      </c>
      <c r="K10" s="75">
        <f>+ROUNDDOWN(D10*E10*F10*G10*J10,0)</f>
        <v>816</v>
      </c>
      <c r="L10" s="76"/>
      <c r="M10" s="77">
        <v>1</v>
      </c>
      <c r="N10" s="2495" t="s">
        <v>271</v>
      </c>
      <c r="O10" s="2496"/>
      <c r="P10" s="2496"/>
      <c r="Q10" s="2496"/>
      <c r="R10" s="2496"/>
      <c r="S10" s="2496"/>
      <c r="T10" s="2496"/>
      <c r="U10" s="2496"/>
      <c r="V10" s="2496"/>
      <c r="W10" s="2496"/>
      <c r="X10" s="2497"/>
      <c r="Y10" s="78">
        <v>140</v>
      </c>
    </row>
    <row r="11" spans="1:25" ht="15" customHeight="1">
      <c r="A11" s="2537" t="s">
        <v>272</v>
      </c>
      <c r="B11" s="2538"/>
      <c r="C11" s="79">
        <f>C10</f>
        <v>2530</v>
      </c>
      <c r="D11" s="72">
        <f>D10</f>
        <v>710</v>
      </c>
      <c r="E11" s="73">
        <f>E10</f>
        <v>1.1000000000000001</v>
      </c>
      <c r="F11" s="73">
        <f>F10</f>
        <v>1.1000000000000001</v>
      </c>
      <c r="G11" s="2539">
        <f>$G$10</f>
        <v>0.95</v>
      </c>
      <c r="H11" s="2540"/>
      <c r="I11" s="2541"/>
      <c r="J11" s="74">
        <v>1</v>
      </c>
      <c r="K11" s="75">
        <f>+ROUNDDOWN(D11*E11*F11*G11*J11,0)</f>
        <v>816</v>
      </c>
      <c r="L11" s="76"/>
      <c r="M11" s="77">
        <v>2</v>
      </c>
      <c r="N11" s="2495" t="s">
        <v>273</v>
      </c>
      <c r="O11" s="2496"/>
      <c r="P11" s="2496"/>
      <c r="Q11" s="2496"/>
      <c r="R11" s="2496"/>
      <c r="S11" s="2496"/>
      <c r="T11" s="2496"/>
      <c r="U11" s="2496"/>
      <c r="V11" s="2496"/>
      <c r="W11" s="2496"/>
      <c r="X11" s="2497"/>
      <c r="Y11" s="78">
        <v>110</v>
      </c>
    </row>
    <row r="12" spans="1:25" ht="15" customHeight="1">
      <c r="A12" s="2537" t="s">
        <v>274</v>
      </c>
      <c r="B12" s="2538"/>
      <c r="C12" s="80">
        <f>C10</f>
        <v>2530</v>
      </c>
      <c r="D12" s="72">
        <f>+D10</f>
        <v>710</v>
      </c>
      <c r="E12" s="73">
        <f>+E10</f>
        <v>1.1000000000000001</v>
      </c>
      <c r="F12" s="73">
        <f>Y86/100</f>
        <v>0.9</v>
      </c>
      <c r="G12" s="2539">
        <f>$G$10</f>
        <v>0.95</v>
      </c>
      <c r="H12" s="2540"/>
      <c r="I12" s="2541"/>
      <c r="J12" s="74">
        <v>1</v>
      </c>
      <c r="K12" s="75">
        <f>+ROUNDDOWN(D12*E12*F12*G12*J12,0)</f>
        <v>667</v>
      </c>
      <c r="L12" s="76"/>
      <c r="M12" s="77">
        <v>3</v>
      </c>
      <c r="N12" s="2495" t="s">
        <v>275</v>
      </c>
      <c r="O12" s="2496"/>
      <c r="P12" s="2496"/>
      <c r="Q12" s="2496"/>
      <c r="R12" s="2496"/>
      <c r="S12" s="2496"/>
      <c r="T12" s="2496"/>
      <c r="U12" s="2496"/>
      <c r="V12" s="2496"/>
      <c r="W12" s="2496"/>
      <c r="X12" s="2497"/>
      <c r="Y12" s="78">
        <v>100</v>
      </c>
    </row>
    <row r="13" spans="1:25" ht="15" customHeight="1">
      <c r="A13" s="2537"/>
      <c r="B13" s="2538"/>
      <c r="C13" s="79">
        <f>C12</f>
        <v>2530</v>
      </c>
      <c r="D13" s="72">
        <f>+D12</f>
        <v>710</v>
      </c>
      <c r="E13" s="73">
        <f>+E12</f>
        <v>1.1000000000000001</v>
      </c>
      <c r="F13" s="73">
        <f>+Y47/100</f>
        <v>0.9</v>
      </c>
      <c r="G13" s="2539">
        <f>+G12</f>
        <v>0.95</v>
      </c>
      <c r="H13" s="2540"/>
      <c r="I13" s="2541"/>
      <c r="J13" s="74">
        <f>+J12</f>
        <v>1</v>
      </c>
      <c r="K13" s="75">
        <f>+ROUNDDOWN(D13*E13*F13*G13*J13,0)</f>
        <v>667</v>
      </c>
      <c r="L13" s="57"/>
      <c r="M13" s="77">
        <v>4</v>
      </c>
      <c r="N13" s="2495" t="s">
        <v>276</v>
      </c>
      <c r="O13" s="2496"/>
      <c r="P13" s="2496"/>
      <c r="Q13" s="2496"/>
      <c r="R13" s="2496"/>
      <c r="S13" s="2496"/>
      <c r="T13" s="2496"/>
      <c r="U13" s="2496"/>
      <c r="V13" s="2496"/>
      <c r="W13" s="2496"/>
      <c r="X13" s="2497"/>
      <c r="Y13" s="78">
        <v>90</v>
      </c>
    </row>
    <row r="14" spans="1:25" ht="15" customHeight="1" thickBot="1">
      <c r="A14" s="57"/>
      <c r="B14" s="57"/>
      <c r="C14" s="57"/>
      <c r="D14" s="57"/>
      <c r="E14" s="57"/>
      <c r="F14" s="57"/>
      <c r="G14" s="57"/>
      <c r="H14" s="57"/>
      <c r="I14" s="57"/>
      <c r="J14" s="57"/>
      <c r="K14" s="57"/>
      <c r="L14" s="65"/>
      <c r="M14" s="77">
        <v>5</v>
      </c>
      <c r="N14" s="2495" t="s">
        <v>277</v>
      </c>
      <c r="O14" s="2496"/>
      <c r="P14" s="2496"/>
      <c r="Q14" s="2496"/>
      <c r="R14" s="2496"/>
      <c r="S14" s="2496"/>
      <c r="T14" s="2496"/>
      <c r="U14" s="2496"/>
      <c r="V14" s="2496"/>
      <c r="W14" s="2496"/>
      <c r="X14" s="2497"/>
      <c r="Y14" s="78">
        <v>80</v>
      </c>
    </row>
    <row r="15" spans="1:25" ht="15" customHeight="1" thickTop="1">
      <c r="A15" s="2535" t="s">
        <v>1352</v>
      </c>
      <c r="B15" s="2510"/>
      <c r="C15" s="81" t="s">
        <v>278</v>
      </c>
      <c r="D15" s="81" t="s">
        <v>265</v>
      </c>
      <c r="E15" s="2510" t="s">
        <v>279</v>
      </c>
      <c r="F15" s="2510"/>
      <c r="G15" s="2510" t="s">
        <v>280</v>
      </c>
      <c r="H15" s="2510"/>
      <c r="I15" s="2510"/>
      <c r="J15" s="2510" t="s">
        <v>281</v>
      </c>
      <c r="K15" s="2511"/>
      <c r="L15" s="57"/>
      <c r="M15" s="77">
        <v>6</v>
      </c>
      <c r="N15" s="2495" t="s">
        <v>282</v>
      </c>
      <c r="O15" s="2496"/>
      <c r="P15" s="2496"/>
      <c r="Q15" s="2496"/>
      <c r="R15" s="2496"/>
      <c r="S15" s="2496"/>
      <c r="T15" s="2496"/>
      <c r="U15" s="2496"/>
      <c r="V15" s="2496"/>
      <c r="W15" s="2496"/>
      <c r="X15" s="2497"/>
      <c r="Y15" s="78">
        <v>70</v>
      </c>
    </row>
    <row r="16" spans="1:25" ht="15" customHeight="1">
      <c r="A16" s="2532" t="s">
        <v>283</v>
      </c>
      <c r="B16" s="2533"/>
      <c r="C16" s="80">
        <f ca="1">분양개요!W7</f>
        <v>17555.29997908802</v>
      </c>
      <c r="D16" s="80">
        <f>C10</f>
        <v>2530</v>
      </c>
      <c r="E16" s="2523">
        <f ca="1">C16*D16</f>
        <v>44414908.94709269</v>
      </c>
      <c r="F16" s="2523"/>
      <c r="G16" s="2519">
        <f ca="1">E16/E18</f>
        <v>0.49589181492631557</v>
      </c>
      <c r="H16" s="2519"/>
      <c r="I16" s="2519"/>
      <c r="J16" s="2524">
        <f ca="1">IFERROR(E16/$E$20,0)</f>
        <v>0.47209320980811748</v>
      </c>
      <c r="K16" s="2525"/>
      <c r="L16" s="57"/>
      <c r="M16" s="77">
        <v>7</v>
      </c>
      <c r="N16" s="2495" t="s">
        <v>284</v>
      </c>
      <c r="O16" s="2496"/>
      <c r="P16" s="2496"/>
      <c r="Q16" s="2496"/>
      <c r="R16" s="2496"/>
      <c r="S16" s="2496"/>
      <c r="T16" s="2496"/>
      <c r="U16" s="2496"/>
      <c r="V16" s="2496"/>
      <c r="W16" s="2496"/>
      <c r="X16" s="2497"/>
      <c r="Y16" s="78">
        <v>50</v>
      </c>
    </row>
    <row r="17" spans="1:25" ht="15" customHeight="1">
      <c r="A17" s="2532" t="s">
        <v>285</v>
      </c>
      <c r="B17" s="2533"/>
      <c r="C17" s="80">
        <f ca="1">분양개요!I7</f>
        <v>55331.880000000005</v>
      </c>
      <c r="D17" s="80">
        <f>K10</f>
        <v>816</v>
      </c>
      <c r="E17" s="2523">
        <f ca="1">C17*D17</f>
        <v>45150814.080000006</v>
      </c>
      <c r="F17" s="2523"/>
      <c r="G17" s="2519">
        <f ca="1">E17/E18</f>
        <v>0.50410818507368449</v>
      </c>
      <c r="H17" s="2519"/>
      <c r="I17" s="2519"/>
      <c r="J17" s="2524">
        <f ca="1">IFERROR(E17/$E$20,0)</f>
        <v>0.47991526381080224</v>
      </c>
      <c r="K17" s="2525"/>
      <c r="L17" s="57"/>
      <c r="M17" s="77">
        <v>8</v>
      </c>
      <c r="N17" s="2495" t="s">
        <v>286</v>
      </c>
      <c r="O17" s="2496"/>
      <c r="P17" s="2496"/>
      <c r="Q17" s="2496"/>
      <c r="R17" s="2496"/>
      <c r="S17" s="2496"/>
      <c r="T17" s="2496"/>
      <c r="U17" s="2496"/>
      <c r="V17" s="2496"/>
      <c r="W17" s="2496"/>
      <c r="X17" s="2497"/>
      <c r="Y17" s="78">
        <v>40</v>
      </c>
    </row>
    <row r="18" spans="1:25" ht="15" customHeight="1">
      <c r="A18" s="2532" t="s">
        <v>39</v>
      </c>
      <c r="B18" s="2533"/>
      <c r="C18" s="72"/>
      <c r="D18" s="80"/>
      <c r="E18" s="2523">
        <f ca="1">E16+E17</f>
        <v>89565723.027092695</v>
      </c>
      <c r="F18" s="2523"/>
      <c r="G18" s="2519">
        <f ca="1">G16+G17</f>
        <v>1</v>
      </c>
      <c r="H18" s="2519"/>
      <c r="I18" s="2519"/>
      <c r="J18" s="2524">
        <f ca="1">IFERROR(E18/$E$20,0)</f>
        <v>0.95200847361891971</v>
      </c>
      <c r="K18" s="2525"/>
      <c r="L18" s="57"/>
      <c r="M18" s="57"/>
      <c r="N18" s="62"/>
      <c r="O18" s="63"/>
      <c r="P18" s="63"/>
      <c r="Q18" s="63"/>
      <c r="R18" s="63"/>
      <c r="S18" s="57"/>
      <c r="T18" s="57"/>
      <c r="U18" s="57"/>
      <c r="V18" s="57"/>
      <c r="W18" s="57"/>
      <c r="X18" s="57"/>
      <c r="Y18" s="64"/>
    </row>
    <row r="19" spans="1:25" ht="15" customHeight="1" thickBot="1">
      <c r="A19" s="2526" t="s">
        <v>287</v>
      </c>
      <c r="B19" s="2527"/>
      <c r="C19" s="82"/>
      <c r="D19" s="83"/>
      <c r="E19" s="2528">
        <f ca="1">E17*0.1</f>
        <v>4515081.4080000008</v>
      </c>
      <c r="F19" s="2528"/>
      <c r="G19" s="2529"/>
      <c r="H19" s="2529"/>
      <c r="I19" s="2529"/>
      <c r="J19" s="2530">
        <f ca="1">IFERROR(E19/$E$20,0)</f>
        <v>4.7991526381080223E-2</v>
      </c>
      <c r="K19" s="2531"/>
      <c r="L19" s="65"/>
      <c r="M19" s="2428" t="s">
        <v>288</v>
      </c>
      <c r="N19" s="2428"/>
      <c r="O19" s="2428"/>
      <c r="P19" s="67"/>
      <c r="Q19" s="67"/>
      <c r="R19" s="57"/>
      <c r="S19" s="57"/>
      <c r="T19" s="57"/>
      <c r="U19" s="57"/>
      <c r="V19" s="57"/>
      <c r="W19" s="57"/>
      <c r="X19" s="57"/>
      <c r="Y19" s="64"/>
    </row>
    <row r="20" spans="1:25" ht="15" customHeight="1" thickTop="1">
      <c r="A20" s="2532" t="s">
        <v>289</v>
      </c>
      <c r="B20" s="2533"/>
      <c r="C20" s="72"/>
      <c r="D20" s="80"/>
      <c r="E20" s="2523">
        <f ca="1">E18+E19</f>
        <v>94080804.435092703</v>
      </c>
      <c r="F20" s="2523"/>
      <c r="G20" s="2519"/>
      <c r="H20" s="2519"/>
      <c r="I20" s="2519"/>
      <c r="J20" s="2524">
        <f ca="1">IFERROR(E20/$E$20,0)</f>
        <v>1</v>
      </c>
      <c r="K20" s="2525"/>
      <c r="L20" s="57"/>
      <c r="M20" s="69" t="s">
        <v>267</v>
      </c>
      <c r="N20" s="2536" t="s">
        <v>290</v>
      </c>
      <c r="O20" s="2536"/>
      <c r="P20" s="2536"/>
      <c r="Q20" s="2536"/>
      <c r="R20" s="2536"/>
      <c r="S20" s="2536"/>
      <c r="T20" s="2536"/>
      <c r="U20" s="2536"/>
      <c r="V20" s="2536"/>
      <c r="W20" s="2536"/>
      <c r="X20" s="2536"/>
      <c r="Y20" s="70" t="s">
        <v>269</v>
      </c>
    </row>
    <row r="21" spans="1:25" ht="15" customHeight="1" thickBot="1">
      <c r="A21" s="57"/>
      <c r="B21" s="57"/>
      <c r="C21" s="57"/>
      <c r="D21" s="57"/>
      <c r="E21" s="57"/>
      <c r="F21" s="57"/>
      <c r="G21" s="57"/>
      <c r="H21" s="57"/>
      <c r="I21" s="57"/>
      <c r="J21" s="57"/>
      <c r="K21" s="57"/>
      <c r="L21" s="57"/>
      <c r="M21" s="77">
        <v>1</v>
      </c>
      <c r="N21" s="2495" t="s">
        <v>291</v>
      </c>
      <c r="O21" s="2496"/>
      <c r="P21" s="2496"/>
      <c r="Q21" s="2496"/>
      <c r="R21" s="2496"/>
      <c r="S21" s="2496"/>
      <c r="T21" s="2496"/>
      <c r="U21" s="2496"/>
      <c r="V21" s="2496"/>
      <c r="W21" s="2496"/>
      <c r="X21" s="2497"/>
      <c r="Y21" s="78">
        <v>80</v>
      </c>
    </row>
    <row r="22" spans="1:25" ht="15" customHeight="1" thickTop="1">
      <c r="A22" s="2535" t="s">
        <v>292</v>
      </c>
      <c r="B22" s="2510"/>
      <c r="C22" s="81" t="s">
        <v>293</v>
      </c>
      <c r="D22" s="81" t="s">
        <v>294</v>
      </c>
      <c r="E22" s="2510" t="s">
        <v>295</v>
      </c>
      <c r="F22" s="2510"/>
      <c r="G22" s="2510" t="s">
        <v>296</v>
      </c>
      <c r="H22" s="2510"/>
      <c r="I22" s="2510"/>
      <c r="J22" s="2510" t="s">
        <v>297</v>
      </c>
      <c r="K22" s="2511"/>
      <c r="L22" s="57"/>
      <c r="M22" s="77">
        <v>2</v>
      </c>
      <c r="N22" s="2495" t="s">
        <v>298</v>
      </c>
      <c r="O22" s="2496"/>
      <c r="P22" s="2496"/>
      <c r="Q22" s="2496"/>
      <c r="R22" s="2496"/>
      <c r="S22" s="2496"/>
      <c r="T22" s="2496"/>
      <c r="U22" s="2496"/>
      <c r="V22" s="2496"/>
      <c r="W22" s="2496"/>
      <c r="X22" s="2497"/>
      <c r="Y22" s="78">
        <v>85</v>
      </c>
    </row>
    <row r="23" spans="1:25" ht="15" customHeight="1">
      <c r="A23" s="2532" t="s">
        <v>299</v>
      </c>
      <c r="B23" s="2533"/>
      <c r="C23" s="84">
        <f ca="1">분양개요!W8</f>
        <v>0</v>
      </c>
      <c r="D23" s="80">
        <f>C11</f>
        <v>2530</v>
      </c>
      <c r="E23" s="2523">
        <f ca="1">C23*D23</f>
        <v>0</v>
      </c>
      <c r="F23" s="2523"/>
      <c r="G23" s="2519" t="e">
        <f ca="1">E23/E25</f>
        <v>#DIV/0!</v>
      </c>
      <c r="H23" s="2519"/>
      <c r="I23" s="2519"/>
      <c r="J23" s="2524">
        <f ca="1">IFERROR(E23/$E$27,0)</f>
        <v>0</v>
      </c>
      <c r="K23" s="2525"/>
      <c r="L23" s="57"/>
      <c r="M23" s="77">
        <v>3</v>
      </c>
      <c r="N23" s="2495" t="s">
        <v>300</v>
      </c>
      <c r="O23" s="2496"/>
      <c r="P23" s="2496"/>
      <c r="Q23" s="2496"/>
      <c r="R23" s="2496"/>
      <c r="S23" s="2496"/>
      <c r="T23" s="2496"/>
      <c r="U23" s="2496"/>
      <c r="V23" s="2496"/>
      <c r="W23" s="2496"/>
      <c r="X23" s="2497"/>
      <c r="Y23" s="78">
        <v>90</v>
      </c>
    </row>
    <row r="24" spans="1:25" ht="15" customHeight="1">
      <c r="A24" s="2532" t="s">
        <v>301</v>
      </c>
      <c r="B24" s="2533"/>
      <c r="C24" s="84">
        <f>분양개요!I8</f>
        <v>0</v>
      </c>
      <c r="D24" s="80">
        <f>K11</f>
        <v>816</v>
      </c>
      <c r="E24" s="2523">
        <f>C24*D24</f>
        <v>0</v>
      </c>
      <c r="F24" s="2523"/>
      <c r="G24" s="2519" t="e">
        <f ca="1">E24/E25</f>
        <v>#DIV/0!</v>
      </c>
      <c r="H24" s="2519"/>
      <c r="I24" s="2519"/>
      <c r="J24" s="2524">
        <f ca="1">IFERROR(E24/$E$27,0)</f>
        <v>0</v>
      </c>
      <c r="K24" s="2525"/>
      <c r="L24" s="65"/>
      <c r="M24" s="77">
        <v>4</v>
      </c>
      <c r="N24" s="2495" t="s">
        <v>302</v>
      </c>
      <c r="O24" s="2496"/>
      <c r="P24" s="2496"/>
      <c r="Q24" s="2496"/>
      <c r="R24" s="2496"/>
      <c r="S24" s="2496"/>
      <c r="T24" s="2496"/>
      <c r="U24" s="2496"/>
      <c r="V24" s="2496"/>
      <c r="W24" s="2496"/>
      <c r="X24" s="2497"/>
      <c r="Y24" s="78">
        <v>95</v>
      </c>
    </row>
    <row r="25" spans="1:25" ht="15" customHeight="1">
      <c r="A25" s="2532" t="s">
        <v>303</v>
      </c>
      <c r="B25" s="2533"/>
      <c r="C25" s="72"/>
      <c r="D25" s="80"/>
      <c r="E25" s="2523">
        <f ca="1">E23+E24</f>
        <v>0</v>
      </c>
      <c r="F25" s="2523"/>
      <c r="G25" s="2519" t="e">
        <f ca="1">G23+G24</f>
        <v>#DIV/0!</v>
      </c>
      <c r="H25" s="2519"/>
      <c r="I25" s="2519"/>
      <c r="J25" s="2524">
        <f ca="1">IFERROR(E25/$E$27,0)</f>
        <v>0</v>
      </c>
      <c r="K25" s="2525"/>
      <c r="L25" s="57"/>
      <c r="M25" s="77">
        <v>5</v>
      </c>
      <c r="N25" s="2495" t="s">
        <v>304</v>
      </c>
      <c r="O25" s="2496"/>
      <c r="P25" s="2496"/>
      <c r="Q25" s="2496"/>
      <c r="R25" s="2496"/>
      <c r="S25" s="2496"/>
      <c r="T25" s="2496"/>
      <c r="U25" s="2496"/>
      <c r="V25" s="2496"/>
      <c r="W25" s="2496"/>
      <c r="X25" s="2497"/>
      <c r="Y25" s="78">
        <v>100</v>
      </c>
    </row>
    <row r="26" spans="1:25" ht="15" customHeight="1">
      <c r="A26" s="2526" t="s">
        <v>305</v>
      </c>
      <c r="B26" s="2527"/>
      <c r="C26" s="82"/>
      <c r="D26" s="83"/>
      <c r="E26" s="2528">
        <f>E24*0.1</f>
        <v>0</v>
      </c>
      <c r="F26" s="2528"/>
      <c r="G26" s="2529"/>
      <c r="H26" s="2529"/>
      <c r="I26" s="2529"/>
      <c r="J26" s="2530">
        <f ca="1">IFERROR(E26/$E$27,0)</f>
        <v>0</v>
      </c>
      <c r="K26" s="2531"/>
      <c r="L26" s="57"/>
      <c r="M26" s="77">
        <v>6</v>
      </c>
      <c r="N26" s="2495" t="s">
        <v>306</v>
      </c>
      <c r="O26" s="2496"/>
      <c r="P26" s="2496"/>
      <c r="Q26" s="2496"/>
      <c r="R26" s="2496"/>
      <c r="S26" s="2496"/>
      <c r="T26" s="2496"/>
      <c r="U26" s="2496"/>
      <c r="V26" s="2496"/>
      <c r="W26" s="2496"/>
      <c r="X26" s="2497"/>
      <c r="Y26" s="78">
        <v>105</v>
      </c>
    </row>
    <row r="27" spans="1:25" ht="15" customHeight="1">
      <c r="A27" s="2532" t="s">
        <v>307</v>
      </c>
      <c r="B27" s="2533"/>
      <c r="C27" s="72"/>
      <c r="D27" s="80"/>
      <c r="E27" s="2523">
        <f ca="1">E25+E26</f>
        <v>0</v>
      </c>
      <c r="F27" s="2523"/>
      <c r="G27" s="2519"/>
      <c r="H27" s="2519"/>
      <c r="I27" s="2519"/>
      <c r="J27" s="2524">
        <f ca="1">IFERROR(E27/$E$27,0)</f>
        <v>0</v>
      </c>
      <c r="K27" s="2525"/>
      <c r="L27" s="57"/>
      <c r="M27" s="77">
        <v>7</v>
      </c>
      <c r="N27" s="2495" t="s">
        <v>308</v>
      </c>
      <c r="O27" s="2496"/>
      <c r="P27" s="2496"/>
      <c r="Q27" s="2496"/>
      <c r="R27" s="2496"/>
      <c r="S27" s="2496"/>
      <c r="T27" s="2496"/>
      <c r="U27" s="2496"/>
      <c r="V27" s="2496"/>
      <c r="W27" s="2496"/>
      <c r="X27" s="2497"/>
      <c r="Y27" s="78">
        <v>110</v>
      </c>
    </row>
    <row r="28" spans="1:25" ht="15" customHeight="1" thickBot="1">
      <c r="A28" s="57"/>
      <c r="B28" s="57"/>
      <c r="C28" s="57"/>
      <c r="D28" s="57"/>
      <c r="E28" s="57"/>
      <c r="F28" s="57"/>
      <c r="G28" s="57"/>
      <c r="H28" s="57"/>
      <c r="I28" s="57"/>
      <c r="J28" s="57"/>
      <c r="K28" s="57"/>
      <c r="L28" s="57"/>
      <c r="M28" s="77">
        <v>8</v>
      </c>
      <c r="N28" s="2495" t="s">
        <v>309</v>
      </c>
      <c r="O28" s="2496"/>
      <c r="P28" s="2496"/>
      <c r="Q28" s="2496"/>
      <c r="R28" s="2496"/>
      <c r="S28" s="2496"/>
      <c r="T28" s="2496"/>
      <c r="U28" s="2496"/>
      <c r="V28" s="2496"/>
      <c r="W28" s="2496"/>
      <c r="X28" s="2497"/>
      <c r="Y28" s="78">
        <v>115</v>
      </c>
    </row>
    <row r="29" spans="1:25" ht="15" customHeight="1" thickTop="1">
      <c r="A29" s="2535" t="s">
        <v>310</v>
      </c>
      <c r="B29" s="2510"/>
      <c r="C29" s="81" t="s">
        <v>278</v>
      </c>
      <c r="D29" s="81" t="s">
        <v>265</v>
      </c>
      <c r="E29" s="2510" t="s">
        <v>279</v>
      </c>
      <c r="F29" s="2510"/>
      <c r="G29" s="2510" t="s">
        <v>280</v>
      </c>
      <c r="H29" s="2510"/>
      <c r="I29" s="2510"/>
      <c r="J29" s="2510" t="s">
        <v>281</v>
      </c>
      <c r="K29" s="2511"/>
      <c r="L29" s="57"/>
      <c r="M29" s="77">
        <v>9</v>
      </c>
      <c r="N29" s="2495" t="s">
        <v>311</v>
      </c>
      <c r="O29" s="2496"/>
      <c r="P29" s="2496"/>
      <c r="Q29" s="2496"/>
      <c r="R29" s="2496"/>
      <c r="S29" s="2496"/>
      <c r="T29" s="2496"/>
      <c r="U29" s="2496"/>
      <c r="V29" s="2496"/>
      <c r="W29" s="2496"/>
      <c r="X29" s="2497"/>
      <c r="Y29" s="78">
        <v>120</v>
      </c>
    </row>
    <row r="30" spans="1:25" ht="15" customHeight="1">
      <c r="A30" s="2532" t="s">
        <v>283</v>
      </c>
      <c r="B30" s="2533"/>
      <c r="C30" s="84">
        <f ca="1">분양개요!W9</f>
        <v>104.70002091197782</v>
      </c>
      <c r="D30" s="80">
        <f>C12</f>
        <v>2530</v>
      </c>
      <c r="E30" s="2523">
        <f ca="1">C30*D30</f>
        <v>264891.05290730385</v>
      </c>
      <c r="F30" s="2523"/>
      <c r="G30" s="2519">
        <f ca="1">E30/E32</f>
        <v>0.54616593370144972</v>
      </c>
      <c r="H30" s="2519"/>
      <c r="I30" s="2519"/>
      <c r="J30" s="2524">
        <f ca="1">E30/E34</f>
        <v>0.52245513965273216</v>
      </c>
      <c r="K30" s="2525"/>
      <c r="L30" s="57"/>
      <c r="M30" s="77">
        <v>10</v>
      </c>
      <c r="N30" s="2495" t="s">
        <v>312</v>
      </c>
      <c r="O30" s="2496"/>
      <c r="P30" s="2496"/>
      <c r="Q30" s="2496"/>
      <c r="R30" s="2496"/>
      <c r="S30" s="2496"/>
      <c r="T30" s="2496"/>
      <c r="U30" s="2496"/>
      <c r="V30" s="2496"/>
      <c r="W30" s="2496"/>
      <c r="X30" s="2497"/>
      <c r="Y30" s="78">
        <v>125</v>
      </c>
    </row>
    <row r="31" spans="1:25" ht="15" customHeight="1">
      <c r="A31" s="2532" t="s">
        <v>285</v>
      </c>
      <c r="B31" s="2533"/>
      <c r="C31" s="84">
        <f>분양개요!I9</f>
        <v>330</v>
      </c>
      <c r="D31" s="80">
        <f>K12</f>
        <v>667</v>
      </c>
      <c r="E31" s="2523">
        <f>C31*D31</f>
        <v>220110</v>
      </c>
      <c r="F31" s="2523"/>
      <c r="G31" s="2519">
        <f ca="1">E31/E32</f>
        <v>0.45383406629855022</v>
      </c>
      <c r="H31" s="2519"/>
      <c r="I31" s="2519"/>
      <c r="J31" s="2524">
        <f ca="1">E31/E34</f>
        <v>0.43413169122478895</v>
      </c>
      <c r="K31" s="2525"/>
      <c r="L31" s="65"/>
      <c r="M31" s="77">
        <v>11</v>
      </c>
      <c r="N31" s="2495" t="s">
        <v>313</v>
      </c>
      <c r="O31" s="2496"/>
      <c r="P31" s="2496"/>
      <c r="Q31" s="2496"/>
      <c r="R31" s="2496"/>
      <c r="S31" s="2496"/>
      <c r="T31" s="2496"/>
      <c r="U31" s="2496"/>
      <c r="V31" s="2496"/>
      <c r="W31" s="2496"/>
      <c r="X31" s="2497"/>
      <c r="Y31" s="78">
        <v>130</v>
      </c>
    </row>
    <row r="32" spans="1:25" ht="15" customHeight="1">
      <c r="A32" s="2532" t="s">
        <v>303</v>
      </c>
      <c r="B32" s="2533"/>
      <c r="C32" s="72"/>
      <c r="D32" s="80"/>
      <c r="E32" s="2523">
        <f ca="1">E30+E31</f>
        <v>485001.05290730385</v>
      </c>
      <c r="F32" s="2523"/>
      <c r="G32" s="2519">
        <f ca="1">G30+G31</f>
        <v>1</v>
      </c>
      <c r="H32" s="2519"/>
      <c r="I32" s="2519"/>
      <c r="J32" s="2524">
        <f ca="1">E32/E34</f>
        <v>0.95658683087752105</v>
      </c>
      <c r="K32" s="2525"/>
      <c r="L32" s="57"/>
      <c r="M32" s="77">
        <v>12</v>
      </c>
      <c r="N32" s="2495" t="s">
        <v>314</v>
      </c>
      <c r="O32" s="2496"/>
      <c r="P32" s="2496"/>
      <c r="Q32" s="2496"/>
      <c r="R32" s="2496"/>
      <c r="S32" s="2496"/>
      <c r="T32" s="2496"/>
      <c r="U32" s="2496"/>
      <c r="V32" s="2496"/>
      <c r="W32" s="2496"/>
      <c r="X32" s="2497"/>
      <c r="Y32" s="78">
        <v>135</v>
      </c>
    </row>
    <row r="33" spans="1:25" ht="15" customHeight="1">
      <c r="A33" s="2526" t="s">
        <v>305</v>
      </c>
      <c r="B33" s="2527"/>
      <c r="C33" s="82"/>
      <c r="D33" s="83"/>
      <c r="E33" s="2528">
        <f>E31*0.1</f>
        <v>22011</v>
      </c>
      <c r="F33" s="2528"/>
      <c r="G33" s="2529"/>
      <c r="H33" s="2529"/>
      <c r="I33" s="2529"/>
      <c r="J33" s="2530">
        <f ca="1">E33/E34</f>
        <v>4.3413169122478897E-2</v>
      </c>
      <c r="K33" s="2531"/>
      <c r="L33" s="57"/>
      <c r="M33" s="62"/>
      <c r="N33" s="63"/>
      <c r="O33" s="63"/>
      <c r="P33" s="63"/>
      <c r="Q33" s="63"/>
      <c r="R33" s="57"/>
      <c r="S33" s="57"/>
      <c r="T33" s="57"/>
      <c r="U33" s="57"/>
      <c r="V33" s="57"/>
      <c r="W33" s="57"/>
      <c r="X33" s="57"/>
      <c r="Y33" s="64"/>
    </row>
    <row r="34" spans="1:25" ht="15" customHeight="1" thickBot="1">
      <c r="A34" s="2532" t="s">
        <v>307</v>
      </c>
      <c r="B34" s="2533"/>
      <c r="C34" s="72"/>
      <c r="D34" s="80"/>
      <c r="E34" s="2523">
        <f ca="1">E32+E33</f>
        <v>507012.05290730385</v>
      </c>
      <c r="F34" s="2523"/>
      <c r="G34" s="2519"/>
      <c r="H34" s="2519"/>
      <c r="I34" s="2519"/>
      <c r="J34" s="2524">
        <f ca="1">E34/E34</f>
        <v>1</v>
      </c>
      <c r="K34" s="2525"/>
      <c r="L34" s="57"/>
      <c r="M34" s="2428" t="s">
        <v>315</v>
      </c>
      <c r="N34" s="2428"/>
      <c r="O34" s="2428"/>
      <c r="P34" s="63"/>
      <c r="Q34" s="63"/>
      <c r="R34" s="57"/>
      <c r="S34" s="57"/>
      <c r="T34" s="57"/>
      <c r="U34" s="57"/>
      <c r="V34" s="57"/>
      <c r="W34" s="57"/>
      <c r="X34" s="57"/>
      <c r="Y34" s="64"/>
    </row>
    <row r="35" spans="1:25" ht="15" customHeight="1" thickTop="1" thickBot="1">
      <c r="A35" s="57"/>
      <c r="B35" s="57"/>
      <c r="C35" s="57"/>
      <c r="D35" s="57"/>
      <c r="E35" s="57"/>
      <c r="F35" s="57"/>
      <c r="G35" s="57"/>
      <c r="H35" s="57"/>
      <c r="I35" s="57"/>
      <c r="J35" s="57"/>
      <c r="K35" s="57"/>
      <c r="L35" s="57"/>
      <c r="M35" s="69" t="s">
        <v>57</v>
      </c>
      <c r="N35" s="2536" t="s">
        <v>316</v>
      </c>
      <c r="O35" s="2536"/>
      <c r="P35" s="85" t="s">
        <v>267</v>
      </c>
      <c r="Q35" s="2536" t="s">
        <v>317</v>
      </c>
      <c r="R35" s="2536"/>
      <c r="S35" s="2536"/>
      <c r="T35" s="2536"/>
      <c r="U35" s="2536"/>
      <c r="V35" s="2536"/>
      <c r="W35" s="2536"/>
      <c r="X35" s="2536"/>
      <c r="Y35" s="70" t="s">
        <v>269</v>
      </c>
    </row>
    <row r="36" spans="1:25" ht="15" customHeight="1" thickTop="1">
      <c r="A36" s="2535" t="s">
        <v>318</v>
      </c>
      <c r="B36" s="2510"/>
      <c r="C36" s="81" t="s">
        <v>278</v>
      </c>
      <c r="D36" s="81" t="s">
        <v>265</v>
      </c>
      <c r="E36" s="2510" t="s">
        <v>279</v>
      </c>
      <c r="F36" s="2510"/>
      <c r="G36" s="2510" t="s">
        <v>280</v>
      </c>
      <c r="H36" s="2510"/>
      <c r="I36" s="2510"/>
      <c r="J36" s="2510" t="s">
        <v>281</v>
      </c>
      <c r="K36" s="2511"/>
      <c r="L36" s="57"/>
      <c r="M36" s="2501" t="s">
        <v>319</v>
      </c>
      <c r="N36" s="2499" t="s">
        <v>320</v>
      </c>
      <c r="O36" s="2498" t="s">
        <v>321</v>
      </c>
      <c r="P36" s="86">
        <v>1</v>
      </c>
      <c r="Q36" s="2523" t="s">
        <v>322</v>
      </c>
      <c r="R36" s="2523"/>
      <c r="S36" s="2523"/>
      <c r="T36" s="2523"/>
      <c r="U36" s="2523"/>
      <c r="V36" s="2523"/>
      <c r="W36" s="2523"/>
      <c r="X36" s="2523"/>
      <c r="Y36" s="78">
        <v>110</v>
      </c>
    </row>
    <row r="37" spans="1:25" ht="15" customHeight="1">
      <c r="A37" s="2532" t="s">
        <v>283</v>
      </c>
      <c r="B37" s="2533"/>
      <c r="C37" s="84">
        <f ca="1">분양개요!W10</f>
        <v>0</v>
      </c>
      <c r="D37" s="80">
        <f>C10</f>
        <v>2530</v>
      </c>
      <c r="E37" s="2523">
        <f ca="1">C37*D37</f>
        <v>0</v>
      </c>
      <c r="F37" s="2523"/>
      <c r="G37" s="2519">
        <f ca="1">IFERROR(E37/$E$39,0)</f>
        <v>0</v>
      </c>
      <c r="H37" s="2519"/>
      <c r="I37" s="2519"/>
      <c r="J37" s="2524">
        <f ca="1">IFERROR(E37/$E$41,0)</f>
        <v>0</v>
      </c>
      <c r="K37" s="2525"/>
      <c r="L37" s="57"/>
      <c r="M37" s="2501"/>
      <c r="N37" s="2499"/>
      <c r="O37" s="2498"/>
      <c r="P37" s="86">
        <v>2</v>
      </c>
      <c r="Q37" s="2523" t="s">
        <v>323</v>
      </c>
      <c r="R37" s="2523"/>
      <c r="S37" s="2523"/>
      <c r="T37" s="2523"/>
      <c r="U37" s="2523"/>
      <c r="V37" s="2523"/>
      <c r="W37" s="2523"/>
      <c r="X37" s="2523"/>
      <c r="Y37" s="78">
        <v>100</v>
      </c>
    </row>
    <row r="38" spans="1:25" ht="15" customHeight="1">
      <c r="A38" s="2532" t="s">
        <v>285</v>
      </c>
      <c r="B38" s="2533"/>
      <c r="C38" s="84">
        <f>분양개요!I10</f>
        <v>0</v>
      </c>
      <c r="D38" s="80">
        <f>K10</f>
        <v>816</v>
      </c>
      <c r="E38" s="2523">
        <f>C38*D38</f>
        <v>0</v>
      </c>
      <c r="F38" s="2523"/>
      <c r="G38" s="2519">
        <f ca="1">IFERROR(E38/$E$39,0)</f>
        <v>0</v>
      </c>
      <c r="H38" s="2519"/>
      <c r="I38" s="2519"/>
      <c r="J38" s="2524">
        <f ca="1">IFERROR(E38/$E$41,0)</f>
        <v>0</v>
      </c>
      <c r="K38" s="2525"/>
      <c r="L38" s="65"/>
      <c r="M38" s="2501"/>
      <c r="N38" s="2499"/>
      <c r="O38" s="2498"/>
      <c r="P38" s="86">
        <v>3</v>
      </c>
      <c r="Q38" s="2523" t="s">
        <v>324</v>
      </c>
      <c r="R38" s="2523"/>
      <c r="S38" s="2523"/>
      <c r="T38" s="2523"/>
      <c r="U38" s="2523"/>
      <c r="V38" s="2523"/>
      <c r="W38" s="2523"/>
      <c r="X38" s="2523"/>
      <c r="Y38" s="78">
        <v>100</v>
      </c>
    </row>
    <row r="39" spans="1:25" ht="15" customHeight="1">
      <c r="A39" s="2532" t="s">
        <v>303</v>
      </c>
      <c r="B39" s="2533"/>
      <c r="C39" s="72"/>
      <c r="D39" s="80"/>
      <c r="E39" s="2523">
        <f ca="1">E37+E38</f>
        <v>0</v>
      </c>
      <c r="F39" s="2523"/>
      <c r="G39" s="2519">
        <f ca="1">G37+G38</f>
        <v>0</v>
      </c>
      <c r="H39" s="2519"/>
      <c r="I39" s="2519"/>
      <c r="J39" s="2524">
        <f ca="1">IFERROR(E39/$E$41,0)</f>
        <v>0</v>
      </c>
      <c r="K39" s="2525"/>
      <c r="L39" s="57"/>
      <c r="M39" s="2501" t="s">
        <v>325</v>
      </c>
      <c r="N39" s="2499" t="s">
        <v>326</v>
      </c>
      <c r="O39" s="2498" t="s">
        <v>327</v>
      </c>
      <c r="P39" s="86">
        <v>4</v>
      </c>
      <c r="Q39" s="2523" t="s">
        <v>328</v>
      </c>
      <c r="R39" s="2523"/>
      <c r="S39" s="2523"/>
      <c r="T39" s="2523"/>
      <c r="U39" s="2523"/>
      <c r="V39" s="2523"/>
      <c r="W39" s="2523"/>
      <c r="X39" s="2523"/>
      <c r="Y39" s="78">
        <v>140</v>
      </c>
    </row>
    <row r="40" spans="1:25" ht="15" customHeight="1">
      <c r="A40" s="2526" t="s">
        <v>305</v>
      </c>
      <c r="B40" s="2527"/>
      <c r="C40" s="82"/>
      <c r="D40" s="83"/>
      <c r="E40" s="2528">
        <f>E38*0</f>
        <v>0</v>
      </c>
      <c r="F40" s="2528"/>
      <c r="G40" s="2529"/>
      <c r="H40" s="2529"/>
      <c r="I40" s="2529"/>
      <c r="J40" s="2530">
        <f ca="1">IFERROR(E40/$E$41,0)</f>
        <v>0</v>
      </c>
      <c r="K40" s="2531"/>
      <c r="L40" s="57"/>
      <c r="M40" s="2501"/>
      <c r="N40" s="2499"/>
      <c r="O40" s="2498"/>
      <c r="P40" s="2498">
        <v>5</v>
      </c>
      <c r="Q40" s="2523" t="s">
        <v>329</v>
      </c>
      <c r="R40" s="2523"/>
      <c r="S40" s="2523"/>
      <c r="T40" s="2523"/>
      <c r="U40" s="2523"/>
      <c r="V40" s="2523"/>
      <c r="W40" s="2523"/>
      <c r="X40" s="2523"/>
      <c r="Y40" s="2500">
        <v>120</v>
      </c>
    </row>
    <row r="41" spans="1:25" ht="15" customHeight="1">
      <c r="A41" s="2532" t="s">
        <v>307</v>
      </c>
      <c r="B41" s="2533"/>
      <c r="C41" s="72"/>
      <c r="D41" s="80"/>
      <c r="E41" s="2523">
        <f ca="1">E39+E40</f>
        <v>0</v>
      </c>
      <c r="F41" s="2523"/>
      <c r="G41" s="2519"/>
      <c r="H41" s="2519"/>
      <c r="I41" s="2519"/>
      <c r="J41" s="2524">
        <f ca="1">IFERROR(E41/$E$41,0)</f>
        <v>0</v>
      </c>
      <c r="K41" s="2525"/>
      <c r="L41" s="57"/>
      <c r="M41" s="2501"/>
      <c r="N41" s="2499"/>
      <c r="O41" s="2498"/>
      <c r="P41" s="2498"/>
      <c r="Q41" s="2534" t="s">
        <v>330</v>
      </c>
      <c r="R41" s="2534"/>
      <c r="S41" s="2534"/>
      <c r="T41" s="2534"/>
      <c r="U41" s="2534"/>
      <c r="V41" s="2534"/>
      <c r="W41" s="2534"/>
      <c r="X41" s="2534"/>
      <c r="Y41" s="2500"/>
    </row>
    <row r="42" spans="1:25" ht="15" customHeight="1" thickBot="1">
      <c r="A42" s="57"/>
      <c r="B42" s="57"/>
      <c r="C42" s="57"/>
      <c r="D42" s="57"/>
      <c r="E42" s="57"/>
      <c r="F42" s="57"/>
      <c r="G42" s="57"/>
      <c r="H42" s="57"/>
      <c r="I42" s="57"/>
      <c r="J42" s="57"/>
      <c r="K42" s="57"/>
      <c r="L42" s="57"/>
      <c r="M42" s="2501"/>
      <c r="N42" s="2499"/>
      <c r="O42" s="2498"/>
      <c r="P42" s="86">
        <v>6</v>
      </c>
      <c r="Q42" s="2495" t="s">
        <v>331</v>
      </c>
      <c r="R42" s="2496"/>
      <c r="S42" s="2496"/>
      <c r="T42" s="2496"/>
      <c r="U42" s="2496"/>
      <c r="V42" s="2496"/>
      <c r="W42" s="2496"/>
      <c r="X42" s="2497"/>
      <c r="Y42" s="78">
        <v>110</v>
      </c>
    </row>
    <row r="43" spans="1:25" ht="15" customHeight="1" thickTop="1">
      <c r="A43" s="2535" t="s">
        <v>332</v>
      </c>
      <c r="B43" s="2510"/>
      <c r="C43" s="81" t="s">
        <v>278</v>
      </c>
      <c r="D43" s="81" t="s">
        <v>265</v>
      </c>
      <c r="E43" s="2510" t="s">
        <v>279</v>
      </c>
      <c r="F43" s="2510"/>
      <c r="G43" s="2510" t="s">
        <v>280</v>
      </c>
      <c r="H43" s="2510"/>
      <c r="I43" s="2510"/>
      <c r="J43" s="2510" t="s">
        <v>281</v>
      </c>
      <c r="K43" s="2511"/>
      <c r="L43" s="57"/>
      <c r="M43" s="2501"/>
      <c r="N43" s="2499"/>
      <c r="O43" s="2498"/>
      <c r="P43" s="86">
        <v>7</v>
      </c>
      <c r="Q43" s="2495" t="s">
        <v>333</v>
      </c>
      <c r="R43" s="2496"/>
      <c r="S43" s="2496"/>
      <c r="T43" s="2496"/>
      <c r="U43" s="2496"/>
      <c r="V43" s="2496"/>
      <c r="W43" s="2496"/>
      <c r="X43" s="2497"/>
      <c r="Y43" s="78">
        <v>90</v>
      </c>
    </row>
    <row r="44" spans="1:25" ht="15" customHeight="1">
      <c r="A44" s="2532" t="s">
        <v>283</v>
      </c>
      <c r="B44" s="2533"/>
      <c r="C44" s="84">
        <f ca="1">C16+C23+C30+C37</f>
        <v>17659.999999999996</v>
      </c>
      <c r="D44" s="80">
        <f ca="1">+E44/C44</f>
        <v>2530</v>
      </c>
      <c r="E44" s="2523">
        <f ca="1">E16+E23+E30+E37</f>
        <v>44679799.999999993</v>
      </c>
      <c r="F44" s="2523">
        <f>F16+F30+F37</f>
        <v>0</v>
      </c>
      <c r="G44" s="2519">
        <f ca="1">+E44/E46</f>
        <v>0.49616258454853718</v>
      </c>
      <c r="H44" s="2519"/>
      <c r="I44" s="2519"/>
      <c r="J44" s="2524">
        <f ca="1">+E44/E48</f>
        <v>0.47236316112306437</v>
      </c>
      <c r="K44" s="2525"/>
      <c r="L44" s="57"/>
      <c r="M44" s="2501"/>
      <c r="N44" s="2499"/>
      <c r="O44" s="2499" t="s">
        <v>334</v>
      </c>
      <c r="P44" s="86">
        <v>8</v>
      </c>
      <c r="Q44" s="2495" t="s">
        <v>335</v>
      </c>
      <c r="R44" s="2496"/>
      <c r="S44" s="2496"/>
      <c r="T44" s="2496"/>
      <c r="U44" s="2496"/>
      <c r="V44" s="2496"/>
      <c r="W44" s="2496"/>
      <c r="X44" s="2497"/>
      <c r="Y44" s="78">
        <v>140</v>
      </c>
    </row>
    <row r="45" spans="1:25" ht="15" customHeight="1">
      <c r="A45" s="2532" t="s">
        <v>285</v>
      </c>
      <c r="B45" s="2533"/>
      <c r="C45" s="84">
        <f ca="1">C17+C24+C31+C38</f>
        <v>55661.880000000005</v>
      </c>
      <c r="D45" s="80">
        <f ca="1">+E45/C45</f>
        <v>815.11663062763967</v>
      </c>
      <c r="E45" s="2523">
        <f ca="1">E17+E24+E31+E38</f>
        <v>45370924.080000006</v>
      </c>
      <c r="F45" s="2523">
        <f>F17+F31+F38</f>
        <v>0</v>
      </c>
      <c r="G45" s="2519">
        <f ca="1">+E45/E46</f>
        <v>0.50383741545146277</v>
      </c>
      <c r="H45" s="2519"/>
      <c r="I45" s="2519"/>
      <c r="J45" s="2524">
        <f ca="1">+E45/E48</f>
        <v>0.47966985352448688</v>
      </c>
      <c r="K45" s="2525"/>
      <c r="L45" s="65"/>
      <c r="M45" s="2501"/>
      <c r="N45" s="2499"/>
      <c r="O45" s="2499"/>
      <c r="P45" s="2498">
        <v>9</v>
      </c>
      <c r="Q45" s="2523" t="s">
        <v>336</v>
      </c>
      <c r="R45" s="2523"/>
      <c r="S45" s="2523"/>
      <c r="T45" s="2523"/>
      <c r="U45" s="2523"/>
      <c r="V45" s="2523"/>
      <c r="W45" s="2523"/>
      <c r="X45" s="2523"/>
      <c r="Y45" s="2494">
        <v>120</v>
      </c>
    </row>
    <row r="46" spans="1:25" ht="15" customHeight="1">
      <c r="A46" s="2532" t="s">
        <v>303</v>
      </c>
      <c r="B46" s="2533"/>
      <c r="C46" s="72"/>
      <c r="D46" s="80"/>
      <c r="E46" s="2523">
        <f ca="1">SUM(E44:F45)</f>
        <v>90050724.079999998</v>
      </c>
      <c r="F46" s="2523"/>
      <c r="G46" s="2519">
        <f ca="1">SUM(G44:I45)</f>
        <v>1</v>
      </c>
      <c r="H46" s="2519"/>
      <c r="I46" s="2519"/>
      <c r="J46" s="2524">
        <f ca="1">+E46/E48</f>
        <v>0.95203301464755119</v>
      </c>
      <c r="K46" s="2525"/>
      <c r="L46" s="57"/>
      <c r="M46" s="2501"/>
      <c r="N46" s="2499"/>
      <c r="O46" s="2499"/>
      <c r="P46" s="2498"/>
      <c r="Q46" s="2523" t="s">
        <v>337</v>
      </c>
      <c r="R46" s="2523"/>
      <c r="S46" s="2523"/>
      <c r="T46" s="2523"/>
      <c r="U46" s="2523"/>
      <c r="V46" s="2523"/>
      <c r="W46" s="2523"/>
      <c r="X46" s="2523"/>
      <c r="Y46" s="2494"/>
    </row>
    <row r="47" spans="1:25" ht="15" customHeight="1">
      <c r="A47" s="2526" t="s">
        <v>305</v>
      </c>
      <c r="B47" s="2527"/>
      <c r="C47" s="82"/>
      <c r="D47" s="83"/>
      <c r="E47" s="2528">
        <f ca="1">E19+E26+E33+E40</f>
        <v>4537092.4080000008</v>
      </c>
      <c r="F47" s="2528">
        <f>F19+F33+F40</f>
        <v>0</v>
      </c>
      <c r="G47" s="2529"/>
      <c r="H47" s="2529"/>
      <c r="I47" s="2529"/>
      <c r="J47" s="2530">
        <f ca="1">+E47/E48</f>
        <v>4.7966985352448685E-2</v>
      </c>
      <c r="K47" s="2531"/>
      <c r="L47" s="57"/>
      <c r="M47" s="2501"/>
      <c r="N47" s="2499"/>
      <c r="O47" s="2499"/>
      <c r="P47" s="2498">
        <v>10</v>
      </c>
      <c r="Q47" s="2523" t="s">
        <v>338</v>
      </c>
      <c r="R47" s="2523"/>
      <c r="S47" s="2523"/>
      <c r="T47" s="2523"/>
      <c r="U47" s="2523"/>
      <c r="V47" s="2523"/>
      <c r="W47" s="2523"/>
      <c r="X47" s="2523"/>
      <c r="Y47" s="2494">
        <v>90</v>
      </c>
    </row>
    <row r="48" spans="1:25" ht="15" customHeight="1">
      <c r="A48" s="2532" t="s">
        <v>307</v>
      </c>
      <c r="B48" s="2533"/>
      <c r="C48" s="72"/>
      <c r="D48" s="80"/>
      <c r="E48" s="2523">
        <f ca="1">+E46+E47</f>
        <v>94587816.488000005</v>
      </c>
      <c r="F48" s="2523"/>
      <c r="G48" s="2519"/>
      <c r="H48" s="2519"/>
      <c r="I48" s="2519"/>
      <c r="J48" s="2524">
        <f ca="1">+E48/E48</f>
        <v>1</v>
      </c>
      <c r="K48" s="2525"/>
      <c r="L48" s="57"/>
      <c r="M48" s="2501"/>
      <c r="N48" s="2499"/>
      <c r="O48" s="2499"/>
      <c r="P48" s="2498"/>
      <c r="Q48" s="2523" t="s">
        <v>339</v>
      </c>
      <c r="R48" s="2523"/>
      <c r="S48" s="2523"/>
      <c r="T48" s="2523"/>
      <c r="U48" s="2523"/>
      <c r="V48" s="2523"/>
      <c r="W48" s="2523"/>
      <c r="X48" s="2523"/>
      <c r="Y48" s="2494"/>
    </row>
    <row r="49" spans="1:25" ht="15" customHeight="1" thickBot="1">
      <c r="A49" s="57"/>
      <c r="B49" s="57"/>
      <c r="C49" s="57"/>
      <c r="D49" s="57"/>
      <c r="E49" s="57"/>
      <c r="F49" s="57"/>
      <c r="G49" s="57"/>
      <c r="H49" s="57"/>
      <c r="I49" s="57"/>
      <c r="J49" s="57"/>
      <c r="K49" s="57"/>
      <c r="L49" s="57"/>
      <c r="M49" s="2501"/>
      <c r="N49" s="2499"/>
      <c r="O49" s="87" t="s">
        <v>340</v>
      </c>
      <c r="P49" s="86">
        <v>11</v>
      </c>
      <c r="Q49" s="2523" t="s">
        <v>341</v>
      </c>
      <c r="R49" s="2523"/>
      <c r="S49" s="2523"/>
      <c r="T49" s="2523"/>
      <c r="U49" s="2523"/>
      <c r="V49" s="2523"/>
      <c r="W49" s="2523"/>
      <c r="X49" s="2523"/>
      <c r="Y49" s="78">
        <v>100</v>
      </c>
    </row>
    <row r="50" spans="1:25" ht="15" customHeight="1" thickTop="1">
      <c r="A50" s="2508" t="s">
        <v>342</v>
      </c>
      <c r="B50" s="2509"/>
      <c r="C50" s="81" t="s">
        <v>343</v>
      </c>
      <c r="D50" s="81" t="s">
        <v>280</v>
      </c>
      <c r="E50" s="2510" t="s">
        <v>344</v>
      </c>
      <c r="F50" s="2510"/>
      <c r="G50" s="2510" t="s">
        <v>280</v>
      </c>
      <c r="H50" s="2510"/>
      <c r="I50" s="2510"/>
      <c r="J50" s="2510" t="s">
        <v>281</v>
      </c>
      <c r="K50" s="2511"/>
      <c r="L50" s="57"/>
      <c r="M50" s="2501"/>
      <c r="N50" s="2499"/>
      <c r="O50" s="2498" t="s">
        <v>345</v>
      </c>
      <c r="P50" s="2498">
        <v>12</v>
      </c>
      <c r="Q50" s="2523" t="s">
        <v>346</v>
      </c>
      <c r="R50" s="2523"/>
      <c r="S50" s="2523"/>
      <c r="T50" s="2523"/>
      <c r="U50" s="2523"/>
      <c r="V50" s="2523"/>
      <c r="W50" s="2523"/>
      <c r="X50" s="2523"/>
      <c r="Y50" s="2494">
        <v>130</v>
      </c>
    </row>
    <row r="51" spans="1:25" ht="15" customHeight="1">
      <c r="A51" s="2504"/>
      <c r="B51" s="2503"/>
      <c r="C51" s="2521">
        <f ca="1">C17</f>
        <v>55331.880000000005</v>
      </c>
      <c r="D51" s="2519">
        <f ca="1">C51/C75</f>
        <v>0.99407134649422546</v>
      </c>
      <c r="E51" s="88" t="s">
        <v>283</v>
      </c>
      <c r="F51" s="80">
        <f ca="1">+$F$54*G51</f>
        <v>0</v>
      </c>
      <c r="G51" s="2513">
        <f ca="1">J16</f>
        <v>0.47209320980811748</v>
      </c>
      <c r="H51" s="2514"/>
      <c r="I51" s="2515"/>
      <c r="J51" s="2506"/>
      <c r="K51" s="2507"/>
      <c r="L51" s="57"/>
      <c r="M51" s="2501"/>
      <c r="N51" s="2499"/>
      <c r="O51" s="2498"/>
      <c r="P51" s="2498"/>
      <c r="Q51" s="2523" t="s">
        <v>347</v>
      </c>
      <c r="R51" s="2523"/>
      <c r="S51" s="2523"/>
      <c r="T51" s="2523"/>
      <c r="U51" s="2523"/>
      <c r="V51" s="2523"/>
      <c r="W51" s="2523"/>
      <c r="X51" s="2523"/>
      <c r="Y51" s="2494"/>
    </row>
    <row r="52" spans="1:25" ht="15" customHeight="1">
      <c r="A52" s="2504"/>
      <c r="B52" s="2503"/>
      <c r="C52" s="2521"/>
      <c r="D52" s="2519"/>
      <c r="E52" s="88" t="s">
        <v>285</v>
      </c>
      <c r="F52" s="80">
        <f ca="1">+$F$54*G52</f>
        <v>0</v>
      </c>
      <c r="G52" s="2513">
        <f ca="1">J17</f>
        <v>0.47991526381080224</v>
      </c>
      <c r="H52" s="2514"/>
      <c r="I52" s="2515"/>
      <c r="J52" s="2506"/>
      <c r="K52" s="2507"/>
      <c r="L52" s="65"/>
      <c r="M52" s="2501"/>
      <c r="N52" s="2499"/>
      <c r="O52" s="2498"/>
      <c r="P52" s="2498"/>
      <c r="Q52" s="2523" t="s">
        <v>348</v>
      </c>
      <c r="R52" s="2523"/>
      <c r="S52" s="2523"/>
      <c r="T52" s="2523"/>
      <c r="U52" s="2523"/>
      <c r="V52" s="2523"/>
      <c r="W52" s="2523"/>
      <c r="X52" s="2523"/>
      <c r="Y52" s="2494"/>
    </row>
    <row r="53" spans="1:25" ht="15" customHeight="1">
      <c r="A53" s="2504"/>
      <c r="B53" s="2503"/>
      <c r="C53" s="2521"/>
      <c r="D53" s="2519"/>
      <c r="E53" s="88" t="s">
        <v>305</v>
      </c>
      <c r="F53" s="80">
        <f ca="1">+$F$54*G53</f>
        <v>0</v>
      </c>
      <c r="G53" s="2513">
        <f ca="1">J19</f>
        <v>4.7991526381080223E-2</v>
      </c>
      <c r="H53" s="2514"/>
      <c r="I53" s="2515"/>
      <c r="J53" s="2506"/>
      <c r="K53" s="2507"/>
      <c r="L53" s="57"/>
      <c r="M53" s="2501"/>
      <c r="N53" s="2499"/>
      <c r="O53" s="2498"/>
      <c r="P53" s="2498"/>
      <c r="Q53" s="2523" t="s">
        <v>349</v>
      </c>
      <c r="R53" s="2523"/>
      <c r="S53" s="2523"/>
      <c r="T53" s="2523"/>
      <c r="U53" s="2523"/>
      <c r="V53" s="2523"/>
      <c r="W53" s="2523"/>
      <c r="X53" s="2523"/>
      <c r="Y53" s="2494"/>
    </row>
    <row r="54" spans="1:25" ht="15" customHeight="1">
      <c r="A54" s="2504"/>
      <c r="B54" s="2503"/>
      <c r="C54" s="2521"/>
      <c r="D54" s="2519"/>
      <c r="E54" s="88" t="s">
        <v>350</v>
      </c>
      <c r="F54" s="80">
        <v>0</v>
      </c>
      <c r="G54" s="2513">
        <f ca="1">J20</f>
        <v>1</v>
      </c>
      <c r="H54" s="2514"/>
      <c r="I54" s="2515"/>
      <c r="J54" s="2506"/>
      <c r="K54" s="2507"/>
      <c r="L54" s="57"/>
      <c r="M54" s="2501"/>
      <c r="N54" s="2499"/>
      <c r="O54" s="2498"/>
      <c r="P54" s="2498"/>
      <c r="Q54" s="2495" t="s">
        <v>351</v>
      </c>
      <c r="R54" s="2496"/>
      <c r="S54" s="2496"/>
      <c r="T54" s="2496"/>
      <c r="U54" s="2496"/>
      <c r="V54" s="2496"/>
      <c r="W54" s="2496"/>
      <c r="X54" s="2497"/>
      <c r="Y54" s="2494"/>
    </row>
    <row r="55" spans="1:25" ht="15" customHeight="1" thickBot="1">
      <c r="A55" s="57"/>
      <c r="B55" s="57"/>
      <c r="C55" s="57"/>
      <c r="D55" s="57"/>
      <c r="E55" s="57"/>
      <c r="F55" s="57"/>
      <c r="G55" s="57"/>
      <c r="H55" s="57"/>
      <c r="I55" s="57"/>
      <c r="J55" s="57"/>
      <c r="K55" s="57"/>
      <c r="L55" s="57"/>
      <c r="M55" s="2501"/>
      <c r="N55" s="2499"/>
      <c r="O55" s="2498"/>
      <c r="P55" s="86">
        <v>13</v>
      </c>
      <c r="Q55" s="2495" t="s">
        <v>352</v>
      </c>
      <c r="R55" s="2496"/>
      <c r="S55" s="2496"/>
      <c r="T55" s="2496"/>
      <c r="U55" s="2496"/>
      <c r="V55" s="2496"/>
      <c r="W55" s="2496"/>
      <c r="X55" s="2497"/>
      <c r="Y55" s="78">
        <v>100</v>
      </c>
    </row>
    <row r="56" spans="1:25" ht="15" customHeight="1" thickTop="1">
      <c r="A56" s="2508" t="s">
        <v>353</v>
      </c>
      <c r="B56" s="2509"/>
      <c r="C56" s="81" t="s">
        <v>343</v>
      </c>
      <c r="D56" s="81" t="s">
        <v>280</v>
      </c>
      <c r="E56" s="2510" t="s">
        <v>344</v>
      </c>
      <c r="F56" s="2510"/>
      <c r="G56" s="2510" t="s">
        <v>280</v>
      </c>
      <c r="H56" s="2510"/>
      <c r="I56" s="2510"/>
      <c r="J56" s="2510" t="s">
        <v>281</v>
      </c>
      <c r="K56" s="2511"/>
      <c r="L56" s="57"/>
      <c r="M56" s="2501"/>
      <c r="N56" s="2499"/>
      <c r="O56" s="2498"/>
      <c r="P56" s="86">
        <v>14</v>
      </c>
      <c r="Q56" s="2495" t="s">
        <v>354</v>
      </c>
      <c r="R56" s="2496"/>
      <c r="S56" s="2496"/>
      <c r="T56" s="2496"/>
      <c r="U56" s="2496"/>
      <c r="V56" s="2496"/>
      <c r="W56" s="2496"/>
      <c r="X56" s="2497"/>
      <c r="Y56" s="78">
        <v>90</v>
      </c>
    </row>
    <row r="57" spans="1:25" ht="15" customHeight="1">
      <c r="A57" s="2504"/>
      <c r="B57" s="2503"/>
      <c r="C57" s="2521">
        <f>C24</f>
        <v>0</v>
      </c>
      <c r="D57" s="2519">
        <f ca="1">C57/$C$75</f>
        <v>0</v>
      </c>
      <c r="E57" s="88" t="s">
        <v>355</v>
      </c>
      <c r="F57" s="80">
        <f ca="1">$F$60*G57</f>
        <v>0</v>
      </c>
      <c r="G57" s="2513">
        <f ca="1">J23</f>
        <v>0</v>
      </c>
      <c r="H57" s="2514"/>
      <c r="I57" s="2515"/>
      <c r="J57" s="2506"/>
      <c r="K57" s="2507"/>
      <c r="L57" s="57"/>
      <c r="M57" s="2501"/>
      <c r="N57" s="2499"/>
      <c r="O57" s="2499" t="s">
        <v>356</v>
      </c>
      <c r="P57" s="86">
        <v>15</v>
      </c>
      <c r="Q57" s="2495" t="s">
        <v>357</v>
      </c>
      <c r="R57" s="2496"/>
      <c r="S57" s="2496"/>
      <c r="T57" s="2496"/>
      <c r="U57" s="2496"/>
      <c r="V57" s="2496"/>
      <c r="W57" s="2496"/>
      <c r="X57" s="2497"/>
      <c r="Y57" s="78">
        <v>120</v>
      </c>
    </row>
    <row r="58" spans="1:25" ht="15" customHeight="1">
      <c r="A58" s="2504"/>
      <c r="B58" s="2503"/>
      <c r="C58" s="2521"/>
      <c r="D58" s="2519"/>
      <c r="E58" s="88" t="s">
        <v>285</v>
      </c>
      <c r="F58" s="80">
        <f ca="1">$F$60*G58</f>
        <v>0</v>
      </c>
      <c r="G58" s="2513">
        <f ca="1">J24</f>
        <v>0</v>
      </c>
      <c r="H58" s="2514"/>
      <c r="I58" s="2515"/>
      <c r="J58" s="2506"/>
      <c r="K58" s="2507"/>
      <c r="L58" s="57"/>
      <c r="M58" s="2501"/>
      <c r="N58" s="2499"/>
      <c r="O58" s="2499"/>
      <c r="P58" s="86">
        <v>16</v>
      </c>
      <c r="Q58" s="2495" t="s">
        <v>358</v>
      </c>
      <c r="R58" s="2496"/>
      <c r="S58" s="2496"/>
      <c r="T58" s="2496"/>
      <c r="U58" s="2496"/>
      <c r="V58" s="2496"/>
      <c r="W58" s="2496"/>
      <c r="X58" s="2497"/>
      <c r="Y58" s="78">
        <v>110</v>
      </c>
    </row>
    <row r="59" spans="1:25" ht="15" customHeight="1">
      <c r="A59" s="2504"/>
      <c r="B59" s="2503"/>
      <c r="C59" s="2521"/>
      <c r="D59" s="2519"/>
      <c r="E59" s="88" t="s">
        <v>305</v>
      </c>
      <c r="F59" s="80">
        <f ca="1">$F$60*G59</f>
        <v>0</v>
      </c>
      <c r="G59" s="2513">
        <f ca="1">J26</f>
        <v>0</v>
      </c>
      <c r="H59" s="2514"/>
      <c r="I59" s="2515"/>
      <c r="J59" s="2506"/>
      <c r="K59" s="2507"/>
      <c r="L59" s="65"/>
      <c r="M59" s="2501"/>
      <c r="N59" s="2499"/>
      <c r="O59" s="2499"/>
      <c r="P59" s="2520">
        <v>17</v>
      </c>
      <c r="Q59" s="2522" t="s">
        <v>359</v>
      </c>
      <c r="R59" s="2522"/>
      <c r="S59" s="2522"/>
      <c r="T59" s="2522"/>
      <c r="U59" s="2522"/>
      <c r="V59" s="2522"/>
      <c r="W59" s="2522"/>
      <c r="X59" s="2522"/>
      <c r="Y59" s="2512">
        <v>100</v>
      </c>
    </row>
    <row r="60" spans="1:25" ht="15" customHeight="1">
      <c r="A60" s="2504"/>
      <c r="B60" s="2503"/>
      <c r="C60" s="2521"/>
      <c r="D60" s="2519"/>
      <c r="E60" s="88" t="s">
        <v>350</v>
      </c>
      <c r="F60" s="80">
        <v>49891801.695060372</v>
      </c>
      <c r="G60" s="2513">
        <f ca="1">J27</f>
        <v>0</v>
      </c>
      <c r="H60" s="2514"/>
      <c r="I60" s="2515"/>
      <c r="J60" s="2506"/>
      <c r="K60" s="2507"/>
      <c r="L60" s="57"/>
      <c r="M60" s="2501"/>
      <c r="N60" s="2499"/>
      <c r="O60" s="2499"/>
      <c r="P60" s="2520"/>
      <c r="Q60" s="2522" t="s">
        <v>360</v>
      </c>
      <c r="R60" s="2522"/>
      <c r="S60" s="2522"/>
      <c r="T60" s="2522"/>
      <c r="U60" s="2522"/>
      <c r="V60" s="2522"/>
      <c r="W60" s="2522"/>
      <c r="X60" s="2522"/>
      <c r="Y60" s="2512"/>
    </row>
    <row r="61" spans="1:25" ht="15" customHeight="1" thickBot="1">
      <c r="A61" s="57"/>
      <c r="B61" s="57"/>
      <c r="C61" s="57"/>
      <c r="D61" s="57"/>
      <c r="E61" s="57"/>
      <c r="F61" s="57"/>
      <c r="G61" s="57"/>
      <c r="H61" s="57"/>
      <c r="I61" s="57"/>
      <c r="J61" s="57"/>
      <c r="K61" s="57"/>
      <c r="L61" s="57"/>
      <c r="M61" s="2501"/>
      <c r="N61" s="2499"/>
      <c r="O61" s="2499"/>
      <c r="P61" s="2520"/>
      <c r="Q61" s="2522" t="s">
        <v>361</v>
      </c>
      <c r="R61" s="2522"/>
      <c r="S61" s="2522"/>
      <c r="T61" s="2522"/>
      <c r="U61" s="2522"/>
      <c r="V61" s="2522"/>
      <c r="W61" s="2522"/>
      <c r="X61" s="2522"/>
      <c r="Y61" s="2512"/>
    </row>
    <row r="62" spans="1:25" ht="15" customHeight="1" thickTop="1">
      <c r="A62" s="2508" t="s">
        <v>362</v>
      </c>
      <c r="B62" s="2509"/>
      <c r="C62" s="81" t="s">
        <v>343</v>
      </c>
      <c r="D62" s="81" t="s">
        <v>280</v>
      </c>
      <c r="E62" s="2510" t="s">
        <v>344</v>
      </c>
      <c r="F62" s="2510"/>
      <c r="G62" s="2510" t="s">
        <v>280</v>
      </c>
      <c r="H62" s="2510"/>
      <c r="I62" s="2510"/>
      <c r="J62" s="2510" t="s">
        <v>281</v>
      </c>
      <c r="K62" s="2511"/>
      <c r="L62" s="57"/>
      <c r="M62" s="2501"/>
      <c r="N62" s="2499"/>
      <c r="O62" s="2499"/>
      <c r="P62" s="2520"/>
      <c r="Q62" s="2522" t="s">
        <v>363</v>
      </c>
      <c r="R62" s="2522"/>
      <c r="S62" s="2522"/>
      <c r="T62" s="2522"/>
      <c r="U62" s="2522"/>
      <c r="V62" s="2522"/>
      <c r="W62" s="2522"/>
      <c r="X62" s="2522"/>
      <c r="Y62" s="2512"/>
    </row>
    <row r="63" spans="1:25" ht="15" customHeight="1">
      <c r="A63" s="2504"/>
      <c r="B63" s="2503"/>
      <c r="C63" s="2521">
        <f>C31</f>
        <v>330</v>
      </c>
      <c r="D63" s="2519">
        <f ca="1">C63/C75</f>
        <v>5.9286535057745081E-3</v>
      </c>
      <c r="E63" s="88" t="s">
        <v>283</v>
      </c>
      <c r="F63" s="80">
        <f ca="1">+$F$66*G63</f>
        <v>5583878.7684182879</v>
      </c>
      <c r="G63" s="2513">
        <f ca="1">J30</f>
        <v>0.52245513965273216</v>
      </c>
      <c r="H63" s="2514"/>
      <c r="I63" s="2515"/>
      <c r="J63" s="2506"/>
      <c r="K63" s="2507"/>
      <c r="L63" s="57"/>
      <c r="M63" s="2501"/>
      <c r="N63" s="2499"/>
      <c r="O63" s="2499"/>
      <c r="P63" s="2520"/>
      <c r="Q63" s="2522" t="s">
        <v>364</v>
      </c>
      <c r="R63" s="2522"/>
      <c r="S63" s="2522"/>
      <c r="T63" s="2522"/>
      <c r="U63" s="2522"/>
      <c r="V63" s="2522"/>
      <c r="W63" s="2522"/>
      <c r="X63" s="2522"/>
      <c r="Y63" s="2512"/>
    </row>
    <row r="64" spans="1:25" ht="15" customHeight="1">
      <c r="A64" s="2504"/>
      <c r="B64" s="2503"/>
      <c r="C64" s="2521"/>
      <c r="D64" s="2519"/>
      <c r="E64" s="88" t="s">
        <v>285</v>
      </c>
      <c r="F64" s="80">
        <f ca="1">+$F$66*G64</f>
        <v>4639898.3364177644</v>
      </c>
      <c r="G64" s="2513">
        <f ca="1">J31</f>
        <v>0.43413169122478895</v>
      </c>
      <c r="H64" s="2514"/>
      <c r="I64" s="2515"/>
      <c r="J64" s="2506"/>
      <c r="K64" s="2507"/>
      <c r="L64" s="57"/>
      <c r="M64" s="2501"/>
      <c r="N64" s="2499"/>
      <c r="O64" s="2520" t="s">
        <v>365</v>
      </c>
      <c r="P64" s="89">
        <v>18</v>
      </c>
      <c r="Q64" s="2516" t="s">
        <v>366</v>
      </c>
      <c r="R64" s="2517"/>
      <c r="S64" s="2517"/>
      <c r="T64" s="2517"/>
      <c r="U64" s="2517"/>
      <c r="V64" s="2517"/>
      <c r="W64" s="2517"/>
      <c r="X64" s="2518"/>
      <c r="Y64" s="90">
        <v>120</v>
      </c>
    </row>
    <row r="65" spans="1:25" ht="15" customHeight="1">
      <c r="A65" s="2504"/>
      <c r="B65" s="2503"/>
      <c r="C65" s="2521"/>
      <c r="D65" s="2519"/>
      <c r="E65" s="88" t="s">
        <v>305</v>
      </c>
      <c r="F65" s="80">
        <f ca="1">+$F$66*G65</f>
        <v>463989.83364177652</v>
      </c>
      <c r="G65" s="2513">
        <f ca="1">J33</f>
        <v>4.3413169122478897E-2</v>
      </c>
      <c r="H65" s="2514"/>
      <c r="I65" s="2515"/>
      <c r="J65" s="2506"/>
      <c r="K65" s="2507"/>
      <c r="L65" s="57"/>
      <c r="M65" s="2501"/>
      <c r="N65" s="2499"/>
      <c r="O65" s="2520"/>
      <c r="P65" s="2520">
        <v>19</v>
      </c>
      <c r="Q65" s="2516" t="s">
        <v>367</v>
      </c>
      <c r="R65" s="2517"/>
      <c r="S65" s="2517"/>
      <c r="T65" s="2517"/>
      <c r="U65" s="2517"/>
      <c r="V65" s="2517"/>
      <c r="W65" s="2517"/>
      <c r="X65" s="2518"/>
      <c r="Y65" s="2512">
        <v>100</v>
      </c>
    </row>
    <row r="66" spans="1:25" ht="15" customHeight="1">
      <c r="A66" s="2504"/>
      <c r="B66" s="2503"/>
      <c r="C66" s="2521"/>
      <c r="D66" s="2519"/>
      <c r="E66" s="88" t="s">
        <v>350</v>
      </c>
      <c r="F66" s="80">
        <v>10687766.938477829</v>
      </c>
      <c r="G66" s="2513">
        <f ca="1">J34</f>
        <v>1</v>
      </c>
      <c r="H66" s="2514"/>
      <c r="I66" s="2515"/>
      <c r="J66" s="2506"/>
      <c r="K66" s="2507"/>
      <c r="L66" s="57"/>
      <c r="M66" s="2501"/>
      <c r="N66" s="2499"/>
      <c r="O66" s="2520"/>
      <c r="P66" s="2520"/>
      <c r="Q66" s="2516" t="s">
        <v>368</v>
      </c>
      <c r="R66" s="2517"/>
      <c r="S66" s="2517"/>
      <c r="T66" s="2517"/>
      <c r="U66" s="2517"/>
      <c r="V66" s="2517"/>
      <c r="W66" s="2517"/>
      <c r="X66" s="2518"/>
      <c r="Y66" s="2512"/>
    </row>
    <row r="67" spans="1:25" ht="15" customHeight="1" thickBot="1">
      <c r="A67" s="57"/>
      <c r="B67" s="57"/>
      <c r="C67" s="57"/>
      <c r="D67" s="57"/>
      <c r="E67" s="57"/>
      <c r="F67" s="91"/>
      <c r="G67" s="57"/>
      <c r="H67" s="57"/>
      <c r="I67" s="57"/>
      <c r="J67" s="57"/>
      <c r="K67" s="57"/>
      <c r="L67" s="57"/>
      <c r="M67" s="2501"/>
      <c r="N67" s="2499"/>
      <c r="O67" s="2520"/>
      <c r="P67" s="2520"/>
      <c r="Q67" s="2516" t="s">
        <v>369</v>
      </c>
      <c r="R67" s="2517"/>
      <c r="S67" s="2517"/>
      <c r="T67" s="2517"/>
      <c r="U67" s="2517"/>
      <c r="V67" s="2517"/>
      <c r="W67" s="2517"/>
      <c r="X67" s="2518"/>
      <c r="Y67" s="2512"/>
    </row>
    <row r="68" spans="1:25" ht="15" customHeight="1" thickTop="1">
      <c r="A68" s="2508" t="s">
        <v>370</v>
      </c>
      <c r="B68" s="2509"/>
      <c r="C68" s="81" t="s">
        <v>343</v>
      </c>
      <c r="D68" s="81" t="s">
        <v>280</v>
      </c>
      <c r="E68" s="2510" t="s">
        <v>344</v>
      </c>
      <c r="F68" s="2510"/>
      <c r="G68" s="2510" t="s">
        <v>280</v>
      </c>
      <c r="H68" s="2510"/>
      <c r="I68" s="2510"/>
      <c r="J68" s="2510" t="s">
        <v>281</v>
      </c>
      <c r="K68" s="2511"/>
      <c r="L68" s="65"/>
      <c r="M68" s="2501"/>
      <c r="N68" s="2499"/>
      <c r="O68" s="2520" t="s">
        <v>371</v>
      </c>
      <c r="P68" s="89">
        <v>20</v>
      </c>
      <c r="Q68" s="2516" t="s">
        <v>372</v>
      </c>
      <c r="R68" s="2517"/>
      <c r="S68" s="2517"/>
      <c r="T68" s="2517"/>
      <c r="U68" s="2517"/>
      <c r="V68" s="2517"/>
      <c r="W68" s="2517"/>
      <c r="X68" s="2518"/>
      <c r="Y68" s="90">
        <v>120</v>
      </c>
    </row>
    <row r="69" spans="1:25" ht="15" customHeight="1">
      <c r="A69" s="2504"/>
      <c r="B69" s="2503"/>
      <c r="C69" s="2521">
        <f>C38</f>
        <v>0</v>
      </c>
      <c r="D69" s="2519">
        <f ca="1">C69/C75</f>
        <v>0</v>
      </c>
      <c r="E69" s="88" t="s">
        <v>283</v>
      </c>
      <c r="F69" s="80">
        <f ca="1">$F$72*G69</f>
        <v>0</v>
      </c>
      <c r="G69" s="2513">
        <f ca="1">J37</f>
        <v>0</v>
      </c>
      <c r="H69" s="2514"/>
      <c r="I69" s="2515"/>
      <c r="J69" s="2506"/>
      <c r="K69" s="2507"/>
      <c r="L69" s="57"/>
      <c r="M69" s="2501"/>
      <c r="N69" s="2499"/>
      <c r="O69" s="2520"/>
      <c r="P69" s="89">
        <v>21</v>
      </c>
      <c r="Q69" s="2516" t="s">
        <v>373</v>
      </c>
      <c r="R69" s="2517"/>
      <c r="S69" s="2517"/>
      <c r="T69" s="2517"/>
      <c r="U69" s="2517"/>
      <c r="V69" s="2517"/>
      <c r="W69" s="2517"/>
      <c r="X69" s="2518"/>
      <c r="Y69" s="90">
        <v>100</v>
      </c>
    </row>
    <row r="70" spans="1:25" ht="15" customHeight="1">
      <c r="A70" s="2504"/>
      <c r="B70" s="2503"/>
      <c r="C70" s="2521"/>
      <c r="D70" s="2519"/>
      <c r="E70" s="88" t="s">
        <v>285</v>
      </c>
      <c r="F70" s="80">
        <f ca="1">$F$72*G70</f>
        <v>0</v>
      </c>
      <c r="G70" s="2513">
        <f ca="1">J38</f>
        <v>0</v>
      </c>
      <c r="H70" s="2514"/>
      <c r="I70" s="2515"/>
      <c r="J70" s="2506"/>
      <c r="K70" s="2507"/>
      <c r="L70" s="57"/>
      <c r="M70" s="2501"/>
      <c r="N70" s="2499"/>
      <c r="O70" s="2520"/>
      <c r="P70" s="89">
        <v>22</v>
      </c>
      <c r="Q70" s="2516" t="s">
        <v>374</v>
      </c>
      <c r="R70" s="2517"/>
      <c r="S70" s="2517"/>
      <c r="T70" s="2517"/>
      <c r="U70" s="2517"/>
      <c r="V70" s="2517"/>
      <c r="W70" s="2517"/>
      <c r="X70" s="2518"/>
      <c r="Y70" s="92">
        <v>100</v>
      </c>
    </row>
    <row r="71" spans="1:25" ht="15" customHeight="1">
      <c r="A71" s="2504"/>
      <c r="B71" s="2503"/>
      <c r="C71" s="2521"/>
      <c r="D71" s="2519"/>
      <c r="E71" s="88" t="s">
        <v>305</v>
      </c>
      <c r="F71" s="80">
        <f ca="1">$F$72*G71</f>
        <v>0</v>
      </c>
      <c r="G71" s="2513">
        <f ca="1">J40</f>
        <v>0</v>
      </c>
      <c r="H71" s="2514"/>
      <c r="I71" s="2515"/>
      <c r="J71" s="2506"/>
      <c r="K71" s="2507"/>
      <c r="L71" s="57"/>
      <c r="M71" s="2501"/>
      <c r="N71" s="2499"/>
      <c r="O71" s="2520" t="s">
        <v>375</v>
      </c>
      <c r="P71" s="89">
        <v>23</v>
      </c>
      <c r="Q71" s="2516" t="s">
        <v>376</v>
      </c>
      <c r="R71" s="2517"/>
      <c r="S71" s="2517"/>
      <c r="T71" s="2517"/>
      <c r="U71" s="2517"/>
      <c r="V71" s="2517"/>
      <c r="W71" s="2517"/>
      <c r="X71" s="2518"/>
      <c r="Y71" s="90">
        <v>110</v>
      </c>
    </row>
    <row r="72" spans="1:25" ht="15" customHeight="1">
      <c r="A72" s="2504"/>
      <c r="B72" s="2503"/>
      <c r="C72" s="2521"/>
      <c r="D72" s="2519"/>
      <c r="E72" s="88" t="s">
        <v>350</v>
      </c>
      <c r="F72" s="80">
        <v>0</v>
      </c>
      <c r="G72" s="2513" t="e">
        <f>F72/F72</f>
        <v>#DIV/0!</v>
      </c>
      <c r="H72" s="2514"/>
      <c r="I72" s="2515"/>
      <c r="J72" s="2506"/>
      <c r="K72" s="2507"/>
      <c r="L72" s="57"/>
      <c r="M72" s="2501"/>
      <c r="N72" s="2499"/>
      <c r="O72" s="2520"/>
      <c r="P72" s="89">
        <v>24</v>
      </c>
      <c r="Q72" s="2516" t="s">
        <v>377</v>
      </c>
      <c r="R72" s="2517"/>
      <c r="S72" s="2517"/>
      <c r="T72" s="2517"/>
      <c r="U72" s="2517"/>
      <c r="V72" s="2517"/>
      <c r="W72" s="2517"/>
      <c r="X72" s="2518"/>
      <c r="Y72" s="90">
        <v>100</v>
      </c>
    </row>
    <row r="73" spans="1:25" ht="15" customHeight="1" thickBot="1">
      <c r="A73" s="57"/>
      <c r="B73" s="57"/>
      <c r="C73" s="91"/>
      <c r="D73" s="57"/>
      <c r="E73" s="57"/>
      <c r="F73" s="57"/>
      <c r="G73" s="57"/>
      <c r="H73" s="57"/>
      <c r="I73" s="57"/>
      <c r="J73" s="57"/>
      <c r="K73" s="57"/>
      <c r="L73" s="65"/>
      <c r="M73" s="2501"/>
      <c r="N73" s="2499"/>
      <c r="O73" s="2520" t="s">
        <v>378</v>
      </c>
      <c r="P73" s="2520">
        <v>25</v>
      </c>
      <c r="Q73" s="2516" t="s">
        <v>379</v>
      </c>
      <c r="R73" s="2517"/>
      <c r="S73" s="2517"/>
      <c r="T73" s="2517"/>
      <c r="U73" s="2517"/>
      <c r="V73" s="2517"/>
      <c r="W73" s="2517"/>
      <c r="X73" s="2518"/>
      <c r="Y73" s="2512">
        <v>110</v>
      </c>
    </row>
    <row r="74" spans="1:25" ht="15" customHeight="1" thickTop="1">
      <c r="A74" s="2508" t="s">
        <v>350</v>
      </c>
      <c r="B74" s="2509"/>
      <c r="C74" s="81" t="s">
        <v>343</v>
      </c>
      <c r="D74" s="81" t="s">
        <v>280</v>
      </c>
      <c r="E74" s="2510" t="s">
        <v>344</v>
      </c>
      <c r="F74" s="2510"/>
      <c r="G74" s="2510" t="s">
        <v>280</v>
      </c>
      <c r="H74" s="2510"/>
      <c r="I74" s="2510"/>
      <c r="J74" s="2510" t="s">
        <v>281</v>
      </c>
      <c r="K74" s="2511"/>
      <c r="L74" s="57"/>
      <c r="M74" s="2501"/>
      <c r="N74" s="2499"/>
      <c r="O74" s="2520"/>
      <c r="P74" s="2520"/>
      <c r="Q74" s="2516" t="s">
        <v>380</v>
      </c>
      <c r="R74" s="2517"/>
      <c r="S74" s="2517"/>
      <c r="T74" s="2517"/>
      <c r="U74" s="2517"/>
      <c r="V74" s="2517"/>
      <c r="W74" s="2517"/>
      <c r="X74" s="2518"/>
      <c r="Y74" s="2512"/>
    </row>
    <row r="75" spans="1:25" ht="15" customHeight="1">
      <c r="A75" s="2504"/>
      <c r="B75" s="2503"/>
      <c r="C75" s="2521">
        <f ca="1">C51+C57+C63+C69</f>
        <v>55661.880000000005</v>
      </c>
      <c r="D75" s="2519">
        <f ca="1">C75/C75</f>
        <v>1</v>
      </c>
      <c r="E75" s="88" t="s">
        <v>283</v>
      </c>
      <c r="F75" s="80">
        <f ca="1">IFERROR(F51+F57+F63+F69,0)</f>
        <v>5583878.7684182879</v>
      </c>
      <c r="G75" s="2513">
        <f ca="1">F75/F78</f>
        <v>0.52245513965273216</v>
      </c>
      <c r="H75" s="2514"/>
      <c r="I75" s="2515"/>
      <c r="J75" s="2506"/>
      <c r="K75" s="2507"/>
      <c r="L75" s="57"/>
      <c r="M75" s="2501"/>
      <c r="N75" s="2499"/>
      <c r="O75" s="2520"/>
      <c r="P75" s="2520"/>
      <c r="Q75" s="2516" t="s">
        <v>381</v>
      </c>
      <c r="R75" s="2517"/>
      <c r="S75" s="2517"/>
      <c r="T75" s="2517"/>
      <c r="U75" s="2517"/>
      <c r="V75" s="2517"/>
      <c r="W75" s="2517"/>
      <c r="X75" s="2518"/>
      <c r="Y75" s="2512"/>
    </row>
    <row r="76" spans="1:25" ht="15" customHeight="1">
      <c r="A76" s="2504"/>
      <c r="B76" s="2503"/>
      <c r="C76" s="2521"/>
      <c r="D76" s="2519"/>
      <c r="E76" s="88" t="s">
        <v>285</v>
      </c>
      <c r="F76" s="80">
        <f ca="1">IFERROR(F52+F58+F64+F70,0)</f>
        <v>4639898.3364177644</v>
      </c>
      <c r="G76" s="2513">
        <f ca="1">F76/F78</f>
        <v>0.4341316912247889</v>
      </c>
      <c r="H76" s="2514"/>
      <c r="I76" s="2515"/>
      <c r="J76" s="2506"/>
      <c r="K76" s="2507"/>
      <c r="L76" s="57"/>
      <c r="M76" s="2501"/>
      <c r="N76" s="2499"/>
      <c r="O76" s="2520"/>
      <c r="P76" s="2520"/>
      <c r="Q76" s="2516" t="s">
        <v>382</v>
      </c>
      <c r="R76" s="2517"/>
      <c r="S76" s="2517"/>
      <c r="T76" s="2517"/>
      <c r="U76" s="2517"/>
      <c r="V76" s="2517"/>
      <c r="W76" s="2517"/>
      <c r="X76" s="2518"/>
      <c r="Y76" s="2512"/>
    </row>
    <row r="77" spans="1:25" ht="15" customHeight="1">
      <c r="A77" s="2504"/>
      <c r="B77" s="2503"/>
      <c r="C77" s="2521"/>
      <c r="D77" s="2519"/>
      <c r="E77" s="88" t="s">
        <v>305</v>
      </c>
      <c r="F77" s="80">
        <f ca="1">IFERROR(F53+F59+F65+F71,0)</f>
        <v>463989.83364177652</v>
      </c>
      <c r="G77" s="2513">
        <f ca="1">F77/F78</f>
        <v>4.3413169122478897E-2</v>
      </c>
      <c r="H77" s="2514"/>
      <c r="I77" s="2515"/>
      <c r="J77" s="2506"/>
      <c r="K77" s="2507"/>
      <c r="L77" s="57"/>
      <c r="M77" s="2501"/>
      <c r="N77" s="2499"/>
      <c r="O77" s="2520" t="s">
        <v>383</v>
      </c>
      <c r="P77" s="2520">
        <v>26</v>
      </c>
      <c r="Q77" s="2516" t="s">
        <v>384</v>
      </c>
      <c r="R77" s="2517"/>
      <c r="S77" s="2517"/>
      <c r="T77" s="2517"/>
      <c r="U77" s="2517"/>
      <c r="V77" s="2517"/>
      <c r="W77" s="2517"/>
      <c r="X77" s="2518"/>
      <c r="Y77" s="2512">
        <v>110</v>
      </c>
    </row>
    <row r="78" spans="1:25" ht="15" customHeight="1">
      <c r="A78" s="2504"/>
      <c r="B78" s="2503"/>
      <c r="C78" s="2521"/>
      <c r="D78" s="2519"/>
      <c r="E78" s="88" t="s">
        <v>350</v>
      </c>
      <c r="F78" s="80">
        <f ca="1">F75+F76+F77</f>
        <v>10687766.938477829</v>
      </c>
      <c r="G78" s="2513">
        <f ca="1">F78/F78</f>
        <v>1</v>
      </c>
      <c r="H78" s="2514"/>
      <c r="I78" s="2515"/>
      <c r="J78" s="2506"/>
      <c r="K78" s="2507"/>
      <c r="L78" s="65"/>
      <c r="M78" s="2501"/>
      <c r="N78" s="2499"/>
      <c r="O78" s="2520"/>
      <c r="P78" s="2520"/>
      <c r="Q78" s="2516" t="s">
        <v>385</v>
      </c>
      <c r="R78" s="2517"/>
      <c r="S78" s="2517"/>
      <c r="T78" s="2517"/>
      <c r="U78" s="2517"/>
      <c r="V78" s="2517"/>
      <c r="W78" s="2517"/>
      <c r="X78" s="2518"/>
      <c r="Y78" s="2512"/>
    </row>
    <row r="79" spans="1:25" ht="15" customHeight="1" thickBot="1">
      <c r="A79" s="57"/>
      <c r="B79" s="57"/>
      <c r="C79" s="57"/>
      <c r="D79" s="57"/>
      <c r="E79" s="57"/>
      <c r="F79" s="57"/>
      <c r="G79" s="57"/>
      <c r="H79" s="57"/>
      <c r="I79" s="57"/>
      <c r="J79" s="57"/>
      <c r="K79" s="57"/>
      <c r="L79" s="57"/>
      <c r="M79" s="2501"/>
      <c r="N79" s="2499"/>
      <c r="O79" s="2520"/>
      <c r="P79" s="2520"/>
      <c r="Q79" s="2516" t="s">
        <v>386</v>
      </c>
      <c r="R79" s="2517"/>
      <c r="S79" s="2517"/>
      <c r="T79" s="2517"/>
      <c r="U79" s="2517"/>
      <c r="V79" s="2517"/>
      <c r="W79" s="2517"/>
      <c r="X79" s="2518"/>
      <c r="Y79" s="2512"/>
    </row>
    <row r="80" spans="1:25" ht="15" customHeight="1" thickTop="1">
      <c r="A80" s="2508" t="s">
        <v>387</v>
      </c>
      <c r="B80" s="2509"/>
      <c r="C80" s="81" t="s">
        <v>259</v>
      </c>
      <c r="D80" s="81" t="s">
        <v>388</v>
      </c>
      <c r="E80" s="81" t="s">
        <v>389</v>
      </c>
      <c r="F80" s="81" t="s">
        <v>390</v>
      </c>
      <c r="G80" s="2510" t="s">
        <v>391</v>
      </c>
      <c r="H80" s="2510"/>
      <c r="I80" s="2510"/>
      <c r="J80" s="2510" t="s">
        <v>281</v>
      </c>
      <c r="K80" s="2511"/>
      <c r="L80" s="57"/>
      <c r="M80" s="2501"/>
      <c r="N80" s="2499"/>
      <c r="O80" s="2499" t="s">
        <v>392</v>
      </c>
      <c r="P80" s="2498">
        <v>27</v>
      </c>
      <c r="Q80" s="2495" t="s">
        <v>393</v>
      </c>
      <c r="R80" s="2496"/>
      <c r="S80" s="2496"/>
      <c r="T80" s="2496"/>
      <c r="U80" s="2496"/>
      <c r="V80" s="2496"/>
      <c r="W80" s="2496"/>
      <c r="X80" s="2497"/>
      <c r="Y80" s="2494">
        <v>90</v>
      </c>
    </row>
    <row r="81" spans="1:25" ht="15" customHeight="1">
      <c r="A81" s="2502">
        <f ca="1">+F77</f>
        <v>463989.83364177652</v>
      </c>
      <c r="B81" s="2503"/>
      <c r="C81" s="93" t="s">
        <v>394</v>
      </c>
      <c r="D81" s="94">
        <f>SUM(D82:D84)</f>
        <v>3047552.8750740001</v>
      </c>
      <c r="E81" s="94">
        <f ca="1">SUM(E82:E84)</f>
        <v>3047552.8750740001</v>
      </c>
      <c r="F81" s="94">
        <f ca="1">SUM(F82:F84)</f>
        <v>0</v>
      </c>
      <c r="G81" s="2505">
        <f ca="1">+A81-D81+F81</f>
        <v>-2583563.0414322237</v>
      </c>
      <c r="H81" s="2505"/>
      <c r="I81" s="2505"/>
      <c r="J81" s="2506"/>
      <c r="K81" s="2507"/>
      <c r="L81" s="57"/>
      <c r="M81" s="2501"/>
      <c r="N81" s="2499"/>
      <c r="O81" s="2499"/>
      <c r="P81" s="2498"/>
      <c r="Q81" s="2495" t="s">
        <v>395</v>
      </c>
      <c r="R81" s="2496"/>
      <c r="S81" s="2496"/>
      <c r="T81" s="2496"/>
      <c r="U81" s="2496"/>
      <c r="V81" s="2496"/>
      <c r="W81" s="2496"/>
      <c r="X81" s="2497"/>
      <c r="Y81" s="2494"/>
    </row>
    <row r="82" spans="1:25" ht="15" customHeight="1">
      <c r="A82" s="2504"/>
      <c r="B82" s="2503"/>
      <c r="C82" s="84" t="s">
        <v>396</v>
      </c>
      <c r="D82" s="95">
        <v>2151424.3972499999</v>
      </c>
      <c r="E82" s="94">
        <f>+D82-F82</f>
        <v>2151424.3972499999</v>
      </c>
      <c r="F82" s="94">
        <v>0</v>
      </c>
      <c r="G82" s="2505"/>
      <c r="H82" s="2505"/>
      <c r="I82" s="2505"/>
      <c r="J82" s="2506"/>
      <c r="K82" s="2507"/>
      <c r="L82" s="57"/>
      <c r="M82" s="2501"/>
      <c r="N82" s="2499"/>
      <c r="O82" s="96" t="s">
        <v>397</v>
      </c>
      <c r="P82" s="86">
        <v>28</v>
      </c>
      <c r="Q82" s="2495" t="s">
        <v>398</v>
      </c>
      <c r="R82" s="2496"/>
      <c r="S82" s="2496"/>
      <c r="T82" s="2496"/>
      <c r="U82" s="2496"/>
      <c r="V82" s="2496"/>
      <c r="W82" s="2496"/>
      <c r="X82" s="2497"/>
      <c r="Y82" s="78">
        <v>100</v>
      </c>
    </row>
    <row r="83" spans="1:25" ht="15" customHeight="1">
      <c r="A83" s="2504"/>
      <c r="B83" s="2503"/>
      <c r="C83" s="84" t="s">
        <v>399</v>
      </c>
      <c r="D83" s="95">
        <v>102358.477824</v>
      </c>
      <c r="E83" s="94">
        <f>+D83-F83</f>
        <v>102358.477824</v>
      </c>
      <c r="F83" s="94">
        <v>0</v>
      </c>
      <c r="G83" s="2505"/>
      <c r="H83" s="2505"/>
      <c r="I83" s="2505"/>
      <c r="J83" s="2506"/>
      <c r="K83" s="2507"/>
      <c r="L83" s="57"/>
      <c r="M83" s="2501"/>
      <c r="N83" s="2499"/>
      <c r="O83" s="2499" t="s">
        <v>400</v>
      </c>
      <c r="P83" s="86">
        <v>29</v>
      </c>
      <c r="Q83" s="2495" t="s">
        <v>401</v>
      </c>
      <c r="R83" s="2496"/>
      <c r="S83" s="2496"/>
      <c r="T83" s="2496"/>
      <c r="U83" s="2496"/>
      <c r="V83" s="2496"/>
      <c r="W83" s="2496"/>
      <c r="X83" s="2497"/>
      <c r="Y83" s="78">
        <v>130</v>
      </c>
    </row>
    <row r="84" spans="1:25" ht="15" customHeight="1">
      <c r="A84" s="2504"/>
      <c r="B84" s="2503"/>
      <c r="C84" s="84" t="s">
        <v>402</v>
      </c>
      <c r="D84" s="95">
        <v>793770</v>
      </c>
      <c r="E84" s="94">
        <f ca="1">+D84-F84</f>
        <v>793770</v>
      </c>
      <c r="F84" s="94">
        <f ca="1">D84*C69/C75</f>
        <v>0</v>
      </c>
      <c r="G84" s="2505"/>
      <c r="H84" s="2505"/>
      <c r="I84" s="2505"/>
      <c r="J84" s="2506"/>
      <c r="K84" s="2507"/>
      <c r="L84" s="65"/>
      <c r="M84" s="2501"/>
      <c r="N84" s="2499"/>
      <c r="O84" s="2499"/>
      <c r="P84" s="86">
        <v>30</v>
      </c>
      <c r="Q84" s="2495" t="s">
        <v>403</v>
      </c>
      <c r="R84" s="2496"/>
      <c r="S84" s="2496"/>
      <c r="T84" s="2496"/>
      <c r="U84" s="2496"/>
      <c r="V84" s="2496"/>
      <c r="W84" s="2496"/>
      <c r="X84" s="2497"/>
      <c r="Y84" s="78">
        <v>110</v>
      </c>
    </row>
    <row r="85" spans="1:25" ht="15" customHeight="1">
      <c r="A85" s="57"/>
      <c r="B85" s="57"/>
      <c r="C85" s="57"/>
      <c r="D85" s="97">
        <v>43000</v>
      </c>
      <c r="E85" s="57"/>
      <c r="F85" s="97">
        <f ca="1">G81-F81</f>
        <v>-2583563.0414322237</v>
      </c>
      <c r="G85" s="57"/>
      <c r="H85" s="57"/>
      <c r="I85" s="57"/>
      <c r="J85" s="57"/>
      <c r="K85" s="57"/>
      <c r="L85" s="57"/>
      <c r="M85" s="2501"/>
      <c r="N85" s="2499"/>
      <c r="O85" s="2499"/>
      <c r="P85" s="86">
        <v>31</v>
      </c>
      <c r="Q85" s="2495" t="s">
        <v>404</v>
      </c>
      <c r="R85" s="2496"/>
      <c r="S85" s="2496"/>
      <c r="T85" s="2496"/>
      <c r="U85" s="2496"/>
      <c r="V85" s="2496"/>
      <c r="W85" s="2496"/>
      <c r="X85" s="2497"/>
      <c r="Y85" s="78">
        <v>100</v>
      </c>
    </row>
    <row r="86" spans="1:25" ht="15" customHeight="1">
      <c r="A86" s="57"/>
      <c r="B86" s="57"/>
      <c r="C86" s="57" t="s">
        <v>405</v>
      </c>
      <c r="D86" s="97"/>
      <c r="E86" s="57"/>
      <c r="F86" s="97"/>
      <c r="G86" s="57"/>
      <c r="H86" s="57"/>
      <c r="I86" s="57"/>
      <c r="J86" s="57"/>
      <c r="K86" s="57"/>
      <c r="L86" s="57"/>
      <c r="M86" s="2501"/>
      <c r="N86" s="2499"/>
      <c r="O86" s="2499"/>
      <c r="P86" s="2498">
        <v>32</v>
      </c>
      <c r="Q86" s="2495" t="s">
        <v>406</v>
      </c>
      <c r="R86" s="2496"/>
      <c r="S86" s="2496"/>
      <c r="T86" s="2496"/>
      <c r="U86" s="2496"/>
      <c r="V86" s="2496"/>
      <c r="W86" s="2496"/>
      <c r="X86" s="2497"/>
      <c r="Y86" s="2494">
        <v>90</v>
      </c>
    </row>
    <row r="87" spans="1:25" ht="15" customHeight="1">
      <c r="A87" s="57"/>
      <c r="B87" s="57"/>
      <c r="C87" s="57" t="s">
        <v>407</v>
      </c>
      <c r="D87" s="57"/>
      <c r="E87" s="57"/>
      <c r="F87" s="57"/>
      <c r="G87" s="57"/>
      <c r="H87" s="57"/>
      <c r="I87" s="57"/>
      <c r="J87" s="57"/>
      <c r="K87" s="57"/>
      <c r="L87" s="57"/>
      <c r="M87" s="2501"/>
      <c r="N87" s="2499"/>
      <c r="O87" s="2499"/>
      <c r="P87" s="2498"/>
      <c r="Q87" s="2495" t="s">
        <v>408</v>
      </c>
      <c r="R87" s="2496"/>
      <c r="S87" s="2496"/>
      <c r="T87" s="2496"/>
      <c r="U87" s="2496"/>
      <c r="V87" s="2496"/>
      <c r="W87" s="2496"/>
      <c r="X87" s="2497"/>
      <c r="Y87" s="2494"/>
    </row>
    <row r="88" spans="1:25" ht="15" customHeight="1">
      <c r="A88" s="57"/>
      <c r="B88" s="57"/>
      <c r="C88" s="57" t="s">
        <v>409</v>
      </c>
      <c r="D88" s="57"/>
      <c r="E88" s="57"/>
      <c r="F88" s="57"/>
      <c r="G88" s="57"/>
      <c r="H88" s="57"/>
      <c r="I88" s="57"/>
      <c r="J88" s="57"/>
      <c r="K88" s="57"/>
      <c r="L88" s="57"/>
      <c r="M88" s="2501"/>
      <c r="N88" s="2499"/>
      <c r="O88" s="2499"/>
      <c r="P88" s="2498"/>
      <c r="Q88" s="2495" t="s">
        <v>410</v>
      </c>
      <c r="R88" s="2496"/>
      <c r="S88" s="2496"/>
      <c r="T88" s="2496"/>
      <c r="U88" s="2496"/>
      <c r="V88" s="2496"/>
      <c r="W88" s="2496"/>
      <c r="X88" s="2497"/>
      <c r="Y88" s="2494"/>
    </row>
    <row r="89" spans="1:25" ht="15" customHeight="1">
      <c r="A89" s="57"/>
      <c r="B89" s="57"/>
      <c r="C89" s="57"/>
      <c r="D89" s="57"/>
      <c r="E89" s="57"/>
      <c r="F89" s="57"/>
      <c r="G89" s="57"/>
      <c r="H89" s="57"/>
      <c r="I89" s="57"/>
      <c r="J89" s="57"/>
      <c r="K89" s="57"/>
      <c r="L89" s="57"/>
      <c r="M89" s="2501"/>
      <c r="N89" s="2499"/>
      <c r="O89" s="2499"/>
      <c r="P89" s="2498"/>
      <c r="Q89" s="2495" t="s">
        <v>411</v>
      </c>
      <c r="R89" s="2496"/>
      <c r="S89" s="2496"/>
      <c r="T89" s="2496"/>
      <c r="U89" s="2496"/>
      <c r="V89" s="2496"/>
      <c r="W89" s="2496"/>
      <c r="X89" s="2497"/>
      <c r="Y89" s="2494"/>
    </row>
    <row r="90" spans="1:25" ht="15" customHeight="1">
      <c r="A90" s="57"/>
      <c r="B90" s="57"/>
      <c r="C90" s="57" t="s">
        <v>412</v>
      </c>
      <c r="D90" s="57"/>
      <c r="E90" s="57"/>
      <c r="F90" s="57"/>
      <c r="G90" s="57"/>
      <c r="H90" s="57"/>
      <c r="I90" s="57"/>
      <c r="J90" s="57"/>
      <c r="K90" s="57"/>
      <c r="L90" s="65"/>
      <c r="M90" s="2501"/>
      <c r="N90" s="2499"/>
      <c r="O90" s="2499"/>
      <c r="P90" s="2498"/>
      <c r="Q90" s="2495" t="s">
        <v>413</v>
      </c>
      <c r="R90" s="2496"/>
      <c r="S90" s="2496"/>
      <c r="T90" s="2496"/>
      <c r="U90" s="2496"/>
      <c r="V90" s="2496"/>
      <c r="W90" s="2496"/>
      <c r="X90" s="2497"/>
      <c r="Y90" s="2494"/>
    </row>
    <row r="91" spans="1:25" ht="15" customHeight="1">
      <c r="A91" s="57"/>
      <c r="B91" s="57"/>
      <c r="C91" s="57"/>
      <c r="D91" s="57"/>
      <c r="E91" s="57"/>
      <c r="F91" s="57"/>
      <c r="G91" s="57"/>
      <c r="H91" s="57"/>
      <c r="I91" s="57"/>
      <c r="J91" s="57"/>
      <c r="K91" s="57"/>
      <c r="L91" s="57"/>
      <c r="M91" s="2501"/>
      <c r="N91" s="2499"/>
      <c r="O91" s="2499"/>
      <c r="P91" s="2498"/>
      <c r="Q91" s="2495" t="s">
        <v>414</v>
      </c>
      <c r="R91" s="2496"/>
      <c r="S91" s="2496"/>
      <c r="T91" s="2496"/>
      <c r="U91" s="2496"/>
      <c r="V91" s="2496"/>
      <c r="W91" s="2496"/>
      <c r="X91" s="2497"/>
      <c r="Y91" s="2494"/>
    </row>
    <row r="92" spans="1:25" ht="15" customHeight="1">
      <c r="A92" s="57"/>
      <c r="B92" s="57"/>
      <c r="C92" s="57"/>
      <c r="D92" s="57"/>
      <c r="E92" s="57"/>
      <c r="F92" s="57"/>
      <c r="G92" s="57"/>
      <c r="H92" s="57"/>
      <c r="I92" s="57"/>
      <c r="J92" s="57"/>
      <c r="K92" s="57"/>
      <c r="L92" s="57"/>
      <c r="M92" s="2501"/>
      <c r="N92" s="2499"/>
      <c r="O92" s="2499"/>
      <c r="P92" s="2498"/>
      <c r="Q92" s="2495" t="s">
        <v>415</v>
      </c>
      <c r="R92" s="2496"/>
      <c r="S92" s="2496"/>
      <c r="T92" s="2496"/>
      <c r="U92" s="2496"/>
      <c r="V92" s="2496"/>
      <c r="W92" s="2496"/>
      <c r="X92" s="2497"/>
      <c r="Y92" s="2494"/>
    </row>
    <row r="93" spans="1:25" ht="15" customHeight="1">
      <c r="A93" s="57"/>
      <c r="B93" s="57"/>
      <c r="C93" s="57"/>
      <c r="D93" s="57"/>
      <c r="E93" s="57"/>
      <c r="F93" s="57"/>
      <c r="G93" s="57"/>
      <c r="H93" s="57"/>
      <c r="I93" s="57"/>
      <c r="J93" s="57"/>
      <c r="K93" s="57"/>
      <c r="L93" s="57"/>
      <c r="M93" s="2501"/>
      <c r="N93" s="2499"/>
      <c r="O93" s="2499"/>
      <c r="P93" s="2498"/>
      <c r="Q93" s="2495" t="s">
        <v>416</v>
      </c>
      <c r="R93" s="2496"/>
      <c r="S93" s="2496"/>
      <c r="T93" s="2496"/>
      <c r="U93" s="2496"/>
      <c r="V93" s="2496"/>
      <c r="W93" s="2496"/>
      <c r="X93" s="2497"/>
      <c r="Y93" s="2494"/>
    </row>
    <row r="94" spans="1:25" ht="15" customHeight="1">
      <c r="A94" s="57"/>
      <c r="B94" s="57"/>
      <c r="C94" s="57"/>
      <c r="D94" s="57"/>
      <c r="E94" s="57"/>
      <c r="F94" s="57"/>
      <c r="G94" s="57"/>
      <c r="H94" s="57"/>
      <c r="I94" s="57"/>
      <c r="J94" s="57"/>
      <c r="K94" s="57"/>
      <c r="L94" s="57"/>
      <c r="M94" s="2501"/>
      <c r="N94" s="2499"/>
      <c r="O94" s="2499"/>
      <c r="P94" s="2498"/>
      <c r="Q94" s="2495" t="s">
        <v>417</v>
      </c>
      <c r="R94" s="2496"/>
      <c r="S94" s="2496"/>
      <c r="T94" s="2496"/>
      <c r="U94" s="2496"/>
      <c r="V94" s="2496"/>
      <c r="W94" s="2496"/>
      <c r="X94" s="2497"/>
      <c r="Y94" s="2494"/>
    </row>
    <row r="95" spans="1:25" ht="15" customHeight="1">
      <c r="A95" s="57"/>
      <c r="B95" s="57"/>
      <c r="C95" s="57"/>
      <c r="D95" s="57"/>
      <c r="E95" s="57"/>
      <c r="F95" s="57"/>
      <c r="G95" s="57"/>
      <c r="H95" s="57"/>
      <c r="I95" s="57"/>
      <c r="J95" s="57"/>
      <c r="K95" s="57"/>
      <c r="L95" s="57"/>
      <c r="M95" s="2501"/>
      <c r="N95" s="2499"/>
      <c r="O95" s="2499"/>
      <c r="P95" s="2498"/>
      <c r="Q95" s="2495" t="s">
        <v>418</v>
      </c>
      <c r="R95" s="2496"/>
      <c r="S95" s="2496"/>
      <c r="T95" s="2496"/>
      <c r="U95" s="2496"/>
      <c r="V95" s="2496"/>
      <c r="W95" s="2496"/>
      <c r="X95" s="2497"/>
      <c r="Y95" s="2494"/>
    </row>
    <row r="96" spans="1:25" ht="15" customHeight="1">
      <c r="A96" s="57"/>
      <c r="B96" s="57"/>
      <c r="C96" s="57"/>
      <c r="D96" s="57"/>
      <c r="E96" s="57"/>
      <c r="F96" s="57"/>
      <c r="G96" s="57"/>
      <c r="H96" s="57"/>
      <c r="I96" s="57"/>
      <c r="J96" s="57"/>
      <c r="K96" s="57"/>
      <c r="L96" s="65"/>
      <c r="M96" s="2501"/>
      <c r="N96" s="2499"/>
      <c r="O96" s="2499"/>
      <c r="P96" s="2498"/>
      <c r="Q96" s="2495" t="s">
        <v>419</v>
      </c>
      <c r="R96" s="2496"/>
      <c r="S96" s="2496"/>
      <c r="T96" s="2496"/>
      <c r="U96" s="2496"/>
      <c r="V96" s="2496"/>
      <c r="W96" s="2496"/>
      <c r="X96" s="2497"/>
      <c r="Y96" s="2494"/>
    </row>
    <row r="97" spans="12:25" ht="15" customHeight="1">
      <c r="L97" s="57"/>
      <c r="M97" s="2501"/>
      <c r="N97" s="2499"/>
      <c r="O97" s="2499"/>
      <c r="P97" s="2498"/>
      <c r="Q97" s="2495" t="s">
        <v>420</v>
      </c>
      <c r="R97" s="2496"/>
      <c r="S97" s="2496"/>
      <c r="T97" s="2496"/>
      <c r="U97" s="2496"/>
      <c r="V97" s="2496"/>
      <c r="W97" s="2496"/>
      <c r="X97" s="2497"/>
      <c r="Y97" s="2494"/>
    </row>
    <row r="98" spans="12:25" ht="15" customHeight="1">
      <c r="L98" s="57"/>
      <c r="M98" s="2501"/>
      <c r="N98" s="2499"/>
      <c r="O98" s="2499"/>
      <c r="P98" s="2498"/>
      <c r="Q98" s="2495" t="s">
        <v>421</v>
      </c>
      <c r="R98" s="2496"/>
      <c r="S98" s="2496"/>
      <c r="T98" s="2496"/>
      <c r="U98" s="2496"/>
      <c r="V98" s="2496"/>
      <c r="W98" s="2496"/>
      <c r="X98" s="2497"/>
      <c r="Y98" s="2494"/>
    </row>
    <row r="99" spans="12:25" ht="15" customHeight="1">
      <c r="L99" s="57"/>
      <c r="M99" s="2501"/>
      <c r="N99" s="2499"/>
      <c r="O99" s="2499"/>
      <c r="P99" s="2498"/>
      <c r="Q99" s="2495" t="s">
        <v>422</v>
      </c>
      <c r="R99" s="2496"/>
      <c r="S99" s="2496"/>
      <c r="T99" s="2496"/>
      <c r="U99" s="2496"/>
      <c r="V99" s="2496"/>
      <c r="W99" s="2496"/>
      <c r="X99" s="2497"/>
      <c r="Y99" s="2494"/>
    </row>
    <row r="100" spans="12:25" ht="15" customHeight="1">
      <c r="L100" s="57"/>
      <c r="M100" s="2501"/>
      <c r="N100" s="2499"/>
      <c r="O100" s="2499"/>
      <c r="P100" s="2498"/>
      <c r="Q100" s="2495" t="s">
        <v>423</v>
      </c>
      <c r="R100" s="2496"/>
      <c r="S100" s="2496"/>
      <c r="T100" s="2496"/>
      <c r="U100" s="2496"/>
      <c r="V100" s="2496"/>
      <c r="W100" s="2496"/>
      <c r="X100" s="2497"/>
      <c r="Y100" s="2494"/>
    </row>
    <row r="101" spans="12:25" ht="15" customHeight="1">
      <c r="L101" s="57"/>
      <c r="M101" s="2501"/>
      <c r="N101" s="2499"/>
      <c r="O101" s="2499" t="s">
        <v>424</v>
      </c>
      <c r="P101" s="2498">
        <v>33</v>
      </c>
      <c r="Q101" s="2495" t="s">
        <v>425</v>
      </c>
      <c r="R101" s="2496"/>
      <c r="S101" s="2496"/>
      <c r="T101" s="2496"/>
      <c r="U101" s="2496"/>
      <c r="V101" s="2496"/>
      <c r="W101" s="2496"/>
      <c r="X101" s="2497"/>
      <c r="Y101" s="2500">
        <v>90</v>
      </c>
    </row>
    <row r="102" spans="12:25" ht="15" customHeight="1">
      <c r="L102" s="65"/>
      <c r="M102" s="2501"/>
      <c r="N102" s="2499"/>
      <c r="O102" s="2499"/>
      <c r="P102" s="2498"/>
      <c r="Q102" s="2495" t="s">
        <v>426</v>
      </c>
      <c r="R102" s="2496"/>
      <c r="S102" s="2496"/>
      <c r="T102" s="2496"/>
      <c r="U102" s="2496"/>
      <c r="V102" s="2496"/>
      <c r="W102" s="2496"/>
      <c r="X102" s="2497"/>
      <c r="Y102" s="2500"/>
    </row>
    <row r="103" spans="12:25" ht="15" customHeight="1">
      <c r="L103" s="57"/>
      <c r="M103" s="2501"/>
      <c r="N103" s="2499"/>
      <c r="O103" s="2499"/>
      <c r="P103" s="2498"/>
      <c r="Q103" s="2495" t="s">
        <v>427</v>
      </c>
      <c r="R103" s="2496"/>
      <c r="S103" s="2496"/>
      <c r="T103" s="2496"/>
      <c r="U103" s="2496"/>
      <c r="V103" s="2496"/>
      <c r="W103" s="2496"/>
      <c r="X103" s="2497"/>
      <c r="Y103" s="2500"/>
    </row>
    <row r="104" spans="12:25" ht="15" customHeight="1">
      <c r="L104" s="57"/>
      <c r="M104" s="2501" t="s">
        <v>428</v>
      </c>
      <c r="N104" s="2499" t="s">
        <v>429</v>
      </c>
      <c r="O104" s="2498" t="s">
        <v>430</v>
      </c>
      <c r="P104" s="2498">
        <v>34</v>
      </c>
      <c r="Q104" s="2495" t="s">
        <v>431</v>
      </c>
      <c r="R104" s="2496"/>
      <c r="S104" s="2496"/>
      <c r="T104" s="2496"/>
      <c r="U104" s="2496"/>
      <c r="V104" s="2496"/>
      <c r="W104" s="2496"/>
      <c r="X104" s="2497"/>
      <c r="Y104" s="2494">
        <v>90</v>
      </c>
    </row>
    <row r="105" spans="12:25" ht="15" customHeight="1">
      <c r="L105" s="57"/>
      <c r="M105" s="2501"/>
      <c r="N105" s="2499"/>
      <c r="O105" s="2498"/>
      <c r="P105" s="2498"/>
      <c r="Q105" s="2495" t="s">
        <v>432</v>
      </c>
      <c r="R105" s="2496"/>
      <c r="S105" s="2496"/>
      <c r="T105" s="2496"/>
      <c r="U105" s="2496"/>
      <c r="V105" s="2496"/>
      <c r="W105" s="2496"/>
      <c r="X105" s="2497"/>
      <c r="Y105" s="2494"/>
    </row>
    <row r="106" spans="12:25" ht="15" customHeight="1">
      <c r="L106" s="57"/>
      <c r="M106" s="2501"/>
      <c r="N106" s="2499"/>
      <c r="O106" s="2498"/>
      <c r="P106" s="2498"/>
      <c r="Q106" s="2495" t="s">
        <v>433</v>
      </c>
      <c r="R106" s="2496"/>
      <c r="S106" s="2496"/>
      <c r="T106" s="2496"/>
      <c r="U106" s="2496"/>
      <c r="V106" s="2496"/>
      <c r="W106" s="2496"/>
      <c r="X106" s="2497"/>
      <c r="Y106" s="2494"/>
    </row>
    <row r="107" spans="12:25" ht="15" customHeight="1">
      <c r="L107" s="57"/>
      <c r="M107" s="2501"/>
      <c r="N107" s="2499"/>
      <c r="O107" s="2498"/>
      <c r="P107" s="2498"/>
      <c r="Q107" s="2495" t="s">
        <v>434</v>
      </c>
      <c r="R107" s="2496"/>
      <c r="S107" s="2496"/>
      <c r="T107" s="2496"/>
      <c r="U107" s="2496"/>
      <c r="V107" s="2496"/>
      <c r="W107" s="2496"/>
      <c r="X107" s="2497"/>
      <c r="Y107" s="2494"/>
    </row>
    <row r="108" spans="12:25" ht="15" customHeight="1">
      <c r="L108" s="65"/>
      <c r="M108" s="2501"/>
      <c r="N108" s="2499"/>
      <c r="O108" s="2498"/>
      <c r="P108" s="86">
        <v>35</v>
      </c>
      <c r="Q108" s="2495" t="s">
        <v>435</v>
      </c>
      <c r="R108" s="2496"/>
      <c r="S108" s="2496"/>
      <c r="T108" s="2496"/>
      <c r="U108" s="2496"/>
      <c r="V108" s="2496"/>
      <c r="W108" s="2496"/>
      <c r="X108" s="2497"/>
      <c r="Y108" s="78">
        <v>70</v>
      </c>
    </row>
    <row r="109" spans="12:25" ht="15" customHeight="1">
      <c r="L109" s="57"/>
      <c r="M109" s="2501"/>
      <c r="N109" s="2499"/>
      <c r="O109" s="2498" t="s">
        <v>436</v>
      </c>
      <c r="P109" s="86">
        <v>36</v>
      </c>
      <c r="Q109" s="2495" t="s">
        <v>437</v>
      </c>
      <c r="R109" s="2496"/>
      <c r="S109" s="2496"/>
      <c r="T109" s="2496"/>
      <c r="U109" s="2496"/>
      <c r="V109" s="2496"/>
      <c r="W109" s="2496"/>
      <c r="X109" s="2497"/>
      <c r="Y109" s="78">
        <v>90</v>
      </c>
    </row>
    <row r="110" spans="12:25" ht="15" customHeight="1">
      <c r="L110" s="57"/>
      <c r="M110" s="2501"/>
      <c r="N110" s="2499"/>
      <c r="O110" s="2498"/>
      <c r="P110" s="86">
        <v>37</v>
      </c>
      <c r="Q110" s="2495" t="s">
        <v>438</v>
      </c>
      <c r="R110" s="2496"/>
      <c r="S110" s="2496"/>
      <c r="T110" s="2496"/>
      <c r="U110" s="2496"/>
      <c r="V110" s="2496"/>
      <c r="W110" s="2496"/>
      <c r="X110" s="2497"/>
      <c r="Y110" s="78">
        <v>80</v>
      </c>
    </row>
    <row r="111" spans="12:25" ht="15" customHeight="1">
      <c r="L111" s="57"/>
      <c r="M111" s="2501"/>
      <c r="N111" s="2499"/>
      <c r="O111" s="2498"/>
      <c r="P111" s="86">
        <v>38</v>
      </c>
      <c r="Q111" s="2495" t="s">
        <v>439</v>
      </c>
      <c r="R111" s="2496"/>
      <c r="S111" s="2496"/>
      <c r="T111" s="2496"/>
      <c r="U111" s="2496"/>
      <c r="V111" s="2496"/>
      <c r="W111" s="2496"/>
      <c r="X111" s="2497"/>
      <c r="Y111" s="78">
        <v>60</v>
      </c>
    </row>
    <row r="112" spans="12:25" ht="15" customHeight="1">
      <c r="L112" s="57"/>
      <c r="M112" s="2501"/>
      <c r="N112" s="2499"/>
      <c r="O112" s="2499" t="s">
        <v>440</v>
      </c>
      <c r="P112" s="2498">
        <v>39</v>
      </c>
      <c r="Q112" s="2495" t="s">
        <v>441</v>
      </c>
      <c r="R112" s="2496"/>
      <c r="S112" s="2496"/>
      <c r="T112" s="2496"/>
      <c r="U112" s="2496"/>
      <c r="V112" s="2496"/>
      <c r="W112" s="2496"/>
      <c r="X112" s="2497"/>
      <c r="Y112" s="2494">
        <v>90</v>
      </c>
    </row>
    <row r="113" spans="12:25" ht="15" customHeight="1">
      <c r="L113" s="57"/>
      <c r="M113" s="2501"/>
      <c r="N113" s="2499"/>
      <c r="O113" s="2499"/>
      <c r="P113" s="2498"/>
      <c r="Q113" s="2495" t="s">
        <v>442</v>
      </c>
      <c r="R113" s="2496"/>
      <c r="S113" s="2496"/>
      <c r="T113" s="2496"/>
      <c r="U113" s="2496"/>
      <c r="V113" s="2496"/>
      <c r="W113" s="2496"/>
      <c r="X113" s="2497"/>
      <c r="Y113" s="2494"/>
    </row>
    <row r="114" spans="12:25" ht="15" customHeight="1">
      <c r="L114" s="57"/>
      <c r="M114" s="2501"/>
      <c r="N114" s="2499"/>
      <c r="O114" s="2499"/>
      <c r="P114" s="86">
        <v>40</v>
      </c>
      <c r="Q114" s="2495" t="s">
        <v>443</v>
      </c>
      <c r="R114" s="2496"/>
      <c r="S114" s="2496"/>
      <c r="T114" s="2496"/>
      <c r="U114" s="2496"/>
      <c r="V114" s="2496"/>
      <c r="W114" s="2496"/>
      <c r="X114" s="2497"/>
      <c r="Y114" s="78">
        <v>60</v>
      </c>
    </row>
    <row r="115" spans="12:25" ht="15" customHeight="1">
      <c r="L115" s="57"/>
      <c r="M115" s="2501"/>
      <c r="N115" s="2499"/>
      <c r="O115" s="2499" t="s">
        <v>444</v>
      </c>
      <c r="P115" s="2498">
        <v>41</v>
      </c>
      <c r="Q115" s="2495" t="s">
        <v>445</v>
      </c>
      <c r="R115" s="2496"/>
      <c r="S115" s="2496"/>
      <c r="T115" s="2496"/>
      <c r="U115" s="2496"/>
      <c r="V115" s="2496"/>
      <c r="W115" s="2496"/>
      <c r="X115" s="2497"/>
      <c r="Y115" s="2494">
        <v>60</v>
      </c>
    </row>
    <row r="116" spans="12:25" ht="15" customHeight="1">
      <c r="L116" s="57"/>
      <c r="M116" s="2501"/>
      <c r="N116" s="2499"/>
      <c r="O116" s="2499"/>
      <c r="P116" s="2498"/>
      <c r="Q116" s="2495" t="s">
        <v>446</v>
      </c>
      <c r="R116" s="2496"/>
      <c r="S116" s="2496"/>
      <c r="T116" s="2496"/>
      <c r="U116" s="2496"/>
      <c r="V116" s="2496"/>
      <c r="W116" s="2496"/>
      <c r="X116" s="2497"/>
      <c r="Y116" s="2494"/>
    </row>
    <row r="117" spans="12:25" ht="15" customHeight="1">
      <c r="L117" s="57"/>
      <c r="M117" s="2501"/>
      <c r="N117" s="2499"/>
      <c r="O117" s="2499"/>
      <c r="P117" s="2498"/>
      <c r="Q117" s="2495" t="s">
        <v>447</v>
      </c>
      <c r="R117" s="2496"/>
      <c r="S117" s="2496"/>
      <c r="T117" s="2496"/>
      <c r="U117" s="2496"/>
      <c r="V117" s="2496"/>
      <c r="W117" s="2496"/>
      <c r="X117" s="2497"/>
      <c r="Y117" s="2494"/>
    </row>
    <row r="118" spans="12:25" ht="15" customHeight="1">
      <c r="L118" s="57"/>
      <c r="M118" s="2501"/>
      <c r="N118" s="2499"/>
      <c r="O118" s="2499" t="s">
        <v>448</v>
      </c>
      <c r="P118" s="86">
        <v>42</v>
      </c>
      <c r="Q118" s="2495" t="s">
        <v>449</v>
      </c>
      <c r="R118" s="2496"/>
      <c r="S118" s="2496"/>
      <c r="T118" s="2496"/>
      <c r="U118" s="2496"/>
      <c r="V118" s="2496"/>
      <c r="W118" s="2496"/>
      <c r="X118" s="2497"/>
      <c r="Y118" s="78">
        <v>70</v>
      </c>
    </row>
    <row r="119" spans="12:25" ht="15" customHeight="1">
      <c r="L119" s="57"/>
      <c r="M119" s="2501"/>
      <c r="N119" s="2499"/>
      <c r="O119" s="2499"/>
      <c r="P119" s="86">
        <v>43</v>
      </c>
      <c r="Q119" s="2495" t="s">
        <v>450</v>
      </c>
      <c r="R119" s="2496"/>
      <c r="S119" s="2496"/>
      <c r="T119" s="2496"/>
      <c r="U119" s="2496"/>
      <c r="V119" s="2496"/>
      <c r="W119" s="2496"/>
      <c r="X119" s="2497"/>
      <c r="Y119" s="78">
        <v>60</v>
      </c>
    </row>
    <row r="120" spans="12:25" ht="15" customHeight="1">
      <c r="L120" s="57"/>
      <c r="M120" s="2501"/>
      <c r="N120" s="2499"/>
      <c r="O120" s="2499" t="s">
        <v>451</v>
      </c>
      <c r="P120" s="2498">
        <v>44</v>
      </c>
      <c r="Q120" s="2495" t="s">
        <v>452</v>
      </c>
      <c r="R120" s="2496"/>
      <c r="S120" s="2496"/>
      <c r="T120" s="2496"/>
      <c r="U120" s="2496"/>
      <c r="V120" s="2496"/>
      <c r="W120" s="2496"/>
      <c r="X120" s="2497"/>
      <c r="Y120" s="2494">
        <v>40</v>
      </c>
    </row>
    <row r="121" spans="12:25" ht="15" customHeight="1">
      <c r="L121" s="57"/>
      <c r="M121" s="2501"/>
      <c r="N121" s="2499"/>
      <c r="O121" s="2499"/>
      <c r="P121" s="2498"/>
      <c r="Q121" s="2495" t="s">
        <v>453</v>
      </c>
      <c r="R121" s="2496"/>
      <c r="S121" s="2496"/>
      <c r="T121" s="2496"/>
      <c r="U121" s="2496"/>
      <c r="V121" s="2496"/>
      <c r="W121" s="2496"/>
      <c r="X121" s="2497"/>
      <c r="Y121" s="2494"/>
    </row>
    <row r="122" spans="12:25" ht="15" customHeight="1">
      <c r="L122" s="57"/>
      <c r="M122" s="2501"/>
      <c r="N122" s="2499"/>
      <c r="O122" s="2499"/>
      <c r="P122" s="2498"/>
      <c r="Q122" s="2495" t="s">
        <v>454</v>
      </c>
      <c r="R122" s="2496"/>
      <c r="S122" s="2496"/>
      <c r="T122" s="2496"/>
      <c r="U122" s="2496"/>
      <c r="V122" s="2496"/>
      <c r="W122" s="2496"/>
      <c r="X122" s="2497"/>
      <c r="Y122" s="2494"/>
    </row>
    <row r="123" spans="12:25" ht="15" customHeight="1">
      <c r="L123" s="57"/>
      <c r="M123" s="2501"/>
      <c r="N123" s="2499"/>
      <c r="O123" s="2499"/>
      <c r="P123" s="2498"/>
      <c r="Q123" s="2495" t="s">
        <v>455</v>
      </c>
      <c r="R123" s="2496"/>
      <c r="S123" s="2496"/>
      <c r="T123" s="2496"/>
      <c r="U123" s="2496"/>
      <c r="V123" s="2496"/>
      <c r="W123" s="2496"/>
      <c r="X123" s="2497"/>
      <c r="Y123" s="2494"/>
    </row>
    <row r="124" spans="12:25" ht="15" customHeight="1">
      <c r="L124" s="57"/>
      <c r="M124" s="77" t="s">
        <v>456</v>
      </c>
      <c r="N124" s="2498" t="s">
        <v>457</v>
      </c>
      <c r="O124" s="2498"/>
      <c r="P124" s="86">
        <v>45</v>
      </c>
      <c r="Q124" s="2495" t="s">
        <v>458</v>
      </c>
      <c r="R124" s="2496"/>
      <c r="S124" s="2496"/>
      <c r="T124" s="2496"/>
      <c r="U124" s="2496"/>
      <c r="V124" s="2496"/>
      <c r="W124" s="2496"/>
      <c r="X124" s="2497"/>
      <c r="Y124" s="78"/>
    </row>
    <row r="145" spans="5:5">
      <c r="E145" s="58">
        <v>1</v>
      </c>
    </row>
  </sheetData>
  <sheetProtection algorithmName="SHA-512" hashValue="vG03EI7lIv88TIgFy/phm60aG+5RjYItOY0U1b0SichP4EJppXYFnLGjHNC53U6hZwhqqihCjc1dDWcuKMranA==" saltValue="vhdT4WsiRXYpejY7C9NRCw==" spinCount="100000" sheet="1" objects="1" scenarios="1"/>
  <mergeCells count="389">
    <mergeCell ref="A6:C6"/>
    <mergeCell ref="M6:X6"/>
    <mergeCell ref="A8:B9"/>
    <mergeCell ref="C8:C9"/>
    <mergeCell ref="D8:D9"/>
    <mergeCell ref="E8:E9"/>
    <mergeCell ref="F8:F9"/>
    <mergeCell ref="G8:I9"/>
    <mergeCell ref="J8:J9"/>
    <mergeCell ref="K8:K9"/>
    <mergeCell ref="A12:B12"/>
    <mergeCell ref="G12:I12"/>
    <mergeCell ref="N12:X12"/>
    <mergeCell ref="A13:B13"/>
    <mergeCell ref="G13:I13"/>
    <mergeCell ref="N13:X13"/>
    <mergeCell ref="M8:O8"/>
    <mergeCell ref="N9:X9"/>
    <mergeCell ref="A10:B10"/>
    <mergeCell ref="G10:I10"/>
    <mergeCell ref="N10:X10"/>
    <mergeCell ref="A11:B11"/>
    <mergeCell ref="G11:I11"/>
    <mergeCell ref="N11:X11"/>
    <mergeCell ref="N16:X16"/>
    <mergeCell ref="A17:B17"/>
    <mergeCell ref="E17:F17"/>
    <mergeCell ref="G17:I17"/>
    <mergeCell ref="J17:K17"/>
    <mergeCell ref="N17:X17"/>
    <mergeCell ref="N14:X14"/>
    <mergeCell ref="A15:B15"/>
    <mergeCell ref="E15:F15"/>
    <mergeCell ref="G15:I15"/>
    <mergeCell ref="J15:K15"/>
    <mergeCell ref="N15:X15"/>
    <mergeCell ref="A18:B18"/>
    <mergeCell ref="E18:F18"/>
    <mergeCell ref="G18:I18"/>
    <mergeCell ref="J18:K18"/>
    <mergeCell ref="A19:B19"/>
    <mergeCell ref="E19:F19"/>
    <mergeCell ref="G19:I19"/>
    <mergeCell ref="J19:K19"/>
    <mergeCell ref="A16:B16"/>
    <mergeCell ref="E16:F16"/>
    <mergeCell ref="G16:I16"/>
    <mergeCell ref="J16:K16"/>
    <mergeCell ref="N21:X21"/>
    <mergeCell ref="A22:B22"/>
    <mergeCell ref="E22:F22"/>
    <mergeCell ref="G22:I22"/>
    <mergeCell ref="J22:K22"/>
    <mergeCell ref="N22:X22"/>
    <mergeCell ref="M19:O19"/>
    <mergeCell ref="A20:B20"/>
    <mergeCell ref="E20:F20"/>
    <mergeCell ref="G20:I20"/>
    <mergeCell ref="J20:K20"/>
    <mergeCell ref="N20:X20"/>
    <mergeCell ref="A23:B23"/>
    <mergeCell ref="E23:F23"/>
    <mergeCell ref="G23:I23"/>
    <mergeCell ref="J23:K23"/>
    <mergeCell ref="N23:X23"/>
    <mergeCell ref="A24:B24"/>
    <mergeCell ref="E24:F24"/>
    <mergeCell ref="G24:I24"/>
    <mergeCell ref="J24:K24"/>
    <mergeCell ref="N24:X24"/>
    <mergeCell ref="A27:B27"/>
    <mergeCell ref="E27:F27"/>
    <mergeCell ref="G27:I27"/>
    <mergeCell ref="J27:K27"/>
    <mergeCell ref="N27:X27"/>
    <mergeCell ref="N28:X28"/>
    <mergeCell ref="A25:B25"/>
    <mergeCell ref="E25:F25"/>
    <mergeCell ref="G25:I25"/>
    <mergeCell ref="J25:K25"/>
    <mergeCell ref="N25:X25"/>
    <mergeCell ref="A26:B26"/>
    <mergeCell ref="E26:F26"/>
    <mergeCell ref="G26:I26"/>
    <mergeCell ref="J26:K26"/>
    <mergeCell ref="N26:X26"/>
    <mergeCell ref="N31:X31"/>
    <mergeCell ref="A32:B32"/>
    <mergeCell ref="E32:F32"/>
    <mergeCell ref="G32:I32"/>
    <mergeCell ref="J32:K32"/>
    <mergeCell ref="N32:X32"/>
    <mergeCell ref="A29:B29"/>
    <mergeCell ref="E29:F29"/>
    <mergeCell ref="G29:I29"/>
    <mergeCell ref="J29:K29"/>
    <mergeCell ref="N29:X29"/>
    <mergeCell ref="A30:B30"/>
    <mergeCell ref="E30:F30"/>
    <mergeCell ref="G30:I30"/>
    <mergeCell ref="J30:K30"/>
    <mergeCell ref="N30:X30"/>
    <mergeCell ref="A33:B33"/>
    <mergeCell ref="E33:F33"/>
    <mergeCell ref="G33:I33"/>
    <mergeCell ref="J33:K33"/>
    <mergeCell ref="A34:B34"/>
    <mergeCell ref="E34:F34"/>
    <mergeCell ref="G34:I34"/>
    <mergeCell ref="J34:K34"/>
    <mergeCell ref="A31:B31"/>
    <mergeCell ref="E31:F31"/>
    <mergeCell ref="G31:I31"/>
    <mergeCell ref="J31:K31"/>
    <mergeCell ref="Q36:X36"/>
    <mergeCell ref="A37:B37"/>
    <mergeCell ref="E37:F37"/>
    <mergeCell ref="G37:I37"/>
    <mergeCell ref="J37:K37"/>
    <mergeCell ref="Q37:X37"/>
    <mergeCell ref="M34:O34"/>
    <mergeCell ref="N35:O35"/>
    <mergeCell ref="Q35:X35"/>
    <mergeCell ref="A36:B36"/>
    <mergeCell ref="E36:F36"/>
    <mergeCell ref="G36:I36"/>
    <mergeCell ref="J36:K36"/>
    <mergeCell ref="M36:M38"/>
    <mergeCell ref="N36:N38"/>
    <mergeCell ref="O36:O38"/>
    <mergeCell ref="A38:B38"/>
    <mergeCell ref="E38:F38"/>
    <mergeCell ref="G38:I38"/>
    <mergeCell ref="J38:K38"/>
    <mergeCell ref="Q38:X38"/>
    <mergeCell ref="A39:B39"/>
    <mergeCell ref="E39:F39"/>
    <mergeCell ref="G39:I39"/>
    <mergeCell ref="J39:K39"/>
    <mergeCell ref="M39:M103"/>
    <mergeCell ref="Y40:Y41"/>
    <mergeCell ref="A41:B41"/>
    <mergeCell ref="E41:F41"/>
    <mergeCell ref="G41:I41"/>
    <mergeCell ref="J41:K41"/>
    <mergeCell ref="Q41:X41"/>
    <mergeCell ref="N39:N103"/>
    <mergeCell ref="O39:O43"/>
    <mergeCell ref="Q39:X39"/>
    <mergeCell ref="A40:B40"/>
    <mergeCell ref="E40:F40"/>
    <mergeCell ref="G40:I40"/>
    <mergeCell ref="J40:K40"/>
    <mergeCell ref="P40:P41"/>
    <mergeCell ref="Q40:X40"/>
    <mergeCell ref="Q42:X42"/>
    <mergeCell ref="A43:B43"/>
    <mergeCell ref="E43:F43"/>
    <mergeCell ref="G43:I43"/>
    <mergeCell ref="J43:K43"/>
    <mergeCell ref="Q43:X43"/>
    <mergeCell ref="A44:B44"/>
    <mergeCell ref="E44:F44"/>
    <mergeCell ref="G44:I44"/>
    <mergeCell ref="J44:K44"/>
    <mergeCell ref="O44:O48"/>
    <mergeCell ref="Y45:Y46"/>
    <mergeCell ref="A46:B46"/>
    <mergeCell ref="E46:F46"/>
    <mergeCell ref="G46:I46"/>
    <mergeCell ref="J46:K46"/>
    <mergeCell ref="Q46:X46"/>
    <mergeCell ref="Q44:X44"/>
    <mergeCell ref="A45:B45"/>
    <mergeCell ref="E45:F45"/>
    <mergeCell ref="G45:I45"/>
    <mergeCell ref="J45:K45"/>
    <mergeCell ref="P45:P46"/>
    <mergeCell ref="Q45:X45"/>
    <mergeCell ref="Y47:Y48"/>
    <mergeCell ref="A48:B48"/>
    <mergeCell ref="E48:F48"/>
    <mergeCell ref="G48:I48"/>
    <mergeCell ref="J48:K48"/>
    <mergeCell ref="Q48:X48"/>
    <mergeCell ref="A47:B47"/>
    <mergeCell ref="E47:F47"/>
    <mergeCell ref="G47:I47"/>
    <mergeCell ref="J47:K47"/>
    <mergeCell ref="P47:P48"/>
    <mergeCell ref="Q47:X47"/>
    <mergeCell ref="Q49:X49"/>
    <mergeCell ref="A50:B54"/>
    <mergeCell ref="E50:F50"/>
    <mergeCell ref="G50:I50"/>
    <mergeCell ref="J50:K50"/>
    <mergeCell ref="O50:O56"/>
    <mergeCell ref="P50:P54"/>
    <mergeCell ref="Q50:X50"/>
    <mergeCell ref="J53:K53"/>
    <mergeCell ref="Q53:X53"/>
    <mergeCell ref="Q55:X55"/>
    <mergeCell ref="A56:B60"/>
    <mergeCell ref="E56:F56"/>
    <mergeCell ref="G56:I56"/>
    <mergeCell ref="J56:K56"/>
    <mergeCell ref="Q56:X56"/>
    <mergeCell ref="C57:C60"/>
    <mergeCell ref="Y50:Y54"/>
    <mergeCell ref="C51:C54"/>
    <mergeCell ref="D51:D54"/>
    <mergeCell ref="G51:I51"/>
    <mergeCell ref="J51:K51"/>
    <mergeCell ref="Q51:X51"/>
    <mergeCell ref="G52:I52"/>
    <mergeCell ref="J52:K52"/>
    <mergeCell ref="Q52:X52"/>
    <mergeCell ref="G53:I53"/>
    <mergeCell ref="G54:I54"/>
    <mergeCell ref="J54:K54"/>
    <mergeCell ref="Q54:X54"/>
    <mergeCell ref="Y59:Y63"/>
    <mergeCell ref="G60:I60"/>
    <mergeCell ref="J60:K60"/>
    <mergeCell ref="Q60:X60"/>
    <mergeCell ref="Q61:X61"/>
    <mergeCell ref="D57:D60"/>
    <mergeCell ref="G57:I57"/>
    <mergeCell ref="J57:K57"/>
    <mergeCell ref="O57:O63"/>
    <mergeCell ref="Q57:X57"/>
    <mergeCell ref="G58:I58"/>
    <mergeCell ref="J58:K58"/>
    <mergeCell ref="Q58:X58"/>
    <mergeCell ref="G59:I59"/>
    <mergeCell ref="J59:K59"/>
    <mergeCell ref="G64:I64"/>
    <mergeCell ref="J64:K64"/>
    <mergeCell ref="O64:O67"/>
    <mergeCell ref="Q64:X64"/>
    <mergeCell ref="G65:I65"/>
    <mergeCell ref="J65:K65"/>
    <mergeCell ref="P65:P67"/>
    <mergeCell ref="Q65:X65"/>
    <mergeCell ref="A62:B66"/>
    <mergeCell ref="E62:F62"/>
    <mergeCell ref="G62:I62"/>
    <mergeCell ref="J62:K62"/>
    <mergeCell ref="Q62:X62"/>
    <mergeCell ref="C63:C66"/>
    <mergeCell ref="D63:D66"/>
    <mergeCell ref="G63:I63"/>
    <mergeCell ref="J63:K63"/>
    <mergeCell ref="Q63:X63"/>
    <mergeCell ref="P59:P63"/>
    <mergeCell ref="Q59:X59"/>
    <mergeCell ref="Y65:Y67"/>
    <mergeCell ref="G66:I66"/>
    <mergeCell ref="J66:K66"/>
    <mergeCell ref="Q66:X66"/>
    <mergeCell ref="Q67:X67"/>
    <mergeCell ref="A68:B72"/>
    <mergeCell ref="E68:F68"/>
    <mergeCell ref="G68:I68"/>
    <mergeCell ref="J68:K68"/>
    <mergeCell ref="O68:O70"/>
    <mergeCell ref="Q68:X68"/>
    <mergeCell ref="C69:C72"/>
    <mergeCell ref="D69:D72"/>
    <mergeCell ref="G69:I69"/>
    <mergeCell ref="J69:K69"/>
    <mergeCell ref="Q69:X69"/>
    <mergeCell ref="G70:I70"/>
    <mergeCell ref="J70:K70"/>
    <mergeCell ref="Q70:X70"/>
    <mergeCell ref="G71:I71"/>
    <mergeCell ref="A74:B78"/>
    <mergeCell ref="E74:F74"/>
    <mergeCell ref="G74:I74"/>
    <mergeCell ref="J74:K74"/>
    <mergeCell ref="Q74:X74"/>
    <mergeCell ref="C75:C78"/>
    <mergeCell ref="J71:K71"/>
    <mergeCell ref="O71:O72"/>
    <mergeCell ref="Q71:X71"/>
    <mergeCell ref="G72:I72"/>
    <mergeCell ref="J72:K72"/>
    <mergeCell ref="Q72:X72"/>
    <mergeCell ref="P77:P79"/>
    <mergeCell ref="Q77:X77"/>
    <mergeCell ref="Y77:Y79"/>
    <mergeCell ref="G78:I78"/>
    <mergeCell ref="J78:K78"/>
    <mergeCell ref="Q78:X78"/>
    <mergeCell ref="Q79:X79"/>
    <mergeCell ref="D75:D78"/>
    <mergeCell ref="G75:I75"/>
    <mergeCell ref="J75:K75"/>
    <mergeCell ref="Q75:X75"/>
    <mergeCell ref="G76:I76"/>
    <mergeCell ref="J76:K76"/>
    <mergeCell ref="Q76:X76"/>
    <mergeCell ref="G77:I77"/>
    <mergeCell ref="J77:K77"/>
    <mergeCell ref="O77:O79"/>
    <mergeCell ref="O73:O76"/>
    <mergeCell ref="P73:P76"/>
    <mergeCell ref="Q73:X73"/>
    <mergeCell ref="Y73:Y76"/>
    <mergeCell ref="Y80:Y81"/>
    <mergeCell ref="A81:B84"/>
    <mergeCell ref="G81:I84"/>
    <mergeCell ref="J81:K81"/>
    <mergeCell ref="Q81:X81"/>
    <mergeCell ref="J82:K82"/>
    <mergeCell ref="Q82:X82"/>
    <mergeCell ref="J83:K83"/>
    <mergeCell ref="O83:O100"/>
    <mergeCell ref="Q83:X83"/>
    <mergeCell ref="A80:B80"/>
    <mergeCell ref="G80:I80"/>
    <mergeCell ref="J80:K80"/>
    <mergeCell ref="O80:O81"/>
    <mergeCell ref="P80:P81"/>
    <mergeCell ref="Q80:X80"/>
    <mergeCell ref="Q91:X91"/>
    <mergeCell ref="Q92:X92"/>
    <mergeCell ref="Q93:X93"/>
    <mergeCell ref="Q94:X94"/>
    <mergeCell ref="Q95:X95"/>
    <mergeCell ref="Q96:X96"/>
    <mergeCell ref="J84:K84"/>
    <mergeCell ref="Q84:X84"/>
    <mergeCell ref="Q85:X85"/>
    <mergeCell ref="P86:P100"/>
    <mergeCell ref="Q86:X86"/>
    <mergeCell ref="Q87:X87"/>
    <mergeCell ref="Q88:X88"/>
    <mergeCell ref="Q89:X89"/>
    <mergeCell ref="Q90:X90"/>
    <mergeCell ref="M104:M123"/>
    <mergeCell ref="N104:N123"/>
    <mergeCell ref="O104:O108"/>
    <mergeCell ref="P104:P107"/>
    <mergeCell ref="Q104:X104"/>
    <mergeCell ref="Q108:X108"/>
    <mergeCell ref="O109:O111"/>
    <mergeCell ref="Q109:X109"/>
    <mergeCell ref="Q110:X110"/>
    <mergeCell ref="Q111:X111"/>
    <mergeCell ref="O115:O117"/>
    <mergeCell ref="P115:P117"/>
    <mergeCell ref="Q115:X115"/>
    <mergeCell ref="Y104:Y107"/>
    <mergeCell ref="Q105:X105"/>
    <mergeCell ref="Q97:X97"/>
    <mergeCell ref="Q98:X98"/>
    <mergeCell ref="Q99:X99"/>
    <mergeCell ref="Q100:X100"/>
    <mergeCell ref="O101:O103"/>
    <mergeCell ref="P101:P103"/>
    <mergeCell ref="Q101:X101"/>
    <mergeCell ref="Y86:Y100"/>
    <mergeCell ref="Q106:X106"/>
    <mergeCell ref="Q107:X107"/>
    <mergeCell ref="Y101:Y103"/>
    <mergeCell ref="Q102:X102"/>
    <mergeCell ref="Q103:X103"/>
    <mergeCell ref="Y115:Y117"/>
    <mergeCell ref="Q116:X116"/>
    <mergeCell ref="Q117:X117"/>
    <mergeCell ref="O112:O114"/>
    <mergeCell ref="P112:P113"/>
    <mergeCell ref="Q112:X112"/>
    <mergeCell ref="Y112:Y113"/>
    <mergeCell ref="Q113:X113"/>
    <mergeCell ref="Q114:X114"/>
    <mergeCell ref="Y120:Y123"/>
    <mergeCell ref="Q121:X121"/>
    <mergeCell ref="Q122:X122"/>
    <mergeCell ref="Q123:X123"/>
    <mergeCell ref="N124:O124"/>
    <mergeCell ref="Q124:X124"/>
    <mergeCell ref="O118:O119"/>
    <mergeCell ref="Q118:X118"/>
    <mergeCell ref="Q119:X119"/>
    <mergeCell ref="O120:O123"/>
    <mergeCell ref="P120:P123"/>
    <mergeCell ref="Q120:X120"/>
  </mergeCells>
  <phoneticPr fontId="4" type="noConversion"/>
  <pageMargins left="0.7" right="0.7" top="0.75" bottom="0.75" header="0.3" footer="0.3"/>
  <pageSetup paperSize="9"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6"/>
  <dimension ref="B2:L25"/>
  <sheetViews>
    <sheetView topLeftCell="A7" workbookViewId="0">
      <selection activeCell="I4" sqref="I4:I7"/>
    </sheetView>
  </sheetViews>
  <sheetFormatPr defaultColWidth="9" defaultRowHeight="17.399999999999999"/>
  <cols>
    <col min="2" max="2" width="24.19921875" bestFit="1" customWidth="1"/>
    <col min="4" max="4" width="7.5" bestFit="1" customWidth="1"/>
    <col min="6" max="6" width="10.3984375" bestFit="1" customWidth="1"/>
    <col min="9" max="9" width="11.5" bestFit="1" customWidth="1"/>
    <col min="11" max="11" width="11.19921875" customWidth="1"/>
  </cols>
  <sheetData>
    <row r="2" spans="2:12">
      <c r="B2" s="1338" t="s">
        <v>1309</v>
      </c>
      <c r="C2" s="1339"/>
      <c r="D2" s="1339"/>
      <c r="E2" s="1339"/>
      <c r="F2" s="1339"/>
      <c r="G2" s="1339"/>
      <c r="H2" s="1340"/>
      <c r="I2" s="1340"/>
      <c r="J2" s="1340"/>
      <c r="K2" s="1340"/>
    </row>
    <row r="3" spans="2:12">
      <c r="B3" s="1339" t="s">
        <v>1310</v>
      </c>
      <c r="C3" s="1339"/>
      <c r="D3" s="1341">
        <f>I4/10^6</f>
        <v>0.30790000000000001</v>
      </c>
      <c r="E3" s="1339" t="s">
        <v>1311</v>
      </c>
      <c r="F3" s="1342">
        <f>총괄장!C7</f>
        <v>17660</v>
      </c>
      <c r="G3" s="1339"/>
      <c r="H3" s="1339"/>
      <c r="I3" s="1343" t="s">
        <v>1312</v>
      </c>
      <c r="J3" s="390" t="s">
        <v>1313</v>
      </c>
      <c r="K3" s="390" t="s">
        <v>1314</v>
      </c>
    </row>
    <row r="4" spans="2:12">
      <c r="B4" s="1339" t="s">
        <v>1315</v>
      </c>
      <c r="C4" s="1339"/>
      <c r="D4" s="1344">
        <f>K4</f>
        <v>4.9171038765312293E-2</v>
      </c>
      <c r="E4" s="1339"/>
      <c r="F4" s="1339"/>
      <c r="G4" s="1339"/>
      <c r="H4" s="1339">
        <v>2022</v>
      </c>
      <c r="I4" s="1345">
        <v>307900</v>
      </c>
      <c r="J4" s="1346">
        <f>I4/I5-1</f>
        <v>8.0730080730080811E-2</v>
      </c>
      <c r="K4" s="1347">
        <f>AVERAGE(J4:J6)</f>
        <v>4.9171038765312293E-2</v>
      </c>
      <c r="L4" s="1808" t="s">
        <v>1491</v>
      </c>
    </row>
    <row r="5" spans="2:12">
      <c r="B5" s="1348" t="s">
        <v>1316</v>
      </c>
      <c r="C5" s="1348"/>
      <c r="D5" s="1349">
        <f>D3*$F$3</f>
        <v>5437.5140000000001</v>
      </c>
      <c r="E5" s="1349">
        <f>D5*(1+D4)</f>
        <v>5704.8822116809288</v>
      </c>
      <c r="F5" s="1349">
        <f>E5*(1+D4)</f>
        <v>5985.3971960630324</v>
      </c>
      <c r="G5" s="1339"/>
      <c r="H5" s="1339">
        <f>H4-1</f>
        <v>2021</v>
      </c>
      <c r="I5" s="1345">
        <v>284900</v>
      </c>
      <c r="J5" s="1346">
        <f>I5/I6-1</f>
        <v>6.2663185378590169E-2</v>
      </c>
      <c r="K5" s="1339"/>
    </row>
    <row r="6" spans="2:12">
      <c r="B6" s="1339" t="s">
        <v>1317</v>
      </c>
      <c r="C6" s="1339"/>
      <c r="D6" s="1350">
        <v>0.7</v>
      </c>
      <c r="E6" s="1350">
        <v>0.7</v>
      </c>
      <c r="F6" s="1350">
        <v>0.7</v>
      </c>
      <c r="G6" s="1339"/>
      <c r="H6" s="1339">
        <f t="shared" ref="H6:H7" si="0">H5-1</f>
        <v>2020</v>
      </c>
      <c r="I6" s="1345">
        <v>268100</v>
      </c>
      <c r="J6" s="1346">
        <f>I6/I7-1</f>
        <v>4.1198501872659055E-3</v>
      </c>
      <c r="K6" s="1339"/>
    </row>
    <row r="7" spans="2:12">
      <c r="B7" s="1339" t="s">
        <v>1318</v>
      </c>
      <c r="C7" s="1339"/>
      <c r="D7" s="1351">
        <f>D6*D5</f>
        <v>3806.2597999999998</v>
      </c>
      <c r="E7" s="1351">
        <f>E6*E5</f>
        <v>3993.4175481766497</v>
      </c>
      <c r="F7" s="1351">
        <f>F6*F5</f>
        <v>4189.7780372441221</v>
      </c>
      <c r="G7" s="1339"/>
      <c r="H7" s="1339">
        <f t="shared" si="0"/>
        <v>2019</v>
      </c>
      <c r="I7" s="1345">
        <v>267000</v>
      </c>
      <c r="J7" s="1339"/>
      <c r="K7" s="1339"/>
    </row>
    <row r="8" spans="2:12">
      <c r="B8" s="1352" t="s">
        <v>1319</v>
      </c>
      <c r="C8" s="1352"/>
      <c r="D8" s="1353">
        <v>2E-3</v>
      </c>
      <c r="E8" s="1353">
        <v>2E-3</v>
      </c>
      <c r="F8" s="1353">
        <v>2E-3</v>
      </c>
      <c r="G8" s="1339"/>
      <c r="H8" s="1340"/>
      <c r="I8" s="1340"/>
      <c r="J8" s="1354"/>
      <c r="K8" s="1354"/>
    </row>
    <row r="9" spans="2:12">
      <c r="B9" s="1355" t="s">
        <v>1320</v>
      </c>
      <c r="C9" s="1356">
        <v>5.0000000000000001E-3</v>
      </c>
      <c r="D9" s="1357">
        <f>IF(D7&lt;200,D7*0.2%,IF(D7&gt;1000,(D7-1000)*0.4%+2.8,(D7-200)*0.3%+0.4))</f>
        <v>14.025039199999998</v>
      </c>
      <c r="E9" s="1357">
        <f>IF(E7&lt;200,E7*0.2%,IF(E7&gt;1000,(E7-1000)*0.4%+2.8,(E7-200)*0.3%+0.4))</f>
        <v>14.7736701927066</v>
      </c>
      <c r="F9" s="1357">
        <f>IF(F7&lt;200,F7*0.2%,IF(F7&gt;1000,(F7-1000)*0.4%+2.8,(F7-200)*0.3%+0.4))</f>
        <v>15.559112148976489</v>
      </c>
      <c r="G9" s="1358" t="s">
        <v>1321</v>
      </c>
      <c r="H9" s="1340"/>
      <c r="I9" s="1340"/>
      <c r="J9" s="1354"/>
      <c r="K9" s="1354"/>
    </row>
    <row r="10" spans="2:12">
      <c r="B10" s="1339" t="s">
        <v>1322</v>
      </c>
      <c r="C10" s="1359">
        <v>1.5E-3</v>
      </c>
      <c r="D10" s="1357">
        <f>D7*$C$10</f>
        <v>5.7093897</v>
      </c>
      <c r="E10" s="1357">
        <f>E7*$C$10</f>
        <v>5.9901263222649748</v>
      </c>
      <c r="F10" s="1357">
        <f>F7*$C$10</f>
        <v>6.2846670558661835</v>
      </c>
      <c r="G10" s="1339"/>
      <c r="H10" s="1340"/>
      <c r="I10" s="1340"/>
      <c r="J10" s="1354"/>
      <c r="K10" s="1354"/>
    </row>
    <row r="11" spans="2:12" ht="18" thickBot="1">
      <c r="B11" s="1360" t="s">
        <v>1323</v>
      </c>
      <c r="C11" s="1361">
        <v>0.2</v>
      </c>
      <c r="D11" s="1362">
        <f>D9*$C$11</f>
        <v>2.80500784</v>
      </c>
      <c r="E11" s="1362">
        <f>E9*$C$11</f>
        <v>2.9547340385413201</v>
      </c>
      <c r="F11" s="1362">
        <f>F9*$C$11</f>
        <v>3.1118224297952981</v>
      </c>
      <c r="G11" s="1339"/>
      <c r="H11" s="1340" t="s">
        <v>1324</v>
      </c>
      <c r="I11" s="1340">
        <f>IF(공사기간&lt;=24,SUM(D9:E11),SUM(세금관련!D9:F11))</f>
        <v>71.213568928150863</v>
      </c>
      <c r="J11" s="1354"/>
      <c r="K11" s="1354"/>
    </row>
    <row r="12" spans="2:12" ht="18.600000000000001" thickTop="1" thickBot="1">
      <c r="B12" s="1363" t="s">
        <v>1325</v>
      </c>
      <c r="C12" s="1363"/>
      <c r="D12" s="1364">
        <f>SUM(D9:D11)</f>
        <v>22.539436739999999</v>
      </c>
      <c r="E12" s="1364">
        <f>SUM(E9:E11)</f>
        <v>23.718530553512895</v>
      </c>
      <c r="F12" s="1364">
        <f>SUM(F9:F11)</f>
        <v>24.955601634637972</v>
      </c>
      <c r="G12" s="1339"/>
      <c r="H12" s="1340"/>
      <c r="I12" s="1340"/>
      <c r="J12" s="1354"/>
      <c r="K12" s="1354"/>
    </row>
    <row r="13" spans="2:12" ht="18" thickTop="1">
      <c r="B13" s="1339"/>
      <c r="C13" s="1339"/>
      <c r="D13" s="1365">
        <f>D12/SUM($D$12:$F$12)</f>
        <v>0.31650480490228761</v>
      </c>
      <c r="E13" s="1365">
        <f>E12/SUM($D$12:$F$12)</f>
        <v>0.33306195589555565</v>
      </c>
      <c r="F13" s="1365">
        <f>F12/SUM($D$12:$F$12)</f>
        <v>0.3504332392021568</v>
      </c>
      <c r="G13" s="1339"/>
      <c r="H13" s="1339"/>
      <c r="I13" s="1339"/>
      <c r="J13" s="1354"/>
      <c r="K13" s="1354"/>
    </row>
    <row r="14" spans="2:12">
      <c r="B14" s="1340"/>
      <c r="C14" s="1339"/>
      <c r="D14" s="1339"/>
      <c r="E14" s="1339"/>
      <c r="F14" s="1339"/>
      <c r="G14" s="1339"/>
      <c r="H14" s="1339"/>
      <c r="I14" s="1339"/>
      <c r="J14" s="1354"/>
      <c r="K14" s="1354"/>
    </row>
    <row r="15" spans="2:12">
      <c r="B15" s="1338" t="s">
        <v>1326</v>
      </c>
      <c r="C15" s="1339"/>
      <c r="D15" s="1339"/>
      <c r="E15" s="1339"/>
      <c r="F15" s="1339"/>
      <c r="G15" s="1339"/>
      <c r="H15" s="1339"/>
      <c r="I15" s="1339"/>
      <c r="J15" s="1354"/>
      <c r="K15" s="1354"/>
    </row>
    <row r="16" spans="2:12">
      <c r="B16" s="1339" t="s">
        <v>1327</v>
      </c>
      <c r="C16" s="1339"/>
      <c r="D16" s="1341">
        <f>D3</f>
        <v>0.30790000000000001</v>
      </c>
      <c r="E16" s="1339"/>
      <c r="F16" s="1339"/>
      <c r="G16" s="1339"/>
      <c r="H16" s="1340"/>
      <c r="I16" s="1340"/>
      <c r="J16" s="1354"/>
      <c r="K16" s="1354"/>
    </row>
    <row r="17" spans="2:11">
      <c r="B17" s="1348" t="s">
        <v>1328</v>
      </c>
      <c r="C17" s="1348"/>
      <c r="D17" s="1366">
        <f>D5</f>
        <v>5437.5140000000001</v>
      </c>
      <c r="E17" s="1366">
        <f>E5</f>
        <v>5704.8822116809288</v>
      </c>
      <c r="F17" s="1366">
        <f>F5</f>
        <v>5985.3971960630324</v>
      </c>
      <c r="G17" s="1339"/>
      <c r="H17" s="1340"/>
      <c r="I17" s="1340"/>
      <c r="J17" s="1354"/>
      <c r="K17" s="1354"/>
    </row>
    <row r="18" spans="2:11">
      <c r="B18" s="1339" t="s">
        <v>1329</v>
      </c>
      <c r="C18" s="1339"/>
      <c r="D18" s="1377">
        <v>8000</v>
      </c>
      <c r="E18" s="1377">
        <v>8000</v>
      </c>
      <c r="F18" s="1377">
        <v>8000</v>
      </c>
      <c r="G18" s="1358" t="s">
        <v>1330</v>
      </c>
      <c r="H18" s="1340"/>
      <c r="I18" s="1340"/>
      <c r="J18" s="1354"/>
      <c r="K18" s="1354"/>
    </row>
    <row r="19" spans="2:11">
      <c r="B19" s="1339" t="s">
        <v>1331</v>
      </c>
      <c r="C19" s="1339"/>
      <c r="D19" s="1350">
        <v>0.85</v>
      </c>
      <c r="E19" s="1350">
        <v>0.9</v>
      </c>
      <c r="F19" s="1350">
        <v>0.95</v>
      </c>
      <c r="G19" s="1339"/>
      <c r="H19" s="1340"/>
      <c r="I19" s="1340"/>
      <c r="J19" s="1354"/>
      <c r="K19" s="1354"/>
    </row>
    <row r="20" spans="2:11">
      <c r="B20" s="1339" t="s">
        <v>1332</v>
      </c>
      <c r="C20" s="1339"/>
      <c r="D20" s="1351">
        <f>IF((D17-D18)&lt;=0,0,(D17-D18)*D19)</f>
        <v>0</v>
      </c>
      <c r="E20" s="1351">
        <f t="shared" ref="E20:F20" si="1">IF((E17-E18)&lt;=0,0,(E17-E18)*E19)</f>
        <v>0</v>
      </c>
      <c r="F20" s="1351">
        <f t="shared" si="1"/>
        <v>0</v>
      </c>
      <c r="G20" s="1339"/>
      <c r="H20" s="1368" t="s">
        <v>1333</v>
      </c>
      <c r="I20" s="1340"/>
      <c r="J20" s="1354"/>
      <c r="K20" s="1354"/>
    </row>
    <row r="21" spans="2:11">
      <c r="B21" s="1339" t="s">
        <v>1334</v>
      </c>
      <c r="C21" s="1339"/>
      <c r="D21" s="1367"/>
      <c r="E21" s="1369"/>
      <c r="F21" s="1369"/>
      <c r="G21" s="1339"/>
      <c r="H21" s="1340"/>
      <c r="I21" s="1340"/>
      <c r="J21" s="1354"/>
      <c r="K21" s="1354"/>
    </row>
    <row r="22" spans="2:11">
      <c r="B22" s="1348" t="s">
        <v>1335</v>
      </c>
      <c r="C22" s="1370">
        <v>7.0000000000000001E-3</v>
      </c>
      <c r="D22" s="1349">
        <f>IF(D20&lt;=20000,D20*0.5%,IF(D20&gt;=40000,(D20-40000)*0.7%+220,(D20-20000)*0.6%+100))</f>
        <v>0</v>
      </c>
      <c r="E22" s="1349">
        <f t="shared" ref="E22:F22" si="2">IF(E20&lt;=20000,E20*0.5%,IF(E20&gt;=40000,(E20-40000)*0.7%+220,(E20-20000)*0.6%+100))</f>
        <v>0</v>
      </c>
      <c r="F22" s="1349">
        <f t="shared" si="2"/>
        <v>0</v>
      </c>
      <c r="G22" s="1339"/>
      <c r="H22" s="1371"/>
      <c r="I22" s="1371"/>
      <c r="J22" s="1354"/>
      <c r="K22" s="1354"/>
    </row>
    <row r="23" spans="2:11">
      <c r="B23" s="1352" t="s">
        <v>1336</v>
      </c>
      <c r="C23" s="1372">
        <v>0.2</v>
      </c>
      <c r="D23" s="1373">
        <f>D22*$C$23</f>
        <v>0</v>
      </c>
      <c r="E23" s="1373">
        <f>E22*$C$23</f>
        <v>0</v>
      </c>
      <c r="F23" s="1373">
        <f>F22*$C$23</f>
        <v>0</v>
      </c>
      <c r="G23" s="1339"/>
      <c r="H23" s="1374" t="s">
        <v>1337</v>
      </c>
      <c r="I23" s="1340">
        <f>IF(공사기간&lt;=24,SUM(D22:E23),SUM(세금관련!D22:F23))</f>
        <v>0</v>
      </c>
      <c r="J23" s="1354"/>
      <c r="K23" s="1354"/>
    </row>
    <row r="24" spans="2:11" ht="18" thickBot="1">
      <c r="B24" s="1360" t="s">
        <v>1338</v>
      </c>
      <c r="C24" s="1360"/>
      <c r="D24" s="1375">
        <f>SUM(D22:D23)</f>
        <v>0</v>
      </c>
      <c r="E24" s="1375">
        <f>SUM(E22:E23)</f>
        <v>0</v>
      </c>
      <c r="F24" s="1375">
        <f>SUM(F22:F23)</f>
        <v>0</v>
      </c>
      <c r="G24" s="1339"/>
      <c r="H24" s="1371"/>
      <c r="I24" s="1371"/>
      <c r="J24" s="1354"/>
      <c r="K24" s="1354"/>
    </row>
    <row r="25" spans="2:11" ht="18" thickTop="1">
      <c r="B25" s="1339"/>
      <c r="C25" s="1339"/>
      <c r="D25" s="1376" t="e">
        <f>D24/SUM($D$24:$F$24)</f>
        <v>#DIV/0!</v>
      </c>
      <c r="E25" s="1376" t="e">
        <f>E24/SUM($D$24:$F$24)</f>
        <v>#DIV/0!</v>
      </c>
      <c r="F25" s="1376" t="e">
        <f>F24/SUM($D$24:$F$24)</f>
        <v>#DIV/0!</v>
      </c>
      <c r="G25" s="1339"/>
      <c r="H25" s="1371"/>
      <c r="I25" s="1371"/>
      <c r="J25" s="1354"/>
      <c r="K25" s="1354"/>
    </row>
  </sheetData>
  <phoneticPr fontId="4" type="noConversion"/>
  <hyperlinks>
    <hyperlink ref="L4" r:id="rId1" display="공시지가 사이트" xr:uid="{00000000-0004-0000-1000-000000000000}"/>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pageSetUpPr fitToPage="1"/>
  </sheetPr>
  <dimension ref="B1:N34"/>
  <sheetViews>
    <sheetView showGridLines="0" workbookViewId="0">
      <selection activeCell="C26" sqref="C26:G26"/>
    </sheetView>
  </sheetViews>
  <sheetFormatPr defaultColWidth="9" defaultRowHeight="17.399999999999999"/>
  <cols>
    <col min="1" max="1" width="1.19921875" customWidth="1"/>
    <col min="2" max="2" width="2.59765625" customWidth="1"/>
    <col min="4" max="4" width="4.69921875" customWidth="1"/>
    <col min="5" max="5" width="14.59765625" customWidth="1"/>
    <col min="6" max="6" width="6.09765625" style="1835" bestFit="1" customWidth="1"/>
    <col min="7" max="8" width="16" style="1833" customWidth="1"/>
    <col min="9" max="9" width="21.59765625" style="1833" bestFit="1" customWidth="1"/>
    <col min="10" max="10" width="14.59765625" bestFit="1" customWidth="1"/>
    <col min="11" max="11" width="12.69921875" bestFit="1" customWidth="1"/>
    <col min="14" max="14" width="21.59765625" bestFit="1" customWidth="1"/>
  </cols>
  <sheetData>
    <row r="1" spans="2:14" ht="28.5" customHeight="1">
      <c r="B1" s="473" t="s">
        <v>1593</v>
      </c>
    </row>
    <row r="2" spans="2:14" s="386" customFormat="1" ht="18.75" customHeight="1">
      <c r="C2" s="2547" t="s">
        <v>1592</v>
      </c>
      <c r="D2" s="2547"/>
      <c r="E2" s="2548" t="str">
        <f>총괄장!C4</f>
        <v>밀양시 삼문동 687-1 일대</v>
      </c>
      <c r="F2" s="2548"/>
      <c r="G2" s="1865"/>
      <c r="H2" s="1865"/>
      <c r="I2" s="1865"/>
    </row>
    <row r="3" spans="2:14" s="386" customFormat="1" ht="18.75" customHeight="1">
      <c r="C3" s="2547" t="s">
        <v>1591</v>
      </c>
      <c r="D3" s="2547"/>
      <c r="E3" s="2549">
        <f>총괄장!H9</f>
        <v>55663.46</v>
      </c>
      <c r="F3" s="2549"/>
      <c r="G3" s="1865"/>
      <c r="H3" s="1865"/>
      <c r="I3" s="1865"/>
    </row>
    <row r="4" spans="2:14" s="386" customFormat="1" ht="18.75" customHeight="1">
      <c r="C4" s="2547" t="s">
        <v>1590</v>
      </c>
      <c r="D4" s="2547"/>
      <c r="E4" s="2550">
        <f>분양개요!O5</f>
        <v>158252065.389</v>
      </c>
      <c r="F4" s="2550"/>
      <c r="G4" s="1865"/>
      <c r="H4" s="1865"/>
      <c r="I4" s="1865"/>
    </row>
    <row r="5" spans="2:14" s="386" customFormat="1" ht="18.75" customHeight="1">
      <c r="C5" s="2547" t="s">
        <v>1589</v>
      </c>
      <c r="D5" s="2547"/>
      <c r="E5" s="2550">
        <f>'사업수지표 '!E74</f>
        <v>400000</v>
      </c>
      <c r="F5" s="2550"/>
      <c r="G5" s="1865"/>
      <c r="H5" s="1865"/>
      <c r="I5" s="1865"/>
    </row>
    <row r="6" spans="2:14" s="386" customFormat="1" ht="18.75" customHeight="1">
      <c r="C6" s="389"/>
      <c r="D6" s="389"/>
      <c r="E6" s="1866"/>
      <c r="F6" s="1866"/>
      <c r="G6" s="1865"/>
      <c r="H6" s="1865"/>
      <c r="I6" s="1865"/>
    </row>
    <row r="7" spans="2:14" ht="24" customHeight="1">
      <c r="I7" s="1833" t="s">
        <v>1588</v>
      </c>
    </row>
    <row r="8" spans="2:14" ht="62.25" customHeight="1">
      <c r="C8" s="2558" t="s">
        <v>1587</v>
      </c>
      <c r="D8" s="2559"/>
      <c r="E8" s="2559"/>
      <c r="F8" s="2560"/>
      <c r="G8" s="1864" t="s">
        <v>1586</v>
      </c>
      <c r="H8" s="1864" t="s">
        <v>1585</v>
      </c>
      <c r="I8" s="21" t="s">
        <v>1584</v>
      </c>
    </row>
    <row r="9" spans="2:14" ht="17.25" customHeight="1">
      <c r="C9" s="2561" t="s">
        <v>1583</v>
      </c>
      <c r="D9" s="2562" t="s">
        <v>1582</v>
      </c>
      <c r="E9" s="2563"/>
      <c r="F9" s="2564"/>
      <c r="G9" s="1863">
        <f>Equity!C5</f>
        <v>2000000</v>
      </c>
      <c r="H9" s="1862">
        <f>G9</f>
        <v>2000000</v>
      </c>
      <c r="I9" s="1861"/>
    </row>
    <row r="10" spans="2:14" ht="17.25" customHeight="1">
      <c r="C10" s="2090"/>
      <c r="D10" s="2565" t="s">
        <v>1581</v>
      </c>
      <c r="E10" s="2566"/>
      <c r="F10" s="2567"/>
      <c r="G10" s="1860">
        <f>'사업수지표 '!R48</f>
        <v>36000000</v>
      </c>
      <c r="H10" s="1860">
        <f>G10</f>
        <v>36000000</v>
      </c>
      <c r="I10" s="1859"/>
    </row>
    <row r="11" spans="2:14" ht="17.25" customHeight="1">
      <c r="C11" s="2090"/>
      <c r="D11" s="2568" t="s">
        <v>1580</v>
      </c>
      <c r="E11" s="2569"/>
      <c r="F11" s="2570"/>
      <c r="G11" s="1851">
        <f>'사업수지표 '!E26</f>
        <v>17248000</v>
      </c>
      <c r="H11" s="1858">
        <f>G11</f>
        <v>17248000</v>
      </c>
      <c r="I11" s="1857"/>
    </row>
    <row r="12" spans="2:14" ht="17.25" customHeight="1">
      <c r="C12" s="2090"/>
      <c r="D12" s="2554" t="s">
        <v>1579</v>
      </c>
      <c r="E12" s="2555"/>
      <c r="F12" s="2556"/>
      <c r="G12" s="1846">
        <f>G9+G10-G11</f>
        <v>20752000</v>
      </c>
      <c r="H12" s="1846">
        <f>H9+H10-H11</f>
        <v>20752000</v>
      </c>
      <c r="I12" s="1845" t="s">
        <v>1578</v>
      </c>
    </row>
    <row r="13" spans="2:14" ht="17.25" customHeight="1">
      <c r="C13" s="2561" t="s">
        <v>1577</v>
      </c>
      <c r="D13" s="2339" t="s">
        <v>1576</v>
      </c>
      <c r="E13" s="2340"/>
      <c r="F13" s="2341"/>
      <c r="G13" s="1849">
        <f>'사업수지표 '!E96</f>
        <v>135550636.35873261</v>
      </c>
      <c r="H13" s="1849">
        <f>G13-'사업수지표 '!AD27</f>
        <v>51359653.108732626</v>
      </c>
      <c r="I13" s="1867">
        <f>총괄장!W10</f>
        <v>5000</v>
      </c>
      <c r="J13" s="1593"/>
    </row>
    <row r="14" spans="2:14" ht="17.25" customHeight="1">
      <c r="C14" s="2090"/>
      <c r="D14" s="2339" t="s">
        <v>1575</v>
      </c>
      <c r="E14" s="2340"/>
      <c r="F14" s="2341"/>
      <c r="G14" s="1849">
        <f>'사업수지표 '!E26</f>
        <v>17248000</v>
      </c>
      <c r="H14" s="1849">
        <f>G14</f>
        <v>17248000</v>
      </c>
      <c r="I14" s="14"/>
      <c r="N14" s="1593"/>
    </row>
    <row r="15" spans="2:14" ht="17.25" customHeight="1">
      <c r="C15" s="2090"/>
      <c r="D15" s="2571" t="s">
        <v>1574</v>
      </c>
      <c r="E15" s="1855" t="s">
        <v>1573</v>
      </c>
      <c r="F15" s="1854">
        <v>1</v>
      </c>
      <c r="G15" s="1853">
        <f>SUM('사업수지표 '!E64:E68)</f>
        <v>2291832</v>
      </c>
      <c r="H15" s="1853">
        <f>G15</f>
        <v>2291832</v>
      </c>
      <c r="I15" s="1856"/>
      <c r="N15" s="1595"/>
    </row>
    <row r="16" spans="2:14" ht="29.25" customHeight="1">
      <c r="C16" s="2090"/>
      <c r="D16" s="2572"/>
      <c r="E16" s="1855" t="s">
        <v>1572</v>
      </c>
      <c r="F16" s="1854">
        <v>1</v>
      </c>
      <c r="G16" s="1853">
        <f>'사업수지표 '!E91+'사업수지표 '!E92</f>
        <v>7210412.9864238678</v>
      </c>
      <c r="H16" s="1853">
        <f>G16</f>
        <v>7210412.9864238678</v>
      </c>
      <c r="I16" s="1852"/>
      <c r="K16" s="1593"/>
      <c r="N16" s="1595"/>
    </row>
    <row r="17" spans="3:11" ht="17.25" customHeight="1">
      <c r="C17" s="2090"/>
      <c r="D17" s="2572"/>
      <c r="E17" s="2573" t="s">
        <v>1571</v>
      </c>
      <c r="F17" s="2574"/>
      <c r="G17" s="1851">
        <f>SUM(G15:G16)</f>
        <v>9502244.9864238687</v>
      </c>
      <c r="H17" s="1851">
        <f>SUM(H15:H16)</f>
        <v>9502244.9864238687</v>
      </c>
      <c r="I17" s="1850"/>
    </row>
    <row r="18" spans="3:11" ht="17.25" customHeight="1">
      <c r="C18" s="2090"/>
      <c r="D18" s="2339" t="s">
        <v>1570</v>
      </c>
      <c r="E18" s="2340"/>
      <c r="F18" s="2341"/>
      <c r="G18" s="1849">
        <f>'사업수지표 '!E53</f>
        <v>3038767.2717643613</v>
      </c>
      <c r="H18" s="1849">
        <f>G18</f>
        <v>3038767.2717643613</v>
      </c>
      <c r="I18" s="14"/>
      <c r="K18" s="397"/>
    </row>
    <row r="19" spans="3:11" ht="17.25" customHeight="1">
      <c r="C19" s="2090"/>
      <c r="D19" s="2339" t="s">
        <v>1569</v>
      </c>
      <c r="E19" s="2340"/>
      <c r="F19" s="2341"/>
      <c r="G19" s="1849">
        <f>E5</f>
        <v>400000</v>
      </c>
      <c r="H19" s="1848">
        <f>G19</f>
        <v>400000</v>
      </c>
      <c r="I19" s="1847"/>
    </row>
    <row r="20" spans="3:11" ht="17.25" customHeight="1">
      <c r="C20" s="2090"/>
      <c r="D20" s="2554" t="s">
        <v>1568</v>
      </c>
      <c r="E20" s="2555"/>
      <c r="F20" s="2556"/>
      <c r="G20" s="1846">
        <f>G13-G14-G17-G18-G19</f>
        <v>105361624.10054438</v>
      </c>
      <c r="H20" s="1846">
        <f>H13-H14-H17-H18-H19</f>
        <v>21170640.850544397</v>
      </c>
      <c r="I20" s="1845" t="s">
        <v>1567</v>
      </c>
      <c r="K20" s="397"/>
    </row>
    <row r="21" spans="3:11" ht="17.25" customHeight="1">
      <c r="C21" s="2551" t="s">
        <v>1566</v>
      </c>
      <c r="D21" s="2552"/>
      <c r="E21" s="2552"/>
      <c r="F21" s="2553"/>
      <c r="G21" s="1841">
        <f>G12/G20</f>
        <v>0.19695975813923297</v>
      </c>
      <c r="H21" s="1841">
        <f>H12/H20</f>
        <v>0.98022540491335053</v>
      </c>
      <c r="I21" s="1840" t="s">
        <v>1564</v>
      </c>
      <c r="K21" s="397"/>
    </row>
    <row r="22" spans="3:11" ht="17.25" customHeight="1">
      <c r="C22" s="2551" t="s">
        <v>1565</v>
      </c>
      <c r="D22" s="2552"/>
      <c r="E22" s="2552"/>
      <c r="F22" s="2553"/>
      <c r="G22" s="1843">
        <f>G20-G12</f>
        <v>84609624.100544378</v>
      </c>
      <c r="H22" s="1840"/>
      <c r="I22" s="1840" t="s">
        <v>1564</v>
      </c>
      <c r="J22" s="1593"/>
    </row>
    <row r="23" spans="3:11" ht="17.25" customHeight="1">
      <c r="C23" s="2551" t="s">
        <v>1563</v>
      </c>
      <c r="D23" s="2552"/>
      <c r="E23" s="2552"/>
      <c r="F23" s="2553"/>
      <c r="G23" s="1842">
        <f>G19/G22</f>
        <v>4.7275945762939092E-3</v>
      </c>
      <c r="H23" s="1840"/>
      <c r="I23" s="1840"/>
      <c r="J23" s="1593"/>
    </row>
    <row r="24" spans="3:11" ht="17.25" customHeight="1">
      <c r="C24" s="2551" t="s">
        <v>1562</v>
      </c>
      <c r="D24" s="2552"/>
      <c r="E24" s="2552"/>
      <c r="F24" s="2553"/>
      <c r="G24" s="1844">
        <f>민감도분석!J26</f>
        <v>86321323.131120026</v>
      </c>
      <c r="H24" s="1840"/>
      <c r="I24" s="1840"/>
      <c r="J24" s="1593"/>
    </row>
    <row r="25" spans="3:11" ht="17.25" customHeight="1">
      <c r="C25" s="2551" t="s">
        <v>1561</v>
      </c>
      <c r="D25" s="2552"/>
      <c r="E25" s="2552"/>
      <c r="F25" s="2553"/>
      <c r="G25" s="1843">
        <f>G24-G17</f>
        <v>76819078.144696161</v>
      </c>
      <c r="H25" s="1840"/>
      <c r="I25" s="1840" t="s">
        <v>1560</v>
      </c>
      <c r="J25" s="1593"/>
    </row>
    <row r="26" spans="3:11" ht="17.25" customHeight="1">
      <c r="C26" s="2551" t="s">
        <v>1559</v>
      </c>
      <c r="D26" s="2552"/>
      <c r="E26" s="2552"/>
      <c r="F26" s="2553"/>
      <c r="G26" s="1843">
        <f>G22-G25</f>
        <v>7790545.955848217</v>
      </c>
      <c r="H26" s="1840"/>
      <c r="I26" s="1840"/>
      <c r="J26" s="1593"/>
    </row>
    <row r="27" spans="3:11" ht="17.25" customHeight="1">
      <c r="C27" s="2551" t="s">
        <v>1558</v>
      </c>
      <c r="D27" s="2552"/>
      <c r="E27" s="2552"/>
      <c r="F27" s="2553"/>
      <c r="G27" s="1842">
        <f>G22/G25</f>
        <v>1.1014142078244413</v>
      </c>
      <c r="H27" s="1841"/>
      <c r="I27" s="1840" t="s">
        <v>1557</v>
      </c>
      <c r="J27" s="1839"/>
    </row>
    <row r="28" spans="3:11">
      <c r="C28" s="2557" t="s">
        <v>1556</v>
      </c>
      <c r="D28" s="2557"/>
      <c r="E28" s="2557"/>
      <c r="F28" s="2557"/>
      <c r="G28" s="1838">
        <f>G22/G25</f>
        <v>1.1014142078244413</v>
      </c>
      <c r="H28" s="1838"/>
    </row>
    <row r="29" spans="3:11">
      <c r="E29" t="s">
        <v>1555</v>
      </c>
      <c r="G29" s="1837">
        <f>(M8+G9+G10)/G13</f>
        <v>0.2803380420836506</v>
      </c>
    </row>
    <row r="31" spans="3:11">
      <c r="C31" s="662"/>
      <c r="E31" t="s">
        <v>1554</v>
      </c>
      <c r="G31" s="1837">
        <f>E5/E4</f>
        <v>2.5276131405726587E-3</v>
      </c>
    </row>
    <row r="32" spans="3:11">
      <c r="C32" s="486"/>
    </row>
    <row r="34" spans="3:3">
      <c r="C34" s="1836"/>
    </row>
  </sheetData>
  <mergeCells count="30">
    <mergeCell ref="C28:F28"/>
    <mergeCell ref="C5:D5"/>
    <mergeCell ref="E5:F5"/>
    <mergeCell ref="C8:F8"/>
    <mergeCell ref="C9:C12"/>
    <mergeCell ref="D9:F9"/>
    <mergeCell ref="D10:F10"/>
    <mergeCell ref="D11:F11"/>
    <mergeCell ref="D12:F12"/>
    <mergeCell ref="C27:F27"/>
    <mergeCell ref="C13:C20"/>
    <mergeCell ref="D13:F13"/>
    <mergeCell ref="D14:F14"/>
    <mergeCell ref="D15:D17"/>
    <mergeCell ref="E17:F17"/>
    <mergeCell ref="C25:F25"/>
    <mergeCell ref="C24:F24"/>
    <mergeCell ref="D20:F20"/>
    <mergeCell ref="C26:F26"/>
    <mergeCell ref="D19:F19"/>
    <mergeCell ref="D18:F18"/>
    <mergeCell ref="C21:F21"/>
    <mergeCell ref="C23:F23"/>
    <mergeCell ref="C22:F22"/>
    <mergeCell ref="C2:D2"/>
    <mergeCell ref="E2:F2"/>
    <mergeCell ref="C3:D3"/>
    <mergeCell ref="E3:F3"/>
    <mergeCell ref="C4:D4"/>
    <mergeCell ref="E4:F4"/>
  </mergeCells>
  <phoneticPr fontId="4" type="noConversion"/>
  <pageMargins left="0.7" right="0.7" top="0.75" bottom="0.75" header="0.3" footer="0.3"/>
  <pageSetup paperSize="9" scale="87"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4"/>
  <dimension ref="B1:H25"/>
  <sheetViews>
    <sheetView topLeftCell="A16" zoomScale="70" zoomScaleNormal="70" workbookViewId="0">
      <selection activeCell="O31" sqref="O31"/>
    </sheetView>
  </sheetViews>
  <sheetFormatPr defaultRowHeight="17.399999999999999"/>
  <cols>
    <col min="2" max="8" width="16" customWidth="1"/>
  </cols>
  <sheetData>
    <row r="1" spans="2:8" ht="18" thickBot="1"/>
    <row r="2" spans="2:8" ht="19.8" thickTop="1">
      <c r="B2" s="37" t="s">
        <v>57</v>
      </c>
      <c r="C2" s="37" t="s">
        <v>188</v>
      </c>
      <c r="D2" s="37" t="s">
        <v>189</v>
      </c>
      <c r="E2" s="38" t="s">
        <v>190</v>
      </c>
      <c r="F2" s="39" t="s">
        <v>191</v>
      </c>
      <c r="G2" s="40" t="s">
        <v>192</v>
      </c>
      <c r="H2" s="37" t="s">
        <v>88</v>
      </c>
    </row>
    <row r="3" spans="2:8" ht="38.4">
      <c r="B3" s="10" t="s">
        <v>193</v>
      </c>
      <c r="C3" s="9" t="s">
        <v>194</v>
      </c>
      <c r="D3" s="41" t="s">
        <v>195</v>
      </c>
      <c r="E3" s="42">
        <v>6</v>
      </c>
      <c r="F3" s="43">
        <v>4</v>
      </c>
      <c r="G3" s="44">
        <v>5</v>
      </c>
      <c r="H3" s="9"/>
    </row>
    <row r="4" spans="2:8" ht="38.4">
      <c r="B4" s="45" t="s">
        <v>196</v>
      </c>
      <c r="C4" s="9" t="s">
        <v>197</v>
      </c>
      <c r="D4" s="41" t="s">
        <v>198</v>
      </c>
      <c r="E4" s="42">
        <v>5</v>
      </c>
      <c r="F4" s="43">
        <v>4</v>
      </c>
      <c r="G4" s="44">
        <v>4</v>
      </c>
      <c r="H4" s="9" t="s">
        <v>101</v>
      </c>
    </row>
    <row r="5" spans="2:8" ht="38.4">
      <c r="B5" s="45">
        <v>-40</v>
      </c>
      <c r="C5" s="9" t="s">
        <v>199</v>
      </c>
      <c r="D5" s="41" t="s">
        <v>200</v>
      </c>
      <c r="E5" s="42">
        <v>6</v>
      </c>
      <c r="F5" s="43">
        <v>4</v>
      </c>
      <c r="G5" s="44">
        <v>4</v>
      </c>
      <c r="H5" s="9" t="s">
        <v>101</v>
      </c>
    </row>
    <row r="6" spans="2:8" ht="19.2">
      <c r="B6" s="46"/>
      <c r="C6" s="9" t="s">
        <v>201</v>
      </c>
      <c r="D6" s="41" t="s">
        <v>202</v>
      </c>
      <c r="E6" s="42">
        <v>6</v>
      </c>
      <c r="F6" s="43">
        <v>3</v>
      </c>
      <c r="G6" s="44">
        <v>4</v>
      </c>
      <c r="H6" s="9" t="s">
        <v>101</v>
      </c>
    </row>
    <row r="7" spans="2:8" ht="38.4">
      <c r="B7" s="46"/>
      <c r="C7" s="9" t="s">
        <v>203</v>
      </c>
      <c r="D7" s="41" t="s">
        <v>204</v>
      </c>
      <c r="E7" s="42">
        <v>5</v>
      </c>
      <c r="F7" s="43">
        <v>3</v>
      </c>
      <c r="G7" s="44">
        <v>3</v>
      </c>
      <c r="H7" s="9" t="s">
        <v>101</v>
      </c>
    </row>
    <row r="8" spans="2:8" ht="38.4">
      <c r="B8" s="46"/>
      <c r="C8" s="9" t="s">
        <v>205</v>
      </c>
      <c r="D8" s="41" t="s">
        <v>206</v>
      </c>
      <c r="E8" s="42">
        <v>6</v>
      </c>
      <c r="F8" s="43">
        <v>4</v>
      </c>
      <c r="G8" s="44">
        <v>5</v>
      </c>
      <c r="H8" s="9"/>
    </row>
    <row r="9" spans="2:8" ht="38.4">
      <c r="B9" s="47"/>
      <c r="C9" s="9" t="s">
        <v>207</v>
      </c>
      <c r="D9" s="41" t="s">
        <v>208</v>
      </c>
      <c r="E9" s="42">
        <v>6</v>
      </c>
      <c r="F9" s="43">
        <v>3</v>
      </c>
      <c r="G9" s="44">
        <v>4</v>
      </c>
      <c r="H9" s="9" t="s">
        <v>101</v>
      </c>
    </row>
    <row r="10" spans="2:8" ht="57.6">
      <c r="B10" s="10" t="s">
        <v>209</v>
      </c>
      <c r="C10" s="9" t="s">
        <v>210</v>
      </c>
      <c r="D10" s="41" t="s">
        <v>211</v>
      </c>
      <c r="E10" s="42">
        <v>7</v>
      </c>
      <c r="F10" s="43">
        <v>6</v>
      </c>
      <c r="G10" s="44">
        <v>6</v>
      </c>
      <c r="H10" s="9" t="s">
        <v>101</v>
      </c>
    </row>
    <row r="11" spans="2:8" ht="38.4">
      <c r="B11" s="45" t="s">
        <v>196</v>
      </c>
      <c r="C11" s="9" t="s">
        <v>212</v>
      </c>
      <c r="D11" s="41" t="s">
        <v>213</v>
      </c>
      <c r="E11" s="42">
        <v>7</v>
      </c>
      <c r="F11" s="43">
        <v>6</v>
      </c>
      <c r="G11" s="44">
        <v>5</v>
      </c>
      <c r="H11" s="9" t="s">
        <v>214</v>
      </c>
    </row>
    <row r="12" spans="2:8" ht="57.6">
      <c r="B12" s="45">
        <v>-40</v>
      </c>
      <c r="C12" s="9" t="s">
        <v>215</v>
      </c>
      <c r="D12" s="41" t="s">
        <v>216</v>
      </c>
      <c r="E12" s="42">
        <v>7</v>
      </c>
      <c r="F12" s="43">
        <v>5</v>
      </c>
      <c r="G12" s="44">
        <v>5</v>
      </c>
      <c r="H12" s="9" t="s">
        <v>101</v>
      </c>
    </row>
    <row r="13" spans="2:8" ht="19.2">
      <c r="B13" s="46"/>
      <c r="C13" s="9" t="s">
        <v>217</v>
      </c>
      <c r="D13" s="41" t="s">
        <v>218</v>
      </c>
      <c r="E13" s="42">
        <v>6</v>
      </c>
      <c r="F13" s="43">
        <v>4</v>
      </c>
      <c r="G13" s="44">
        <v>4</v>
      </c>
      <c r="H13" s="9" t="s">
        <v>101</v>
      </c>
    </row>
    <row r="14" spans="2:8" ht="38.4">
      <c r="B14" s="46"/>
      <c r="C14" s="9" t="s">
        <v>219</v>
      </c>
      <c r="D14" s="41" t="s">
        <v>220</v>
      </c>
      <c r="E14" s="42">
        <v>6</v>
      </c>
      <c r="F14" s="43">
        <v>5</v>
      </c>
      <c r="G14" s="44">
        <v>4</v>
      </c>
      <c r="H14" s="9" t="s">
        <v>221</v>
      </c>
    </row>
    <row r="15" spans="2:8" ht="38.4">
      <c r="B15" s="47"/>
      <c r="C15" s="9" t="s">
        <v>222</v>
      </c>
      <c r="D15" s="41" t="s">
        <v>223</v>
      </c>
      <c r="E15" s="42">
        <v>7</v>
      </c>
      <c r="F15" s="43">
        <v>5</v>
      </c>
      <c r="G15" s="44">
        <v>5</v>
      </c>
      <c r="H15" s="9" t="s">
        <v>101</v>
      </c>
    </row>
    <row r="16" spans="2:8" ht="57.6">
      <c r="B16" s="10" t="s">
        <v>224</v>
      </c>
      <c r="C16" s="9" t="s">
        <v>225</v>
      </c>
      <c r="D16" s="41" t="s">
        <v>226</v>
      </c>
      <c r="E16" s="42">
        <v>8</v>
      </c>
      <c r="F16" s="43">
        <v>5</v>
      </c>
      <c r="G16" s="44">
        <v>6</v>
      </c>
      <c r="H16" s="9" t="s">
        <v>101</v>
      </c>
    </row>
    <row r="17" spans="2:8" ht="57.6">
      <c r="B17" s="45" t="s">
        <v>196</v>
      </c>
      <c r="C17" s="9" t="s">
        <v>227</v>
      </c>
      <c r="D17" s="41" t="s">
        <v>228</v>
      </c>
      <c r="E17" s="42">
        <v>6</v>
      </c>
      <c r="F17" s="43">
        <v>6</v>
      </c>
      <c r="G17" s="44">
        <v>5</v>
      </c>
      <c r="H17" s="9" t="s">
        <v>229</v>
      </c>
    </row>
    <row r="18" spans="2:8" ht="38.4">
      <c r="B18" s="11">
        <v>-20</v>
      </c>
      <c r="C18" s="9" t="s">
        <v>230</v>
      </c>
      <c r="D18" s="41" t="s">
        <v>231</v>
      </c>
      <c r="E18" s="42">
        <v>6</v>
      </c>
      <c r="F18" s="43">
        <v>3</v>
      </c>
      <c r="G18" s="44">
        <v>4</v>
      </c>
      <c r="H18" s="9" t="s">
        <v>101</v>
      </c>
    </row>
    <row r="19" spans="2:8" ht="19.8" thickBot="1">
      <c r="B19" s="2575" t="s">
        <v>105</v>
      </c>
      <c r="C19" s="2576"/>
      <c r="D19" s="2577"/>
      <c r="E19" s="38">
        <v>100</v>
      </c>
      <c r="F19" s="48">
        <v>70</v>
      </c>
      <c r="G19" s="40">
        <v>73</v>
      </c>
      <c r="H19" s="49" t="s">
        <v>101</v>
      </c>
    </row>
    <row r="20" spans="2:8" ht="18" thickTop="1"/>
    <row r="22" spans="2:8" ht="17.25" customHeight="1">
      <c r="B22" s="2578" t="s">
        <v>232</v>
      </c>
      <c r="C22" s="2578"/>
      <c r="D22" s="2578"/>
      <c r="E22" s="12" t="s">
        <v>233</v>
      </c>
      <c r="F22" s="2578" t="s">
        <v>234</v>
      </c>
      <c r="G22" s="2578"/>
    </row>
    <row r="23" spans="2:8" ht="19.2">
      <c r="B23" s="13" t="s">
        <v>235</v>
      </c>
      <c r="C23" s="50">
        <v>16495</v>
      </c>
      <c r="D23" s="50">
        <v>20497</v>
      </c>
      <c r="E23" s="51">
        <f>F19/G19</f>
        <v>0.95890410958904104</v>
      </c>
      <c r="F23" s="52">
        <f t="shared" ref="F23:G25" si="0">C23*$E$23</f>
        <v>15817.123287671233</v>
      </c>
      <c r="G23" s="53">
        <f t="shared" si="0"/>
        <v>19654.657534246573</v>
      </c>
    </row>
    <row r="24" spans="2:8" ht="19.2">
      <c r="B24" s="13" t="s">
        <v>236</v>
      </c>
      <c r="C24" s="50">
        <v>7262</v>
      </c>
      <c r="D24" s="50">
        <v>8783</v>
      </c>
      <c r="E24" s="51">
        <f>E23</f>
        <v>0.95890410958904104</v>
      </c>
      <c r="F24" s="52">
        <f t="shared" si="0"/>
        <v>6963.5616438356165</v>
      </c>
      <c r="G24" s="53">
        <f t="shared" si="0"/>
        <v>8422.0547945205471</v>
      </c>
    </row>
    <row r="25" spans="2:8" ht="19.2">
      <c r="B25" s="16" t="s">
        <v>237</v>
      </c>
      <c r="C25" s="54">
        <v>13799</v>
      </c>
      <c r="D25" s="54">
        <v>20495</v>
      </c>
      <c r="E25" s="55">
        <f>E24</f>
        <v>0.95890410958904104</v>
      </c>
      <c r="F25" s="52">
        <f t="shared" si="0"/>
        <v>13231.917808219177</v>
      </c>
      <c r="G25" s="53">
        <f t="shared" si="0"/>
        <v>19652.739726027397</v>
      </c>
    </row>
  </sheetData>
  <mergeCells count="3">
    <mergeCell ref="B19:D19"/>
    <mergeCell ref="B22:D22"/>
    <mergeCell ref="F22:G22"/>
  </mergeCells>
  <phoneticPr fontId="4" type="noConversion"/>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19</vt:i4>
      </vt:variant>
      <vt:variant>
        <vt:lpstr>이름 지정된 범위</vt:lpstr>
      </vt:variant>
      <vt:variant>
        <vt:i4>13</vt:i4>
      </vt:variant>
    </vt:vector>
  </HeadingPairs>
  <TitlesOfParts>
    <vt:vector size="32" baseType="lpstr">
      <vt:lpstr>총괄장</vt:lpstr>
      <vt:lpstr>분양개요</vt:lpstr>
      <vt:lpstr>매입세율</vt:lpstr>
      <vt:lpstr>Equity</vt:lpstr>
      <vt:lpstr>비용집행계획</vt:lpstr>
      <vt:lpstr>사업수지표 </vt:lpstr>
      <vt:lpstr>CF분석</vt:lpstr>
      <vt:lpstr>PF 계산</vt:lpstr>
      <vt:lpstr>민감도분석</vt:lpstr>
      <vt:lpstr>책임준공 위험액</vt:lpstr>
      <vt:lpstr>공정율산정</vt:lpstr>
      <vt:lpstr>간접공사비</vt:lpstr>
      <vt:lpstr>각종부담금</vt:lpstr>
      <vt:lpstr>외주용역비</vt:lpstr>
      <vt:lpstr>기타비용</vt:lpstr>
      <vt:lpstr>부가세</vt:lpstr>
      <vt:lpstr>세금관련</vt:lpstr>
      <vt:lpstr>신탁사책준위험액계산</vt:lpstr>
      <vt:lpstr>분양가적정성</vt:lpstr>
      <vt:lpstr>CF분석!Print_Area</vt:lpstr>
      <vt:lpstr>Equity!Print_Area</vt:lpstr>
      <vt:lpstr>매입세율!Print_Area</vt:lpstr>
      <vt:lpstr>분양개요!Print_Area</vt:lpstr>
      <vt:lpstr>비용집행계획!Print_Area</vt:lpstr>
      <vt:lpstr>'사업수지표 '!Print_Area</vt:lpstr>
      <vt:lpstr>신탁사책준위험액계산!Print_Area</vt:lpstr>
      <vt:lpstr>총괄장!Print_Area</vt:lpstr>
      <vt:lpstr>Startmonth</vt:lpstr>
      <vt:lpstr>공사기간</vt:lpstr>
      <vt:lpstr>선순위대출</vt:lpstr>
      <vt:lpstr>중순위대출</vt:lpstr>
      <vt:lpstr>후순위대출</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홍석태</dc:creator>
  <cp:lastModifiedBy>spoons02</cp:lastModifiedBy>
  <cp:lastPrinted>2023-03-20T10:41:04Z</cp:lastPrinted>
  <dcterms:created xsi:type="dcterms:W3CDTF">2019-04-28T23:04:26Z</dcterms:created>
  <dcterms:modified xsi:type="dcterms:W3CDTF">2023-03-20T10:42:03Z</dcterms:modified>
</cp:coreProperties>
</file>