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3005" documentId="8_{A7061520-38C6-4548-A697-98A98EC967F4}" xr6:coauthVersionLast="47" xr6:coauthVersionMax="47" xr10:uidLastSave="{5C7CAF47-CC6C-4FB7-A232-AED425843D61}"/>
  <bookViews>
    <workbookView xWindow="30690" yWindow="12435" windowWidth="7710" windowHeight="8565" firstSheet="4" activeTab="8" xr2:uid="{5DE79D18-A7DC-45EE-96BD-1AC3843D2D9E}"/>
  </bookViews>
  <sheets>
    <sheet name="Main" sheetId="1" r:id="rId1"/>
    <sheet name="Module 24" sheetId="2" r:id="rId2"/>
    <sheet name="WSE24.1" sheetId="3" r:id="rId3"/>
    <sheet name="WSE24.2" sheetId="4" r:id="rId4"/>
    <sheet name="WSE24.3" sheetId="5" r:id="rId5"/>
    <sheet name="WSE24.4" sheetId="6" r:id="rId6"/>
    <sheet name="WSE24.5" sheetId="7" r:id="rId7"/>
    <sheet name="WSE24.6" sheetId="8" r:id="rId8"/>
    <sheet name="WSE24.7" sheetId="9" r:id="rId9"/>
  </sheets>
  <externalReferences>
    <externalReference r:id="rId1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2" i="9" l="1"/>
  <c r="K176" i="9"/>
  <c r="K173" i="9"/>
  <c r="K175" i="9" s="1"/>
  <c r="J97" i="9"/>
  <c r="K98" i="9" s="1"/>
  <c r="K100" i="9" s="1"/>
  <c r="K193" i="9"/>
  <c r="K192" i="9"/>
  <c r="K183" i="9"/>
  <c r="K185" i="9" s="1"/>
  <c r="C113" i="9" s="1"/>
  <c r="K164" i="9"/>
  <c r="K166" i="9" s="1"/>
  <c r="K168" i="9" s="1"/>
  <c r="K157" i="9"/>
  <c r="K159" i="9" s="1"/>
  <c r="K152" i="9"/>
  <c r="K143" i="9"/>
  <c r="K145" i="9" s="1"/>
  <c r="C108" i="9" s="1"/>
  <c r="K135" i="9"/>
  <c r="K137" i="9" s="1"/>
  <c r="C116" i="9" s="1"/>
  <c r="K126" i="9"/>
  <c r="K128" i="9" s="1"/>
  <c r="C103" i="9" s="1"/>
  <c r="K118" i="9"/>
  <c r="C110" i="9"/>
  <c r="C104" i="9"/>
  <c r="K102" i="9"/>
  <c r="K92" i="9"/>
  <c r="K94" i="9" s="1"/>
  <c r="C91" i="9" s="1"/>
  <c r="C85" i="9"/>
  <c r="L79" i="9"/>
  <c r="C89" i="9" s="1"/>
  <c r="B89" i="9" s="1"/>
  <c r="J79" i="9"/>
  <c r="C87" i="9" s="1"/>
  <c r="B87" i="9" s="1"/>
  <c r="K78" i="9"/>
  <c r="K76" i="9"/>
  <c r="I76" i="9"/>
  <c r="I79" i="9" s="1"/>
  <c r="C86" i="9" s="1"/>
  <c r="K71" i="9"/>
  <c r="D120" i="9" s="1"/>
  <c r="J71" i="9"/>
  <c r="D121" i="9" s="1"/>
  <c r="F516" i="9"/>
  <c r="F514" i="9"/>
  <c r="F512" i="9"/>
  <c r="E486" i="9"/>
  <c r="F487" i="9" s="1"/>
  <c r="E497" i="9" s="1"/>
  <c r="E479" i="9"/>
  <c r="G39" i="9" s="1"/>
  <c r="F470" i="9"/>
  <c r="F480" i="9" s="1"/>
  <c r="F468" i="9"/>
  <c r="F466" i="9"/>
  <c r="F467" i="9" s="1"/>
  <c r="D353" i="9"/>
  <c r="D275" i="9"/>
  <c r="D274" i="9"/>
  <c r="G292" i="9"/>
  <c r="H292" i="9" s="1"/>
  <c r="D250" i="9"/>
  <c r="I46" i="9"/>
  <c r="I59" i="9"/>
  <c r="I58" i="9"/>
  <c r="H63" i="9"/>
  <c r="I63" i="9" s="1"/>
  <c r="I64" i="9" s="1"/>
  <c r="H50" i="9"/>
  <c r="G22" i="9"/>
  <c r="I22" i="9" s="1"/>
  <c r="G57" i="9"/>
  <c r="I57" i="9" s="1"/>
  <c r="E496" i="9"/>
  <c r="E449" i="9"/>
  <c r="G52" i="9" s="1"/>
  <c r="C442" i="9"/>
  <c r="E406" i="9"/>
  <c r="F407" i="9" s="1"/>
  <c r="H51" i="9" s="1"/>
  <c r="C403" i="9"/>
  <c r="C402" i="9"/>
  <c r="C399" i="9" a="1"/>
  <c r="C399" i="9" s="1"/>
  <c r="C389" i="9" a="1"/>
  <c r="C389" i="9" s="1"/>
  <c r="E370" i="9"/>
  <c r="F344" i="9"/>
  <c r="H12" i="9" s="1"/>
  <c r="C335" i="9"/>
  <c r="C321" i="9"/>
  <c r="D312" i="9"/>
  <c r="E311" i="9"/>
  <c r="F305" i="9"/>
  <c r="H20" i="9" s="1"/>
  <c r="G293" i="9"/>
  <c r="H293" i="9" s="1"/>
  <c r="C295" i="9"/>
  <c r="G291" i="9"/>
  <c r="H291" i="9" s="1"/>
  <c r="G290" i="9"/>
  <c r="H290" i="9" s="1"/>
  <c r="G289" i="9"/>
  <c r="H289" i="9" s="1"/>
  <c r="G288" i="9"/>
  <c r="H288" i="9" s="1"/>
  <c r="L159" i="9"/>
  <c r="L127" i="9"/>
  <c r="L106" i="9"/>
  <c r="L96" i="9"/>
  <c r="L142" i="9"/>
  <c r="L115" i="9"/>
  <c r="L105" i="9"/>
  <c r="L95" i="9"/>
  <c r="L157" i="9"/>
  <c r="L141" i="9"/>
  <c r="L125" i="9"/>
  <c r="L104" i="9"/>
  <c r="L86" i="9"/>
  <c r="L93" i="9"/>
  <c r="L140" i="9"/>
  <c r="L124" i="9"/>
  <c r="L114" i="9"/>
  <c r="L156" i="9"/>
  <c r="L139" i="9"/>
  <c r="L123" i="9"/>
  <c r="L155" i="9"/>
  <c r="L138" i="9"/>
  <c r="L122" i="9"/>
  <c r="L154" i="9"/>
  <c r="L137" i="9"/>
  <c r="L135" i="9"/>
  <c r="L101" i="9"/>
  <c r="L152" i="9"/>
  <c r="L121" i="9"/>
  <c r="L91" i="9"/>
  <c r="L110" i="9"/>
  <c r="L167" i="9"/>
  <c r="L120" i="9"/>
  <c r="L151" i="9"/>
  <c r="L165" i="9"/>
  <c r="L149" i="9"/>
  <c r="L133" i="9"/>
  <c r="L119" i="9"/>
  <c r="L109" i="9"/>
  <c r="L164" i="9"/>
  <c r="L148" i="9"/>
  <c r="L132" i="9"/>
  <c r="L99" i="9"/>
  <c r="L144" i="9"/>
  <c r="L129" i="9"/>
  <c r="L107" i="9"/>
  <c r="L116" i="9"/>
  <c r="L97" i="9"/>
  <c r="L146" i="9"/>
  <c r="L131" i="9"/>
  <c r="L108" i="9"/>
  <c r="L88" i="9"/>
  <c r="L162" i="9"/>
  <c r="L117" i="9"/>
  <c r="L163" i="9"/>
  <c r="L130" i="9"/>
  <c r="L143" i="9"/>
  <c r="L87" i="9"/>
  <c r="L161" i="9"/>
  <c r="F311" i="9"/>
  <c r="K194" i="9" l="1"/>
  <c r="C99" i="9"/>
  <c r="K177" i="9"/>
  <c r="C112" i="9" s="1"/>
  <c r="D117" i="9" s="1"/>
  <c r="K111" i="9"/>
  <c r="K113" i="9" s="1"/>
  <c r="K79" i="9"/>
  <c r="C88" i="9" s="1"/>
  <c r="B88" i="9" s="1"/>
  <c r="K103" i="9"/>
  <c r="C92" i="9" s="1"/>
  <c r="B86" i="9"/>
  <c r="F517" i="9"/>
  <c r="E498" i="9"/>
  <c r="E500" i="9" s="1"/>
  <c r="E502" i="9" s="1"/>
  <c r="F519" i="9"/>
  <c r="F472" i="9"/>
  <c r="E478" i="9" s="1"/>
  <c r="G53" i="9" s="1"/>
  <c r="F469" i="9"/>
  <c r="E275" i="9"/>
  <c r="H18" i="9"/>
  <c r="G54" i="9"/>
  <c r="H17" i="9"/>
  <c r="G14" i="9"/>
  <c r="C100" i="9" s="1" a="1"/>
  <c r="C100" i="9" s="1"/>
  <c r="F450" i="9"/>
  <c r="H21" i="9" s="1"/>
  <c r="I20" i="9" s="1"/>
  <c r="C404" i="9"/>
  <c r="E410" i="9" s="1"/>
  <c r="F518" i="9" s="1"/>
  <c r="H294" i="9"/>
  <c r="L80" i="9" l="1"/>
  <c r="C90" i="9"/>
  <c r="D93" i="9" s="1"/>
  <c r="F503" i="9"/>
  <c r="G19" i="9"/>
  <c r="I17" i="9" s="1"/>
  <c r="F411" i="9"/>
  <c r="H14" i="9" s="1"/>
  <c r="I14" i="9" s="1"/>
  <c r="G51" i="9"/>
  <c r="H296" i="9"/>
  <c r="H297" i="9" s="1"/>
  <c r="H55" i="9" l="1"/>
  <c r="F520" i="9"/>
  <c r="F306" i="9"/>
  <c r="F510" i="9" s="1"/>
  <c r="G299" i="9"/>
  <c r="H61" i="9" l="1"/>
  <c r="I61" i="9" s="1"/>
  <c r="D354" i="9"/>
  <c r="E270" i="9" l="1"/>
  <c r="E272" i="9" s="1"/>
  <c r="E276" i="9" s="1"/>
  <c r="E303" i="9" s="1"/>
  <c r="D241" i="9"/>
  <c r="E228" i="9"/>
  <c r="E219" i="9"/>
  <c r="E207" i="9"/>
  <c r="D207" i="9"/>
  <c r="D204" i="9"/>
  <c r="E226" i="9" s="1"/>
  <c r="E204" i="9"/>
  <c r="C204" i="9"/>
  <c r="F203" i="9"/>
  <c r="F202" i="9"/>
  <c r="E56" i="9"/>
  <c r="E62" i="9" s="1"/>
  <c r="E64" i="9" s="1"/>
  <c r="I40" i="9"/>
  <c r="I39" i="9"/>
  <c r="I38" i="9"/>
  <c r="I37" i="9"/>
  <c r="I34" i="9"/>
  <c r="I35" i="9" s="1"/>
  <c r="I29" i="9"/>
  <c r="I28" i="9"/>
  <c r="I23" i="9"/>
  <c r="D41" i="9"/>
  <c r="D35" i="9"/>
  <c r="D32" i="9"/>
  <c r="D24" i="9"/>
  <c r="D15" i="9"/>
  <c r="E41" i="9"/>
  <c r="E35" i="9"/>
  <c r="E32" i="9"/>
  <c r="E24" i="9"/>
  <c r="E15" i="9"/>
  <c r="E181" i="8"/>
  <c r="E178" i="8"/>
  <c r="E180" i="8" s="1"/>
  <c r="E182" i="8" s="1"/>
  <c r="D212" i="8" s="1"/>
  <c r="E170" i="8"/>
  <c r="E172" i="8" s="1"/>
  <c r="E174" i="8" s="1"/>
  <c r="E164" i="8"/>
  <c r="D211" i="8" s="1"/>
  <c r="E156" i="8"/>
  <c r="E158" i="8" s="1"/>
  <c r="D201" i="8" s="1"/>
  <c r="E151" i="8"/>
  <c r="D210" i="8" s="1"/>
  <c r="E143" i="8"/>
  <c r="E144" i="8" s="1"/>
  <c r="E146" i="8" s="1"/>
  <c r="D208" i="8" s="1"/>
  <c r="E134" i="8"/>
  <c r="E136" i="8" s="1"/>
  <c r="D213" i="8" s="1"/>
  <c r="E125" i="8"/>
  <c r="E127" i="8" s="1"/>
  <c r="D203" i="8" s="1"/>
  <c r="E117" i="8"/>
  <c r="D200" i="8" s="1"/>
  <c r="E110" i="8"/>
  <c r="E112" i="8" s="1"/>
  <c r="D199" i="8" s="1"/>
  <c r="E101" i="8"/>
  <c r="E97" i="8"/>
  <c r="E99" i="8" s="1"/>
  <c r="E102" i="8" s="1"/>
  <c r="D193" i="8" s="1"/>
  <c r="E218" i="8"/>
  <c r="E217" i="8"/>
  <c r="E91" i="8"/>
  <c r="E93" i="8" s="1"/>
  <c r="D192" i="8" s="1"/>
  <c r="D204" i="8"/>
  <c r="E81" i="8"/>
  <c r="C80" i="8"/>
  <c r="C82" i="8" s="1"/>
  <c r="E79" i="8"/>
  <c r="E77" i="8"/>
  <c r="E76" i="8"/>
  <c r="E70" i="8"/>
  <c r="D70" i="8"/>
  <c r="F251" i="9" a="1"/>
  <c r="F227" i="9"/>
  <c r="F219" i="9"/>
  <c r="F304" i="9" l="1"/>
  <c r="G9" i="9"/>
  <c r="D352" i="9"/>
  <c r="E310" i="9"/>
  <c r="E313" i="9" s="1"/>
  <c r="E315" i="9" s="1"/>
  <c r="F511" i="9" s="1"/>
  <c r="D208" i="9"/>
  <c r="D227" i="9" s="1"/>
  <c r="F232" i="9" s="1"/>
  <c r="H8" i="9" s="1"/>
  <c r="D251" i="9"/>
  <c r="E208" i="9"/>
  <c r="E209" i="9" s="1"/>
  <c r="C322" i="9"/>
  <c r="G49" i="9" s="1"/>
  <c r="D338" i="9"/>
  <c r="E342" i="9" s="1"/>
  <c r="G12" i="9" s="1"/>
  <c r="F251" i="9"/>
  <c r="F204" i="9"/>
  <c r="I24" i="9"/>
  <c r="E42" i="9"/>
  <c r="E43" i="9" s="1"/>
  <c r="I41" i="9"/>
  <c r="I42" i="9" s="1"/>
  <c r="E25" i="9"/>
  <c r="D42" i="9"/>
  <c r="D43" i="9" s="1"/>
  <c r="D25" i="9"/>
  <c r="E205" i="8"/>
  <c r="E80" i="8"/>
  <c r="E82" i="8" s="1"/>
  <c r="D190" i="8" s="1"/>
  <c r="B190" i="8" s="1"/>
  <c r="E214" i="8"/>
  <c r="D189" i="8"/>
  <c r="H47" i="9" l="1"/>
  <c r="F509" i="9"/>
  <c r="D209" i="9"/>
  <c r="D240" i="9" s="1"/>
  <c r="D242" i="9" s="1"/>
  <c r="E244" i="9" s="1"/>
  <c r="F508" i="9" s="1"/>
  <c r="F208" i="9"/>
  <c r="F209" i="9" s="1"/>
  <c r="D355" i="9"/>
  <c r="D357" i="9" s="1"/>
  <c r="D359" i="9" s="1"/>
  <c r="F316" i="9"/>
  <c r="H10" i="9" s="1"/>
  <c r="G48" i="9"/>
  <c r="F326" i="9"/>
  <c r="H11" i="9" s="1"/>
  <c r="F245" i="9"/>
  <c r="H9" i="9" s="1"/>
  <c r="G47" i="9"/>
  <c r="I47" i="9" s="1"/>
  <c r="I56" i="9" s="1"/>
  <c r="D339" i="9"/>
  <c r="D340" i="9" s="1"/>
  <c r="F345" i="9" s="1"/>
  <c r="E227" i="9"/>
  <c r="E229" i="9" s="1"/>
  <c r="F233" i="9" s="1"/>
  <c r="E84" i="8"/>
  <c r="B189" i="8"/>
  <c r="D191" i="8"/>
  <c r="E194" i="8" s="1"/>
  <c r="E216" i="8" s="1"/>
  <c r="D220" i="8" s="1"/>
  <c r="H60" i="9" l="1"/>
  <c r="I60" i="9" s="1"/>
  <c r="F513" i="9"/>
  <c r="E372" i="9"/>
  <c r="E362" i="9"/>
  <c r="E231" i="9"/>
  <c r="G8" i="9" s="1"/>
  <c r="E250" i="9"/>
  <c r="E251" i="9" s="1"/>
  <c r="D39" i="8"/>
  <c r="D44" i="8" s="1"/>
  <c r="D46" i="8" s="1"/>
  <c r="D9" i="8"/>
  <c r="E9" i="8"/>
  <c r="D15" i="8"/>
  <c r="D16" i="8" s="1"/>
  <c r="E15" i="8"/>
  <c r="E16" i="8" s="1"/>
  <c r="D22" i="8"/>
  <c r="E22" i="8"/>
  <c r="D26" i="8"/>
  <c r="E26" i="8"/>
  <c r="D32" i="8"/>
  <c r="E32" i="8"/>
  <c r="E33" i="8" s="1"/>
  <c r="E34" i="8" s="1"/>
  <c r="K129" i="7"/>
  <c r="K127" i="7"/>
  <c r="K118" i="7"/>
  <c r="K120" i="7" s="1"/>
  <c r="C47" i="7" s="1"/>
  <c r="K110" i="7"/>
  <c r="K112" i="7" s="1"/>
  <c r="C46" i="7" s="1"/>
  <c r="K99" i="7"/>
  <c r="K101" i="7" s="1"/>
  <c r="K103" i="7" s="1"/>
  <c r="K94" i="7"/>
  <c r="C35" i="7" s="1"/>
  <c r="K92" i="7"/>
  <c r="K86" i="7"/>
  <c r="K83" i="7"/>
  <c r="K78" i="7"/>
  <c r="K80" i="7" s="1"/>
  <c r="C42" i="7" s="1"/>
  <c r="K70" i="7"/>
  <c r="K72" i="7" s="1"/>
  <c r="C50" i="7" s="1"/>
  <c r="K61" i="7"/>
  <c r="K63" i="7" s="1"/>
  <c r="C37" i="7" s="1"/>
  <c r="D55" i="7"/>
  <c r="K53" i="7"/>
  <c r="C34" i="7" s="1"/>
  <c r="C44" i="7"/>
  <c r="K42" i="7"/>
  <c r="K46" i="7" s="1"/>
  <c r="K48" i="7" s="1"/>
  <c r="C33" i="7" s="1"/>
  <c r="C38" i="7"/>
  <c r="K37" i="7"/>
  <c r="K33" i="7"/>
  <c r="K35" i="7" s="1"/>
  <c r="K24" i="7"/>
  <c r="K27" i="7" s="1"/>
  <c r="K29" i="7" s="1"/>
  <c r="C26" i="7" s="1"/>
  <c r="L14" i="7"/>
  <c r="C24" i="7" s="1"/>
  <c r="B24" i="7" s="1"/>
  <c r="K14" i="7"/>
  <c r="C23" i="7" s="1"/>
  <c r="B23" i="7" s="1"/>
  <c r="J14" i="7"/>
  <c r="C22" i="7" s="1"/>
  <c r="B22" i="7" s="1"/>
  <c r="I14" i="7"/>
  <c r="C21" i="7" s="1"/>
  <c r="B21" i="7" s="1"/>
  <c r="C20" i="7"/>
  <c r="K6" i="7"/>
  <c r="D54" i="7" s="1"/>
  <c r="J6" i="7"/>
  <c r="C260" i="7"/>
  <c r="C261" i="7" s="1"/>
  <c r="C262" i="7" s="1"/>
  <c r="D260" i="7"/>
  <c r="D255" i="7"/>
  <c r="D249" i="7"/>
  <c r="D242" i="7"/>
  <c r="D236" i="7"/>
  <c r="C255" i="7"/>
  <c r="C249" i="7"/>
  <c r="C242" i="7"/>
  <c r="C236" i="7"/>
  <c r="D124" i="6"/>
  <c r="D123" i="6"/>
  <c r="D121" i="6"/>
  <c r="D118" i="6"/>
  <c r="D117" i="6"/>
  <c r="D115" i="6"/>
  <c r="D112" i="6"/>
  <c r="D111" i="6"/>
  <c r="D110" i="6"/>
  <c r="D109" i="6"/>
  <c r="D106" i="6"/>
  <c r="D104" i="6"/>
  <c r="D105" i="6"/>
  <c r="D102" i="6"/>
  <c r="D101" i="6"/>
  <c r="D96" i="6"/>
  <c r="D89" i="6"/>
  <c r="D90" i="6" s="1"/>
  <c r="D87" i="6"/>
  <c r="D83" i="6"/>
  <c r="D84" i="6" s="1"/>
  <c r="D82" i="6"/>
  <c r="D81" i="6"/>
  <c r="D75" i="6"/>
  <c r="F69" i="6"/>
  <c r="F70" i="6" s="1"/>
  <c r="F67" i="6"/>
  <c r="E69" i="6"/>
  <c r="E67" i="6"/>
  <c r="D69" i="6"/>
  <c r="D70" i="6" s="1"/>
  <c r="D67" i="6"/>
  <c r="E63" i="6"/>
  <c r="D63" i="6"/>
  <c r="E62" i="6"/>
  <c r="D62" i="6"/>
  <c r="L45" i="7"/>
  <c r="L74" i="7"/>
  <c r="L81" i="7"/>
  <c r="L64" i="7"/>
  <c r="L51" i="7"/>
  <c r="L66" i="7"/>
  <c r="L41" i="7"/>
  <c r="L55" i="7"/>
  <c r="L31" i="7"/>
  <c r="L77" i="7"/>
  <c r="L89" i="7"/>
  <c r="L28" i="7"/>
  <c r="L21" i="7"/>
  <c r="L60" i="7"/>
  <c r="E110" i="6"/>
  <c r="L49" i="7"/>
  <c r="L91" i="7"/>
  <c r="L96" i="7"/>
  <c r="L94" i="7"/>
  <c r="L52" i="7"/>
  <c r="L65" i="7"/>
  <c r="L50" i="7"/>
  <c r="L30" i="7"/>
  <c r="L73" i="7"/>
  <c r="L26" i="7"/>
  <c r="L70" i="7"/>
  <c r="L98" i="7"/>
  <c r="L44" i="7"/>
  <c r="L76" i="7"/>
  <c r="L102" i="7"/>
  <c r="L99" i="7"/>
  <c r="L36" i="7"/>
  <c r="L54" i="7"/>
  <c r="L100" i="7"/>
  <c r="L58" i="7"/>
  <c r="L83" i="7"/>
  <c r="L39" i="7"/>
  <c r="L68" i="7"/>
  <c r="L97" i="7"/>
  <c r="L75" i="7"/>
  <c r="L32" i="7"/>
  <c r="L56" i="7"/>
  <c r="L42" i="7"/>
  <c r="L43" i="7"/>
  <c r="L23" i="7"/>
  <c r="L87" i="7"/>
  <c r="L72" i="7"/>
  <c r="L79" i="7"/>
  <c r="L92" i="7"/>
  <c r="L86" i="7"/>
  <c r="L57" i="7"/>
  <c r="L84" i="7"/>
  <c r="L59" i="7"/>
  <c r="L34" i="7"/>
  <c r="L62" i="7"/>
  <c r="L78" i="7"/>
  <c r="L22" i="7"/>
  <c r="L40" i="7"/>
  <c r="L67" i="7"/>
  <c r="L90" i="7"/>
  <c r="F363" i="9" l="1"/>
  <c r="C101" i="9" s="1"/>
  <c r="D105" i="9" s="1"/>
  <c r="D119" i="9" s="1"/>
  <c r="C123" i="9" s="1"/>
  <c r="F515" i="9"/>
  <c r="F521" i="9" s="1"/>
  <c r="I8" i="9"/>
  <c r="I15" i="9" s="1"/>
  <c r="I25" i="9" s="1"/>
  <c r="E252" i="9"/>
  <c r="E254" i="9" s="1"/>
  <c r="H30" i="9"/>
  <c r="D33" i="8"/>
  <c r="D34" i="8" s="1"/>
  <c r="D39" i="7"/>
  <c r="K38" i="7"/>
  <c r="C27" i="7" s="1"/>
  <c r="K87" i="7"/>
  <c r="C45" i="7" s="1"/>
  <c r="D51" i="7"/>
  <c r="C25" i="7"/>
  <c r="D28" i="7" s="1"/>
  <c r="D53" i="7" s="1"/>
  <c r="C57" i="7" s="1"/>
  <c r="L15" i="7"/>
  <c r="C243" i="7"/>
  <c r="D261" i="7"/>
  <c r="D262" i="7" s="1"/>
  <c r="D243" i="7"/>
  <c r="E70" i="6"/>
  <c r="D64" i="6"/>
  <c r="E64" i="6"/>
  <c r="G71" i="6"/>
  <c r="F524" i="9" l="1"/>
  <c r="E526" i="9" s="1"/>
  <c r="F527" i="9" s="1"/>
  <c r="F530" i="9" s="1"/>
  <c r="F255" i="9"/>
  <c r="H31" i="9" s="1"/>
  <c r="I31" i="9" s="1"/>
  <c r="G30" i="9"/>
  <c r="D39" i="6"/>
  <c r="D43" i="6" s="1"/>
  <c r="D45" i="6" s="1"/>
  <c r="E32" i="6"/>
  <c r="E27" i="6"/>
  <c r="E23" i="6"/>
  <c r="E15" i="6"/>
  <c r="E10" i="6"/>
  <c r="D32" i="6"/>
  <c r="D27" i="6"/>
  <c r="D23" i="6"/>
  <c r="D15" i="6"/>
  <c r="D10" i="6"/>
  <c r="G144" i="5"/>
  <c r="G143" i="5"/>
  <c r="G140" i="5"/>
  <c r="F138" i="5"/>
  <c r="G135" i="5"/>
  <c r="F133" i="5"/>
  <c r="F132" i="5"/>
  <c r="F131" i="5"/>
  <c r="G128" i="5"/>
  <c r="F127" i="5"/>
  <c r="F126" i="5"/>
  <c r="F125" i="5"/>
  <c r="F120" i="5"/>
  <c r="F119" i="5"/>
  <c r="F118" i="5"/>
  <c r="F117" i="5"/>
  <c r="F115" i="5"/>
  <c r="F121" i="5" s="1"/>
  <c r="E106" i="5"/>
  <c r="E104" i="5"/>
  <c r="E102" i="5"/>
  <c r="E98" i="5"/>
  <c r="E97" i="5"/>
  <c r="E89" i="5"/>
  <c r="E90" i="5" s="1"/>
  <c r="E92" i="5" s="1"/>
  <c r="E84" i="5"/>
  <c r="E78" i="5"/>
  <c r="E75" i="5"/>
  <c r="E77" i="5" s="1"/>
  <c r="E70" i="5"/>
  <c r="E68" i="5"/>
  <c r="E65" i="5"/>
  <c r="E61" i="5"/>
  <c r="E59" i="5"/>
  <c r="E58" i="5"/>
  <c r="E52" i="5"/>
  <c r="E53" i="5" s="1"/>
  <c r="E55" i="5" s="1"/>
  <c r="E47" i="5"/>
  <c r="E46" i="5"/>
  <c r="D47" i="5"/>
  <c r="D46" i="5"/>
  <c r="C47" i="5"/>
  <c r="C46" i="5"/>
  <c r="D41" i="5"/>
  <c r="E103" i="5" s="1"/>
  <c r="E32" i="5"/>
  <c r="E28" i="5"/>
  <c r="E23" i="5"/>
  <c r="E16" i="5"/>
  <c r="E11" i="5"/>
  <c r="D32" i="5"/>
  <c r="D28" i="5"/>
  <c r="D23" i="5"/>
  <c r="D16" i="5"/>
  <c r="D11" i="5"/>
  <c r="E130" i="4"/>
  <c r="E131" i="4"/>
  <c r="E132" i="4" s="1"/>
  <c r="E144" i="4" s="1"/>
  <c r="E141" i="4"/>
  <c r="E143" i="4"/>
  <c r="E142" i="4"/>
  <c r="D132" i="4"/>
  <c r="C132" i="4"/>
  <c r="F123" i="4"/>
  <c r="F121" i="4"/>
  <c r="F119" i="4"/>
  <c r="F117" i="4"/>
  <c r="E116" i="4"/>
  <c r="E115" i="4"/>
  <c r="E114" i="4"/>
  <c r="F111" i="4"/>
  <c r="E109" i="4"/>
  <c r="E65" i="4"/>
  <c r="E110" i="4"/>
  <c r="F106" i="4"/>
  <c r="E105" i="4"/>
  <c r="E104" i="4"/>
  <c r="E103" i="4"/>
  <c r="E102" i="4"/>
  <c r="E101" i="4"/>
  <c r="E91" i="4"/>
  <c r="E92" i="4"/>
  <c r="E94" i="4" s="1"/>
  <c r="E85" i="4"/>
  <c r="E78" i="4"/>
  <c r="E76" i="4"/>
  <c r="E75" i="4"/>
  <c r="E77" i="4" s="1"/>
  <c r="E71" i="4"/>
  <c r="E63" i="4"/>
  <c r="E54" i="4"/>
  <c r="E56" i="4" s="1"/>
  <c r="E47" i="4"/>
  <c r="E49" i="4" s="1"/>
  <c r="E41" i="4"/>
  <c r="E36" i="4"/>
  <c r="E37" i="4"/>
  <c r="E40" i="4" s="1"/>
  <c r="E42" i="4" s="1"/>
  <c r="E30" i="4"/>
  <c r="E32" i="4" s="1"/>
  <c r="E469" i="2"/>
  <c r="E462" i="2"/>
  <c r="K455" i="2"/>
  <c r="E455" i="2"/>
  <c r="E454" i="2"/>
  <c r="E453" i="2"/>
  <c r="E452" i="2"/>
  <c r="E451" i="2"/>
  <c r="E450" i="2"/>
  <c r="I30" i="9" l="1"/>
  <c r="I32" i="9" s="1"/>
  <c r="I43" i="9" s="1"/>
  <c r="G65" i="9"/>
  <c r="H65" i="9"/>
  <c r="D16" i="6"/>
  <c r="D33" i="6"/>
  <c r="D34" i="6" s="1"/>
  <c r="E33" i="6"/>
  <c r="E34" i="6" s="1"/>
  <c r="E16" i="6"/>
  <c r="E60" i="5"/>
  <c r="E62" i="5" s="1"/>
  <c r="E48" i="5"/>
  <c r="F124" i="5" s="1"/>
  <c r="E69" i="5"/>
  <c r="E71" i="5" s="1"/>
  <c r="D48" i="5"/>
  <c r="F123" i="5" s="1"/>
  <c r="C48" i="5"/>
  <c r="F122" i="5" s="1"/>
  <c r="E79" i="5"/>
  <c r="E99" i="5"/>
  <c r="E105" i="5"/>
  <c r="E107" i="5" s="1"/>
  <c r="D33" i="5"/>
  <c r="D34" i="5" s="1"/>
  <c r="D17" i="5"/>
  <c r="E33" i="5"/>
  <c r="E34" i="5" s="1"/>
  <c r="E17" i="5"/>
  <c r="E145" i="4"/>
  <c r="E79" i="4"/>
  <c r="C385" i="2"/>
  <c r="C386" i="2" s="1"/>
  <c r="E350" i="2"/>
  <c r="E352" i="2" s="1"/>
  <c r="D311" i="2"/>
  <c r="D312" i="2" s="1"/>
  <c r="D314" i="2" s="1"/>
  <c r="E279" i="2"/>
  <c r="D279" i="2"/>
  <c r="E280" i="2"/>
  <c r="D280" i="2"/>
  <c r="E278" i="2"/>
  <c r="D278" i="2"/>
  <c r="H66" i="9" l="1"/>
  <c r="D376" i="2"/>
  <c r="D378" i="2" s="1"/>
  <c r="D380" i="2" s="1"/>
  <c r="C388" i="2"/>
  <c r="D281" i="2"/>
  <c r="E281" i="2"/>
  <c r="D80" i="3" l="1"/>
  <c r="D79" i="3"/>
  <c r="D78" i="3"/>
  <c r="D47" i="3"/>
  <c r="D45" i="3"/>
  <c r="E62" i="3"/>
  <c r="E61" i="3"/>
  <c r="D62" i="3"/>
  <c r="D61" i="3"/>
  <c r="C62" i="3"/>
  <c r="C61" i="3"/>
  <c r="D69" i="3"/>
  <c r="D46" i="3"/>
  <c r="D68" i="3"/>
  <c r="D70" i="3"/>
  <c r="D67" i="3"/>
  <c r="D49" i="3"/>
  <c r="D44" i="3"/>
  <c r="D37" i="3"/>
  <c r="D39" i="3"/>
  <c r="D36" i="3"/>
  <c r="D35" i="3"/>
  <c r="D10" i="3"/>
  <c r="D14" i="3" s="1"/>
  <c r="D65" i="3" s="1"/>
  <c r="D208" i="2"/>
  <c r="D213" i="2"/>
  <c r="D212" i="2"/>
  <c r="D211" i="2"/>
  <c r="D210" i="2"/>
  <c r="D209" i="2"/>
  <c r="D161" i="2"/>
  <c r="D159" i="2"/>
  <c r="D157" i="2"/>
  <c r="D156" i="2"/>
  <c r="D134" i="2"/>
  <c r="D136" i="2" s="1"/>
  <c r="D166" i="2" s="1"/>
  <c r="D214" i="2" l="1"/>
  <c r="C63" i="3"/>
  <c r="D72" i="3" s="1"/>
  <c r="D71" i="3"/>
  <c r="E63" i="3"/>
  <c r="D74" i="3" s="1"/>
  <c r="D63" i="3"/>
  <c r="D73" i="3" s="1"/>
  <c r="D48" i="3"/>
  <c r="D50" i="3" s="1"/>
  <c r="D55" i="3" s="1"/>
  <c r="D38" i="3"/>
  <c r="D40" i="3" s="1"/>
  <c r="D54" i="3" s="1"/>
  <c r="D160" i="2"/>
  <c r="D162" i="2" s="1"/>
  <c r="D167" i="2" s="1"/>
  <c r="D168" i="2" s="1"/>
  <c r="D75" i="3" l="1"/>
  <c r="D56"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<sst xmlns="http://schemas.openxmlformats.org/spreadsheetml/2006/main" count="1424" uniqueCount="690">
  <si>
    <t>Main</t>
  </si>
  <si>
    <t>Module 24 - Statement of Cash Flows</t>
  </si>
  <si>
    <t>Module 24</t>
  </si>
  <si>
    <t>IAS 7</t>
  </si>
  <si>
    <t>FA Module 18</t>
  </si>
  <si>
    <t>allows user to evaluate the:</t>
  </si>
  <si>
    <t>changes in net assets</t>
  </si>
  <si>
    <t>financial structure of an entity (incl.  Liquididity and solvency)</t>
  </si>
  <si>
    <t>ability of an entity to adapt to changing circumstances and opportunities</t>
  </si>
  <si>
    <t>when doing cashflow - assume the overdraft is part of cash</t>
  </si>
  <si>
    <t>cash less the overdraft</t>
  </si>
  <si>
    <t>overdraft is callable on demand - so not cash, or cash equivalent</t>
  </si>
  <si>
    <t>operating activities</t>
  </si>
  <si>
    <t>investing activities</t>
  </si>
  <si>
    <t>financing activities</t>
  </si>
  <si>
    <t>text book part A - IAS 7 has a pro-forma CF</t>
  </si>
  <si>
    <t>net change plus opening balance = cash and cash equivalents at year end</t>
  </si>
  <si>
    <t>cash generated from operations</t>
  </si>
  <si>
    <t>taxes paid</t>
  </si>
  <si>
    <t>dividends paid and received</t>
  </si>
  <si>
    <t>indirect takes the PBT then adjusts it for non-cash itens</t>
  </si>
  <si>
    <t>the direct method does it forward</t>
  </si>
  <si>
    <t>take out non-operating items</t>
  </si>
  <si>
    <t>add in the working capital movements</t>
  </si>
  <si>
    <t>indirect</t>
  </si>
  <si>
    <t>Direct</t>
  </si>
  <si>
    <t>Entities are encouraged to use the direct method</t>
  </si>
  <si>
    <t>The question will request one of the moethods be used</t>
  </si>
  <si>
    <t>cash receipts</t>
  </si>
  <si>
    <t>opening AR</t>
  </si>
  <si>
    <t>plus revenue</t>
  </si>
  <si>
    <t>less closing receivables</t>
  </si>
  <si>
    <t>equals the net receipts</t>
  </si>
  <si>
    <t>then ajdust for bad detb,  deduct increase in bad debt allce</t>
  </si>
  <si>
    <t>add back a decrease in bd allce</t>
  </si>
  <si>
    <t>the increase/decrease in allce can make it appear as though cash has in/out flowed where it hasn't so - needs to bee adjusted for</t>
  </si>
  <si>
    <t>Activity 1</t>
  </si>
  <si>
    <t>opening trade receivables</t>
  </si>
  <si>
    <t>revenue</t>
  </si>
  <si>
    <t>closing trade receivables</t>
  </si>
  <si>
    <t>less: Bad debts</t>
  </si>
  <si>
    <t>add: increase in allces</t>
  </si>
  <si>
    <t>cash receipts from customers</t>
  </si>
  <si>
    <t xml:space="preserve">COS </t>
  </si>
  <si>
    <t>opening stock</t>
  </si>
  <si>
    <t>add: purchases</t>
  </si>
  <si>
    <t>x</t>
  </si>
  <si>
    <t>less: closing stock</t>
  </si>
  <si>
    <t>(x)</t>
  </si>
  <si>
    <t>Cos</t>
  </si>
  <si>
    <t xml:space="preserve">less: opening stock </t>
  </si>
  <si>
    <t>add: closing stock</t>
  </si>
  <si>
    <t>prucahses</t>
  </si>
  <si>
    <t>Opening Trade payables, accurals (less prepayments) and provision</t>
  </si>
  <si>
    <t>Purchases</t>
  </si>
  <si>
    <t>Distribution costs</t>
  </si>
  <si>
    <t>admin expenses</t>
  </si>
  <si>
    <t>closing trade payables, accruals, (less prepayments) and provision</t>
  </si>
  <si>
    <t>Cash paid to suppliers and emplpyees</t>
  </si>
  <si>
    <t>cash flows from operating activities</t>
  </si>
  <si>
    <t>cash paid to suppliers and employees</t>
  </si>
  <si>
    <t>Activity 2 - continues on from Activity 1</t>
  </si>
  <si>
    <t>admin cahrge less depr, less BD, less increase in BD allce, add back gain on sale</t>
  </si>
  <si>
    <t>less: cash paid to suppliers and employees</t>
  </si>
  <si>
    <t>Indirect method</t>
  </si>
  <si>
    <t>begin with PBT then add or deduct the non-cash elements</t>
  </si>
  <si>
    <t>PBT</t>
  </si>
  <si>
    <t>release of deferred income</t>
  </si>
  <si>
    <t>Activity 3</t>
  </si>
  <si>
    <t>Adjustments for :</t>
  </si>
  <si>
    <t>Finance cost</t>
  </si>
  <si>
    <t>depreciation charge</t>
  </si>
  <si>
    <t>gain on sale</t>
  </si>
  <si>
    <t>&lt;&lt;&lt;bad debts and allces are dealt with in the AR figure</t>
  </si>
  <si>
    <t>increase in inventories</t>
  </si>
  <si>
    <t>increase in prepayments</t>
  </si>
  <si>
    <t>increase in AR</t>
  </si>
  <si>
    <t>increase in AP</t>
  </si>
  <si>
    <t>decrease in accruals</t>
  </si>
  <si>
    <t>Increase in prov'n</t>
  </si>
  <si>
    <t>Cash generated from operations</t>
  </si>
  <si>
    <t>Direct and indirect method will always come out at the same answer</t>
  </si>
  <si>
    <t>if not - then there has been a problem</t>
  </si>
  <si>
    <t>Croft Ltd</t>
  </si>
  <si>
    <t>part 1 - direct method</t>
  </si>
  <si>
    <t>part 2 - indirect method</t>
  </si>
  <si>
    <t>finance cost</t>
  </si>
  <si>
    <t>distribution cost</t>
  </si>
  <si>
    <t>GP</t>
  </si>
  <si>
    <t>COS</t>
  </si>
  <si>
    <t>rev</t>
  </si>
  <si>
    <t>Deferred income</t>
  </si>
  <si>
    <t>AP</t>
  </si>
  <si>
    <t>Cash</t>
  </si>
  <si>
    <t>AR</t>
  </si>
  <si>
    <t>Inventories</t>
  </si>
  <si>
    <t>admin includes</t>
  </si>
  <si>
    <t>BD</t>
  </si>
  <si>
    <t>gain on disp.</t>
  </si>
  <si>
    <t>COS include:</t>
  </si>
  <si>
    <t>depr</t>
  </si>
  <si>
    <t>Direct Method</t>
  </si>
  <si>
    <t xml:space="preserve">Indirect method </t>
  </si>
  <si>
    <t>Working capital movements</t>
  </si>
  <si>
    <t>opening</t>
  </si>
  <si>
    <t>closing</t>
  </si>
  <si>
    <t>increase</t>
  </si>
  <si>
    <t>Inventory</t>
  </si>
  <si>
    <t>&lt;&lt;&lt;less the depr</t>
  </si>
  <si>
    <t>&lt;&lt;&lt;adjust for the amounts included</t>
  </si>
  <si>
    <t>direct method</t>
  </si>
  <si>
    <t>indirect method</t>
  </si>
  <si>
    <t>variance</t>
  </si>
  <si>
    <t>CY</t>
  </si>
  <si>
    <t>PY (open)</t>
  </si>
  <si>
    <t>CY (close)</t>
  </si>
  <si>
    <t>&lt;&lt;&lt;this part is where all the marks are</t>
  </si>
  <si>
    <t>Taxes paid</t>
  </si>
  <si>
    <t>cash outflow</t>
  </si>
  <si>
    <t>only CT is considered</t>
  </si>
  <si>
    <t>taxes paid are decudted from cash generated from operations in the calculation of cash flows from operating activities</t>
  </si>
  <si>
    <t>opening tax balances</t>
  </si>
  <si>
    <t>add: taxation for the year</t>
  </si>
  <si>
    <t>lee: closing tax balance</t>
  </si>
  <si>
    <t>opening tax balance includes:</t>
  </si>
  <si>
    <t>current tax payable and</t>
  </si>
  <si>
    <t>deferred tax liabilty/asset</t>
  </si>
  <si>
    <t>creditor</t>
  </si>
  <si>
    <t>SP</t>
  </si>
  <si>
    <t>PY</t>
  </si>
  <si>
    <t>accrued finance cost</t>
  </si>
  <si>
    <t>accrued finance income</t>
  </si>
  <si>
    <t>Finance income</t>
  </si>
  <si>
    <t>openign accured finance costs and income</t>
  </si>
  <si>
    <t>interst paid</t>
  </si>
  <si>
    <t>Interest received</t>
  </si>
  <si>
    <t>finance cost and income</t>
  </si>
  <si>
    <t>Closing accrued finance cost and income</t>
  </si>
  <si>
    <t>interest paid and received</t>
  </si>
  <si>
    <t>dividends declared in the year can be calculated by reconciling the opening and closing balance in retained earnings</t>
  </si>
  <si>
    <t>if there is dividend payable balance, it adjusts the calculated dividends declared to find dividends paid</t>
  </si>
  <si>
    <t>dividends paid are a cash flow from financing activities</t>
  </si>
  <si>
    <t>dividends received are a cash flow from investing actitivities</t>
  </si>
  <si>
    <t>Opening retained earnings</t>
  </si>
  <si>
    <t>profit for the year</t>
  </si>
  <si>
    <t>issue of bonus shares</t>
  </si>
  <si>
    <t>closing retained earnings</t>
  </si>
  <si>
    <t>Dividends paid</t>
  </si>
  <si>
    <t>£'000</t>
  </si>
  <si>
    <t>carrying amount of disposals</t>
  </si>
  <si>
    <t>Illustration: Cash purchases of property, plant and equipment</t>
  </si>
  <si>
    <t>Opening carrying amount</t>
  </si>
  <si>
    <t>Carrying amount of disposals</t>
  </si>
  <si>
    <t>Depreciation charge for year</t>
  </si>
  <si>
    <t>Revaluation increases</t>
  </si>
  <si>
    <t>Right-of-use assets under new leases</t>
  </si>
  <si>
    <t>Closing carrying amount</t>
  </si>
  <si>
    <t>Purchases of property, plant and equipment</t>
  </si>
  <si>
    <t>&lt;&lt;&lt;this should reconcile to the additions line in PPE (adjusted fro ROUA)</t>
  </si>
  <si>
    <t>Activity 6</t>
  </si>
  <si>
    <t>revaluation increase</t>
  </si>
  <si>
    <t>depr charge for year</t>
  </si>
  <si>
    <t>NBV at disposal</t>
  </si>
  <si>
    <t>ROUA under new lease</t>
  </si>
  <si>
    <t>Closing NBV</t>
  </si>
  <si>
    <t>purchase of PPE</t>
  </si>
  <si>
    <t>diposal</t>
  </si>
  <si>
    <t>cost</t>
  </si>
  <si>
    <t>NBV</t>
  </si>
  <si>
    <t>proceeds</t>
  </si>
  <si>
    <t>loss on disp</t>
  </si>
  <si>
    <t>AD</t>
  </si>
  <si>
    <t>diposal of Machinery</t>
  </si>
  <si>
    <t>Cashflows from financing activities</t>
  </si>
  <si>
    <t>Cashflows from investing activities</t>
  </si>
  <si>
    <t>Note that the following do not result in cash flows:</t>
  </si>
  <si>
    <t>• Issue of bonus shares;</t>
  </si>
  <si>
    <t>• Conversion of debt to equity.</t>
  </si>
  <si>
    <t>See modules 15, 28 &amp; 14.</t>
  </si>
  <si>
    <t>• Shares issued in consideration for the acquisition of an investment in a subsidiary; and</t>
  </si>
  <si>
    <t>Activity 7:  Financing activities</t>
  </si>
  <si>
    <t>Proceeds from issue of share capital</t>
  </si>
  <si>
    <t>Opening share capital and share premium</t>
  </si>
  <si>
    <t>Conversion of debt</t>
  </si>
  <si>
    <t>Closing share capital and share premium</t>
  </si>
  <si>
    <t>&lt;&lt;&lt;cash</t>
  </si>
  <si>
    <t>&lt;&lt;&lt;non-cash</t>
  </si>
  <si>
    <t>&lt;&lt;non-cash</t>
  </si>
  <si>
    <t xml:space="preserve">opening </t>
  </si>
  <si>
    <t>conversion</t>
  </si>
  <si>
    <t>bonus</t>
  </si>
  <si>
    <t>clsongin</t>
  </si>
  <si>
    <t>issue</t>
  </si>
  <si>
    <t>checksum</t>
  </si>
  <si>
    <t>Proceeds from long-term borrowings</t>
  </si>
  <si>
    <t>Opening loan payable</t>
  </si>
  <si>
    <t>Closing loan payeable</t>
  </si>
  <si>
    <t>Proceeds from LT borrowings</t>
  </si>
  <si>
    <t>Net cash from financing activites</t>
  </si>
  <si>
    <t>Cash flows from financing activities</t>
  </si>
  <si>
    <t>proceeds from LT borrowings</t>
  </si>
  <si>
    <t>Net cash from financing activities</t>
  </si>
  <si>
    <t>Reds plc</t>
  </si>
  <si>
    <t>Cash receipts from custoemrs</t>
  </si>
  <si>
    <t>Opening AR</t>
  </si>
  <si>
    <t>Revenue</t>
  </si>
  <si>
    <t>Closing AR</t>
  </si>
  <si>
    <t>Cash paid to suppliers and Ee's</t>
  </si>
  <si>
    <t>Opening AP</t>
  </si>
  <si>
    <t>purchases</t>
  </si>
  <si>
    <t>admin exp.</t>
  </si>
  <si>
    <t>distribution exp.</t>
  </si>
  <si>
    <t>&lt;&lt;less depr, less loss on disposal</t>
  </si>
  <si>
    <t>Closing AP</t>
  </si>
  <si>
    <t>Cash paid to suppliers and EE's</t>
  </si>
  <si>
    <t>Interest paid</t>
  </si>
  <si>
    <t>opening accrued finance cost</t>
  </si>
  <si>
    <t>Closing accured finance cost</t>
  </si>
  <si>
    <t>Opening current tax payable</t>
  </si>
  <si>
    <t>taxation</t>
  </si>
  <si>
    <t>Closing current tax payable</t>
  </si>
  <si>
    <t>Purchase of PPE</t>
  </si>
  <si>
    <t>Opening PPE</t>
  </si>
  <si>
    <t>Depr'n charge</t>
  </si>
  <si>
    <t>Closing PPE</t>
  </si>
  <si>
    <t>Proceeds from sale of PPE</t>
  </si>
  <si>
    <t>Carrying amount</t>
  </si>
  <si>
    <t>Loss on disposal</t>
  </si>
  <si>
    <t>Poceeds from issue of share capital</t>
  </si>
  <si>
    <t>Proceeds from LT borrowing</t>
  </si>
  <si>
    <t>Opening debentures</t>
  </si>
  <si>
    <t>closing debentures</t>
  </si>
  <si>
    <t>Opening RE</t>
  </si>
  <si>
    <t>Closing retained earnings</t>
  </si>
  <si>
    <t>Statement of cashflows</t>
  </si>
  <si>
    <t>YE 31/12/2023</t>
  </si>
  <si>
    <t>Cash flows from operating activities</t>
  </si>
  <si>
    <t>interest paid</t>
  </si>
  <si>
    <t>Net cash from operating activities</t>
  </si>
  <si>
    <t>cash flows from investing activites</t>
  </si>
  <si>
    <t>proceeds from sale of PPE</t>
  </si>
  <si>
    <t>net cash used in investing activities</t>
  </si>
  <si>
    <t>proceeds from issue of share capital</t>
  </si>
  <si>
    <t>dividends paid</t>
  </si>
  <si>
    <t>net cash from financing activities</t>
  </si>
  <si>
    <t>Net inccrease in cash and cash equivalents</t>
  </si>
  <si>
    <t>cash and equivalents at open</t>
  </si>
  <si>
    <t>cash and cash equivalents at clost</t>
  </si>
  <si>
    <t>per FS</t>
  </si>
  <si>
    <t>zero check</t>
  </si>
  <si>
    <t xml:space="preserve">closing </t>
  </si>
  <si>
    <t>movement</t>
  </si>
  <si>
    <t>inventory</t>
  </si>
  <si>
    <t>Adjustements for:</t>
  </si>
  <si>
    <t>deprectiation charges</t>
  </si>
  <si>
    <t>loss on disposal of PPE</t>
  </si>
  <si>
    <t>Increase in inventories</t>
  </si>
  <si>
    <t>Decrease in AR</t>
  </si>
  <si>
    <t>decrease in AP</t>
  </si>
  <si>
    <t>&lt;&lt;&lt;74 apparently</t>
  </si>
  <si>
    <t>MacWhisky plc</t>
  </si>
  <si>
    <t>YE</t>
  </si>
  <si>
    <t>gain on disposal</t>
  </si>
  <si>
    <t>inventories</t>
  </si>
  <si>
    <t>TR</t>
  </si>
  <si>
    <t>TP</t>
  </si>
  <si>
    <t>clolsing</t>
  </si>
  <si>
    <t>opening accrued finance costs</t>
  </si>
  <si>
    <t>Finance costs</t>
  </si>
  <si>
    <t>PAT</t>
  </si>
  <si>
    <t>TAX</t>
  </si>
  <si>
    <t>finance income</t>
  </si>
  <si>
    <t>E+L</t>
  </si>
  <si>
    <t>L</t>
  </si>
  <si>
    <t>CL</t>
  </si>
  <si>
    <t>current tax</t>
  </si>
  <si>
    <t>NCL</t>
  </si>
  <si>
    <t>lease payable</t>
  </si>
  <si>
    <t>convertible debt</t>
  </si>
  <si>
    <t>loan payable</t>
  </si>
  <si>
    <t>E</t>
  </si>
  <si>
    <t>RVS</t>
  </si>
  <si>
    <t>reserve for convertible debt</t>
  </si>
  <si>
    <t>RE</t>
  </si>
  <si>
    <t>SC</t>
  </si>
  <si>
    <t>A</t>
  </si>
  <si>
    <t>Investments</t>
  </si>
  <si>
    <t>PPE</t>
  </si>
  <si>
    <t>Closing accrued finance costs</t>
  </si>
  <si>
    <t>opening current tax payable</t>
  </si>
  <si>
    <t>Opening</t>
  </si>
  <si>
    <t>Depr charge</t>
  </si>
  <si>
    <t>Disposal</t>
  </si>
  <si>
    <t>ROUA</t>
  </si>
  <si>
    <t>PPE additions in the year</t>
  </si>
  <si>
    <t>opening investments</t>
  </si>
  <si>
    <t>Revaluation increase</t>
  </si>
  <si>
    <t>Closing investments</t>
  </si>
  <si>
    <t>investment additions</t>
  </si>
  <si>
    <t>carrying amoun</t>
  </si>
  <si>
    <t>Opening accrued finance income</t>
  </si>
  <si>
    <t>Closing accrued finance income</t>
  </si>
  <si>
    <t>interest received</t>
  </si>
  <si>
    <t>Payment of LT borrowing</t>
  </si>
  <si>
    <t>Closing loan payable</t>
  </si>
  <si>
    <t>Profit for the year</t>
  </si>
  <si>
    <t>Transfer from reserve for convertible debt</t>
  </si>
  <si>
    <t>Closing RE</t>
  </si>
  <si>
    <t>[INSERT COMPANY] plc/ Ltd</t>
  </si>
  <si>
    <t>Statement of cash flows</t>
  </si>
  <si>
    <t>For the year ended [INSERT Y/E DATE]</t>
  </si>
  <si>
    <t>Profit/ Loss before taxation</t>
  </si>
  <si>
    <t>Adjustments for:</t>
  </si>
  <si>
    <t>Depreciation of non-current assets</t>
  </si>
  <si>
    <t>Gain on sale of non-current assets</t>
  </si>
  <si>
    <t>Increase in trade and other receivables</t>
  </si>
  <si>
    <t>Decrease in trade and other payables</t>
  </si>
  <si>
    <t>Net cash from/ used in operating activities</t>
  </si>
  <si>
    <t>Cash flows from investing activities</t>
  </si>
  <si>
    <t>Purchase of non-current assets</t>
  </si>
  <si>
    <t>Proceeds from sale of non-current assets</t>
  </si>
  <si>
    <t>Purchase of other investments</t>
  </si>
  <si>
    <t>Net cash from/ used in investing activities</t>
  </si>
  <si>
    <t>Payment/ Redemption of long-term borrowings</t>
  </si>
  <si>
    <t>Net increase/ decrease in cash and cash equivalents</t>
  </si>
  <si>
    <t>Cash and cash equivalents at [INSERT FIRST DAY OF YEAR]</t>
  </si>
  <si>
    <t>Cash and cash equivalents at [INSERT Y/E DATE]</t>
  </si>
  <si>
    <t>Holmes Ltd</t>
  </si>
  <si>
    <t>Overdraft</t>
  </si>
  <si>
    <t>Deferred ta</t>
  </si>
  <si>
    <t>debentures</t>
  </si>
  <si>
    <t>Rev</t>
  </si>
  <si>
    <t>CoS</t>
  </si>
  <si>
    <t>Admin</t>
  </si>
  <si>
    <t>finance costs</t>
  </si>
  <si>
    <t>Tax</t>
  </si>
  <si>
    <t>Direct method</t>
  </si>
  <si>
    <t>Cash and cash equivalents</t>
  </si>
  <si>
    <t>bank overdraft</t>
  </si>
  <si>
    <t>Non-cash items</t>
  </si>
  <si>
    <t>Closing</t>
  </si>
  <si>
    <t>Increase/(Decrease)</t>
  </si>
  <si>
    <t>Opening accrued finance cost</t>
  </si>
  <si>
    <t>Closing accrued finance cost</t>
  </si>
  <si>
    <t>Taxation</t>
  </si>
  <si>
    <t>Less depreciation</t>
  </si>
  <si>
    <t>Closing PPE NBV</t>
  </si>
  <si>
    <t>Loss/(gain) on disposal</t>
  </si>
  <si>
    <t>Openign accrued finance income</t>
  </si>
  <si>
    <t>Issue of bonus shares</t>
  </si>
  <si>
    <t>release of reservcs (non-cash)</t>
  </si>
  <si>
    <t>Proceeds  from issue of share capital</t>
  </si>
  <si>
    <t>Derecgonition of debenture</t>
  </si>
  <si>
    <t>Closing debentures</t>
  </si>
  <si>
    <t>Purchase of investments</t>
  </si>
  <si>
    <t>Revaluations gains</t>
  </si>
  <si>
    <t>M Ltd</t>
  </si>
  <si>
    <t>Loans payable</t>
  </si>
  <si>
    <t>*</t>
  </si>
  <si>
    <t>Bank overdrafts</t>
  </si>
  <si>
    <t>Lease payable</t>
  </si>
  <si>
    <t>Deferred tax</t>
  </si>
  <si>
    <t>Debentures</t>
  </si>
  <si>
    <t>Cash and cash equivalents within current assets</t>
  </si>
  <si>
    <t>Bank overdraft</t>
  </si>
  <si>
    <t>Trade and other receivables</t>
  </si>
  <si>
    <t>Trade and other payables</t>
  </si>
  <si>
    <t>Provisions</t>
  </si>
  <si>
    <t>Amortisation of non-current assets</t>
  </si>
  <si>
    <t>Loss on sale of non-current assets</t>
  </si>
  <si>
    <t>Fair value gain</t>
  </si>
  <si>
    <t>Fair value loss</t>
  </si>
  <si>
    <t>Cash generated from operations =</t>
  </si>
  <si>
    <t>Foreign exchange gain</t>
  </si>
  <si>
    <t>Foreign exchange loss</t>
  </si>
  <si>
    <t>Release of deferred income</t>
  </si>
  <si>
    <t>Account for movements in accruals, inventories, prepayments, provisions etc (can separate out)</t>
  </si>
  <si>
    <t>Opening accrued finance costs</t>
  </si>
  <si>
    <t>Nominal payments</t>
  </si>
  <si>
    <t>Loans</t>
  </si>
  <si>
    <t>Less Effective interest</t>
  </si>
  <si>
    <t>Acquisition of subsidiary, net of cash acquired</t>
  </si>
  <si>
    <t>Disposal of subsidiary, net of cash disposed</t>
  </si>
  <si>
    <t>Opening deferred tax</t>
  </si>
  <si>
    <t>Proceeds from sale of other investments</t>
  </si>
  <si>
    <t>Closing deferred tax</t>
  </si>
  <si>
    <t>Dividends received</t>
  </si>
  <si>
    <t>Revaluation increase/(impairment loss)</t>
  </si>
  <si>
    <t>Less Depreciation charge</t>
  </si>
  <si>
    <t>Purchase of share capital</t>
  </si>
  <si>
    <t>Less disposals (carrying amount)</t>
  </si>
  <si>
    <t>Proceeds from issue of debt</t>
  </si>
  <si>
    <t>RoU assets under new leases</t>
  </si>
  <si>
    <t>Payment of lease liabilities</t>
  </si>
  <si>
    <t>Financing by sale of investment (not derecognised)</t>
  </si>
  <si>
    <t>Lease financing received (lease payable)</t>
  </si>
  <si>
    <t>Less effective interest</t>
  </si>
  <si>
    <t>Nominal receipt</t>
  </si>
  <si>
    <t>Release of reserves (non cash)</t>
  </si>
  <si>
    <t xml:space="preserve">Proceeds from issue of share capital </t>
  </si>
  <si>
    <t>Gross proceeds</t>
  </si>
  <si>
    <t>Issue costs</t>
  </si>
  <si>
    <t>Proceeds from long term borrowings</t>
  </si>
  <si>
    <t>Derecognition of debentures</t>
  </si>
  <si>
    <t xml:space="preserve">Proceeds from long term borrowings </t>
  </si>
  <si>
    <t>Opening investments</t>
  </si>
  <si>
    <t>Revaluation gains</t>
  </si>
  <si>
    <t>Remember transaction fees</t>
  </si>
  <si>
    <t>Proceeds from sale of investments</t>
  </si>
  <si>
    <t>Fari value increase</t>
  </si>
  <si>
    <t>Include both long term and current loans payable</t>
  </si>
  <si>
    <t>PPE borrowing cost loans drawn down</t>
  </si>
  <si>
    <t>Carrying amount of investments sold</t>
  </si>
  <si>
    <t>Gain on sale of investments</t>
  </si>
  <si>
    <t>Payment of long-term borrowings</t>
  </si>
  <si>
    <t>Proceeds from issue of LT borrowings</t>
  </si>
  <si>
    <t xml:space="preserve">Payment of lease liabilities </t>
  </si>
  <si>
    <t>Opening lease payable</t>
  </si>
  <si>
    <t>New lease</t>
  </si>
  <si>
    <t>Closing lease payable</t>
  </si>
  <si>
    <t>Purchase of Intangibles</t>
  </si>
  <si>
    <t>Less amortisation charge</t>
  </si>
  <si>
    <r>
      <t>For the year ended</t>
    </r>
    <r>
      <rPr>
        <b/>
        <sz val="12"/>
        <color rgb="FFC00000"/>
        <rFont val="Arial"/>
        <family val="2"/>
      </rPr>
      <t xml:space="preserve"> [INSERT Y/E DATE]</t>
    </r>
  </si>
  <si>
    <r>
      <rPr>
        <sz val="12"/>
        <color rgb="FFC00000"/>
        <rFont val="Arial"/>
        <family val="2"/>
      </rPr>
      <t>Profit/ Loss</t>
    </r>
    <r>
      <rPr>
        <sz val="12"/>
        <color theme="1"/>
        <rFont val="Arial"/>
        <family val="2"/>
      </rPr>
      <t xml:space="preserve"> before taxation</t>
    </r>
  </si>
  <si>
    <r>
      <t xml:space="preserve">Net cash </t>
    </r>
    <r>
      <rPr>
        <i/>
        <sz val="12"/>
        <color rgb="FFC00000"/>
        <rFont val="Arial"/>
        <family val="2"/>
      </rPr>
      <t>from/ used in</t>
    </r>
    <r>
      <rPr>
        <i/>
        <sz val="12"/>
        <color theme="1"/>
        <rFont val="Arial"/>
        <family val="2"/>
      </rPr>
      <t xml:space="preserve"> operating activities</t>
    </r>
  </si>
  <si>
    <r>
      <t xml:space="preserve">Net cash </t>
    </r>
    <r>
      <rPr>
        <i/>
        <sz val="12"/>
        <color rgb="FFC00000"/>
        <rFont val="Arial"/>
        <family val="2"/>
      </rPr>
      <t>from/ used in</t>
    </r>
    <r>
      <rPr>
        <i/>
        <sz val="12"/>
        <color theme="1"/>
        <rFont val="Arial"/>
        <family val="2"/>
      </rPr>
      <t xml:space="preserve"> investing activities</t>
    </r>
  </si>
  <si>
    <r>
      <t xml:space="preserve">Net cash </t>
    </r>
    <r>
      <rPr>
        <i/>
        <sz val="12"/>
        <color rgb="FFC00000"/>
        <rFont val="Arial"/>
        <family val="2"/>
      </rPr>
      <t>from/ used</t>
    </r>
    <r>
      <rPr>
        <i/>
        <sz val="12"/>
        <color theme="1"/>
        <rFont val="Arial"/>
        <family val="2"/>
      </rPr>
      <t xml:space="preserve"> in investing activities</t>
    </r>
  </si>
  <si>
    <r>
      <t xml:space="preserve">Cash and cash equivalents at </t>
    </r>
    <r>
      <rPr>
        <b/>
        <sz val="12"/>
        <color rgb="FFC00000"/>
        <rFont val="Arial"/>
        <family val="2"/>
      </rPr>
      <t>[INSERT FIRST DAY OF YEAR]</t>
    </r>
  </si>
  <si>
    <r>
      <t xml:space="preserve">Cash and cash equivalents at </t>
    </r>
    <r>
      <rPr>
        <b/>
        <sz val="12"/>
        <color rgb="FFC00000"/>
        <rFont val="Arial"/>
        <family val="2"/>
      </rPr>
      <t>[INSERT Y/E DATE]</t>
    </r>
  </si>
  <si>
    <t>SOFA Ltd</t>
  </si>
  <si>
    <t>current tax payable*</t>
  </si>
  <si>
    <t>lease payable*</t>
  </si>
  <si>
    <t>Lease Payable</t>
  </si>
  <si>
    <t>Admin expenses</t>
  </si>
  <si>
    <t>Distribution</t>
  </si>
  <si>
    <t>CHECKS (delete/ hide this column and any extra rows once checks performed)</t>
  </si>
  <si>
    <t>If any rows/ columns are added, formulas must be updated and checked</t>
  </si>
  <si>
    <t>Direct method:</t>
  </si>
  <si>
    <t>Can also be shown in a financing cash flow</t>
  </si>
  <si>
    <t>Delete 'from' or 'used in' as necessary</t>
  </si>
  <si>
    <t>Add line items as necessary</t>
  </si>
  <si>
    <t>Trade payables - Deduct prepayments from balance/ add accruals and provisions related to operating profit. Exclude tax payable and accrued finance costs.</t>
  </si>
  <si>
    <t>Edit as necessary for type of non-current asset</t>
  </si>
  <si>
    <t>Purchases = cost of sales - opening inventory + closing inventory</t>
  </si>
  <si>
    <t>Bad debts written off (deduct)</t>
  </si>
  <si>
    <t>Edit as necessary for type of other investment</t>
  </si>
  <si>
    <t>(Increase)/decrease in receivables allowance</t>
  </si>
  <si>
    <t>Less depreciation, adjust for gains/losses on PPE (add back gains), add release of deferred income, less bad debts, adjust for (increase)/decrease in allowance for receivables and other cash items. Cash adjustments made should be added/deducted (not gains/losses)</t>
  </si>
  <si>
    <t>Can also be shown as an operating cash flow</t>
  </si>
  <si>
    <t>Edit as necessary for type of borrowing</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</si>
  <si>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</si>
  <si>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</si>
  <si>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Delete 'increase' or 'decrease' as necessary</t>
  </si>
  <si>
    <r>
      <t xml:space="preserve">From the final TB/ ETB; </t>
    </r>
    <r>
      <rPr>
        <b/>
        <sz val="12"/>
        <color rgb="FFC00000"/>
        <rFont val="Arial"/>
        <family val="2"/>
      </rPr>
      <t>use negative amount if overdrawn</t>
    </r>
  </si>
  <si>
    <t>Check that net movement in cash equals the movement in cash and cash equivalents</t>
  </si>
  <si>
    <t>Bonus issue</t>
  </si>
  <si>
    <t>i.e. revaulation/ convertible bonds</t>
  </si>
  <si>
    <t>Fair vaue increase</t>
  </si>
  <si>
    <t>Fagin</t>
  </si>
  <si>
    <t>#</t>
  </si>
  <si>
    <t>dr</t>
  </si>
  <si>
    <t>cr</t>
  </si>
  <si>
    <t>Final</t>
  </si>
  <si>
    <t>prov'n</t>
  </si>
  <si>
    <t>current tax payable</t>
  </si>
  <si>
    <t>SC (£1.00)</t>
  </si>
  <si>
    <t>NCA</t>
  </si>
  <si>
    <t>LAT</t>
  </si>
  <si>
    <t>LBT</t>
  </si>
  <si>
    <t>admin expense</t>
  </si>
  <si>
    <t>dist cost</t>
  </si>
  <si>
    <t>other income</t>
  </si>
  <si>
    <t>R1</t>
  </si>
  <si>
    <t>Land</t>
  </si>
  <si>
    <t>Buildings</t>
  </si>
  <si>
    <t>Plant &amp; equip</t>
  </si>
  <si>
    <t>Total</t>
  </si>
  <si>
    <t>Cost</t>
  </si>
  <si>
    <t>useful life/months</t>
  </si>
  <si>
    <t>Valuation</t>
  </si>
  <si>
    <t>remaing useful life</t>
  </si>
  <si>
    <t>FV</t>
  </si>
  <si>
    <t>gain on reval</t>
  </si>
  <si>
    <t>half way through the year the depreciatoin rate change due to a revaluation</t>
  </si>
  <si>
    <t>also the transder which was being made will be alter</t>
  </si>
  <si>
    <t xml:space="preserve">transfer previously </t>
  </si>
  <si>
    <t>reval</t>
  </si>
  <si>
    <t>annual transfer</t>
  </si>
  <si>
    <t>6m</t>
  </si>
  <si>
    <t>normal annual depr charge</t>
  </si>
  <si>
    <t>dr - Buildings cost</t>
  </si>
  <si>
    <t>cr - AD</t>
  </si>
  <si>
    <t>cr - reval reserve</t>
  </si>
  <si>
    <t>half at the old rate.  Half at the new rate</t>
  </si>
  <si>
    <t>old 6m</t>
  </si>
  <si>
    <t>new 6m</t>
  </si>
  <si>
    <t>annual chagrge to SPL</t>
  </si>
  <si>
    <t>dr - COS</t>
  </si>
  <si>
    <t>dr - SPL COS depr</t>
  </si>
  <si>
    <t>cr - Cost AD</t>
  </si>
  <si>
    <t>being annual depr charge</t>
  </si>
  <si>
    <t>annual tranfer</t>
  </si>
  <si>
    <t>first 6m</t>
  </si>
  <si>
    <t>last 6m</t>
  </si>
  <si>
    <t>annual transfer based on remaining usefuil life</t>
  </si>
  <si>
    <t>dr - RVS</t>
  </si>
  <si>
    <t>cr - RE</t>
  </si>
  <si>
    <t>Construction</t>
  </si>
  <si>
    <t>1. being FV gain on revaluatoin</t>
  </si>
  <si>
    <t>2. note the first 6m depr is netted off to zero</t>
  </si>
  <si>
    <t>3. being release of revaluation surplus</t>
  </si>
  <si>
    <t>Wages to own staff to assist in clearing site</t>
  </si>
  <si>
    <t>Professional fees (architect and surveyor)</t>
  </si>
  <si>
    <t>Specialised materials</t>
  </si>
  <si>
    <t>External contractors</t>
  </si>
  <si>
    <t>Wages to own staff to assist in completion of the site</t>
  </si>
  <si>
    <t>Training costs</t>
  </si>
  <si>
    <t>Advertising costs</t>
  </si>
  <si>
    <t>SPL</t>
  </si>
  <si>
    <t>Capital</t>
  </si>
  <si>
    <t>capital</t>
  </si>
  <si>
    <t>capial</t>
  </si>
  <si>
    <t>Materials</t>
  </si>
  <si>
    <t>&lt;&lt;&lt;crystalised on this date.. Depreciate from this point</t>
  </si>
  <si>
    <t>the term loan can be capitalised as the interest realtes to the const</t>
  </si>
  <si>
    <t>IAS 23 Borrowing Costs requires capitalisation of borrowing costs relating to a qualifying asset. A qualifying assets is "an asset that necessarily takes a substantial period of time to get ready for its intended use or sale" (IAS 23, p.25)</t>
  </si>
  <si>
    <t>If there is no 'substantial period of time' involved, then the asset is not a qualifying asset. Therefore no borrowing costs should be capitalised.</t>
  </si>
  <si>
    <t>The amount of borrowing costs capitalised cannot exceed the actual borrowing costs incurred.</t>
  </si>
  <si>
    <t xml:space="preserve">The … is a qualifying asset as it is planned to take … months to complete and make ready for use, which is a substantial period of time and so borrowing costs must be capitalised. </t>
  </si>
  <si>
    <t>Borrowing costs in relation to qualifying assets can only be capitalised for the period since payment of the expense.</t>
  </si>
  <si>
    <t>Borrowing costs:</t>
  </si>
  <si>
    <t>Reporting /capitalisation end date</t>
  </si>
  <si>
    <t>Expense</t>
  </si>
  <si>
    <t>Amount</t>
  </si>
  <si>
    <t>Payment date</t>
  </si>
  <si>
    <t>Periods of inactivity</t>
  </si>
  <si>
    <t>Interest rate</t>
  </si>
  <si>
    <t>Months</t>
  </si>
  <si>
    <t>Capitalised interest</t>
  </si>
  <si>
    <t>Potentially allowable borrowing costs</t>
  </si>
  <si>
    <t>Actual borrowing costs</t>
  </si>
  <si>
    <t>CR  SPL - Finance costs</t>
  </si>
  <si>
    <t>Dr - PPE Cost</t>
  </si>
  <si>
    <t>cr-  COS</t>
  </si>
  <si>
    <t>cr - AR</t>
  </si>
  <si>
    <t>4. beign removal of PPE cost from COS</t>
  </si>
  <si>
    <t>usefiul life</t>
  </si>
  <si>
    <t>cap date</t>
  </si>
  <si>
    <t>cr - PPE AD</t>
  </si>
  <si>
    <t>Additions</t>
  </si>
  <si>
    <t>dr - SPL Depr</t>
  </si>
  <si>
    <t>cr - additions PPE AD</t>
  </si>
  <si>
    <t>disposals</t>
  </si>
  <si>
    <t>proceedsx</t>
  </si>
  <si>
    <t>cr  -other income</t>
  </si>
  <si>
    <t>charge the 5m depr</t>
  </si>
  <si>
    <t>cr - PPE cost</t>
  </si>
  <si>
    <t>dr  -AD</t>
  </si>
  <si>
    <t>cr - SPL gain on sale</t>
  </si>
  <si>
    <t>dr - other income</t>
  </si>
  <si>
    <t>Government grants</t>
  </si>
  <si>
    <t>12% of capitalised cost</t>
  </si>
  <si>
    <t>Grant amount</t>
  </si>
  <si>
    <t>If released against depreciation of asset then pro rate over useful life of asset</t>
  </si>
  <si>
    <t>Conditions - facility maintained for</t>
  </si>
  <si>
    <t>years</t>
  </si>
  <si>
    <t>Useful life of asset</t>
  </si>
  <si>
    <t xml:space="preserve">5 months / 50 years = </t>
  </si>
  <si>
    <t>Grant income recognised</t>
  </si>
  <si>
    <t xml:space="preserve">CR SPL - CoS </t>
  </si>
  <si>
    <t>DR deferred income</t>
  </si>
  <si>
    <t>Intangible assets</t>
  </si>
  <si>
    <t>Bullseye</t>
  </si>
  <si>
    <t>NCA Flowchart:</t>
  </si>
  <si>
    <t>Does the asset have physical substance?</t>
  </si>
  <si>
    <t>No</t>
  </si>
  <si>
    <t>The … meets the definition of an asset as holding it gives control and it generates economic benefit through…</t>
  </si>
  <si>
    <t>Is the asset controlled from past events and are future benefits expected to arise?</t>
  </si>
  <si>
    <t>Is the asset separable?</t>
  </si>
  <si>
    <t>The brand is identifiable as it is separable</t>
  </si>
  <si>
    <t>Can the cost be measured reliably?</t>
  </si>
  <si>
    <t>Purchase cost</t>
  </si>
  <si>
    <t>Does the asset arise from contractual or legal rights?</t>
  </si>
  <si>
    <t>Conclusion:</t>
  </si>
  <si>
    <t>no</t>
  </si>
  <si>
    <t>Dodger</t>
  </si>
  <si>
    <t>yes</t>
  </si>
  <si>
    <t>usefule life</t>
  </si>
  <si>
    <t>months</t>
  </si>
  <si>
    <t>months to amortise</t>
  </si>
  <si>
    <t>anmor.</t>
  </si>
  <si>
    <t>dr - COS amortisatoin</t>
  </si>
  <si>
    <t>cr - IA - AA</t>
  </si>
  <si>
    <t>dr - IA - cost</t>
  </si>
  <si>
    <t>cr - COS</t>
  </si>
  <si>
    <t>Artful</t>
  </si>
  <si>
    <t>dev cost</t>
  </si>
  <si>
    <t>own labout</t>
  </si>
  <si>
    <t>admin</t>
  </si>
  <si>
    <t>dr - other receviables</t>
  </si>
  <si>
    <t>dr - SPL</t>
  </si>
  <si>
    <t>trademark application costs</t>
  </si>
  <si>
    <t>Development costs - MUST be capitalised if all criteria can be demonstrated:</t>
  </si>
  <si>
    <t>Expand on each</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</si>
  <si>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</si>
  <si>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</si>
  <si>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There is technical feasability the intangible asset will be complete so it wil be available for use or sale</t>
  </si>
  <si>
    <t>Met</t>
  </si>
  <si>
    <t>Demonstrated when prototype capable of being produced</t>
  </si>
  <si>
    <t>There is intention to complete the intangible asset and use or sell it</t>
  </si>
  <si>
    <t>There is an ability to use or sell the intangible asset</t>
  </si>
  <si>
    <t>i.e. active market</t>
  </si>
  <si>
    <t>Interest in product/agreement to sell</t>
  </si>
  <si>
    <t>It is clear how the asset will generate probable future economic benefits</t>
  </si>
  <si>
    <t xml:space="preserve">Demonstrated when there is an indication that the product will be sold and that retailers are interest. If not certain, costs cannot be capitalised and should be written off to SPL. </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</si>
  <si>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</si>
  <si>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</si>
  <si>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Conclusion</t>
  </si>
  <si>
    <t>not met</t>
  </si>
  <si>
    <t>leave the labour and admin where they are</t>
  </si>
  <si>
    <t>the trademark cost need to be debtited to SPL</t>
  </si>
  <si>
    <t>dr - SPL trademark COS</t>
  </si>
  <si>
    <t>cr - other receivables</t>
  </si>
  <si>
    <t>Fraud</t>
  </si>
  <si>
    <t>FY2021</t>
  </si>
  <si>
    <t>FY2022</t>
  </si>
  <si>
    <t>inv. Overstatemnt</t>
  </si>
  <si>
    <t>overpaid tax</t>
  </si>
  <si>
    <t>so in the accounts we need to correct the overstatement for each year and disclose the cumulative effect</t>
  </si>
  <si>
    <t>FY21</t>
  </si>
  <si>
    <t>invenetory reduced by 540</t>
  </si>
  <si>
    <t>cr - inv</t>
  </si>
  <si>
    <t>increase COS</t>
  </si>
  <si>
    <t>FY22</t>
  </si>
  <si>
    <t>dr - current tax payables</t>
  </si>
  <si>
    <t>Valuation of invenotries</t>
  </si>
  <si>
    <t>open</t>
  </si>
  <si>
    <t>closr</t>
  </si>
  <si>
    <t>dr - inventories</t>
  </si>
  <si>
    <t>1, 3</t>
  </si>
  <si>
    <t>2,4</t>
  </si>
  <si>
    <t>6. being depr on PPE additions</t>
  </si>
  <si>
    <t>7. being correction for asset disposed of for a gain</t>
  </si>
  <si>
    <t>5. being recognition of 5 months od depr from cap date</t>
  </si>
  <si>
    <t>deferred income</t>
  </si>
  <si>
    <t>9.  beign recogniton of asset as intabigble asset and removal from COS</t>
  </si>
  <si>
    <t>10. ing 12m amoritsartion of intangible asset</t>
  </si>
  <si>
    <t>IA</t>
  </si>
  <si>
    <t>9,10</t>
  </si>
  <si>
    <t>11. being correction to trademark application cost for no qualifying IAS 38 asset</t>
  </si>
  <si>
    <t xml:space="preserve">12.this redices net profit and net assets </t>
  </si>
  <si>
    <t xml:space="preserve">13.this redices net profit and net assets </t>
  </si>
  <si>
    <t>14.being decrease in CY tax and decrease in tax payable</t>
  </si>
  <si>
    <t>cash</t>
  </si>
  <si>
    <t>adjust for SPL expenses</t>
  </si>
  <si>
    <t>adverising</t>
  </si>
  <si>
    <t>training costs</t>
  </si>
  <si>
    <t>&lt;&lt;&lt;depreciation to include the total balance and the depreciation up to the disposal of the disposed asset in the year</t>
  </si>
  <si>
    <t>8. being release of deferred income</t>
  </si>
  <si>
    <t>wages to own staff</t>
  </si>
  <si>
    <t>borrowing cost</t>
  </si>
  <si>
    <t>intial recognitoin</t>
  </si>
  <si>
    <t>dr - SPl other income</t>
  </si>
  <si>
    <t>cr - deferred income</t>
  </si>
  <si>
    <t>being correction to initial recognition of grant</t>
  </si>
  <si>
    <t>pverstatemen of closing inventories and retained earnings</t>
  </si>
  <si>
    <t>overstatement of opening inventories and retained earnings</t>
  </si>
  <si>
    <t>overstatement of closing inventories and retained earnings</t>
  </si>
  <si>
    <t>net overstatement for the year</t>
  </si>
  <si>
    <t>ovdrstatement of opening inventories and retained earngings</t>
  </si>
  <si>
    <t>tax refund</t>
  </si>
  <si>
    <t>impact on historic profits</t>
  </si>
  <si>
    <t>15.being correcgtoin oto closin invenotries at year end</t>
  </si>
  <si>
    <t>Depreciation of buildings (JE 2)</t>
  </si>
  <si>
    <t>Capitalisation of direct costs (JE 4)</t>
  </si>
  <si>
    <t>Depreciation of new warehouse facility (JE 5)</t>
  </si>
  <si>
    <t>Correction to disposal of plant and equipment (JE 6)</t>
  </si>
  <si>
    <t>Depreciation of plant and equipment (JE 7)</t>
  </si>
  <si>
    <t>Correction to initial recognition of grant (JE 8)</t>
  </si>
  <si>
    <t>Release of deferred income (JE 9)</t>
  </si>
  <si>
    <t>Correction to capitalise brand (JE 10)</t>
  </si>
  <si>
    <t>Amortisation of brand (JE 11)</t>
  </si>
  <si>
    <t>Correction to trademark application (JE 12)</t>
  </si>
  <si>
    <t>Correction to record closing inventories (JE 14)</t>
  </si>
  <si>
    <t xml:space="preserve">increased taxation expense </t>
  </si>
  <si>
    <t>dr - SPL taxation</t>
  </si>
  <si>
    <t>cr - current tax payabep</t>
  </si>
  <si>
    <t>being tax adjustmnet</t>
  </si>
  <si>
    <t xml:space="preserve">total impact on retained earnings </t>
  </si>
  <si>
    <t>Purchase of 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</si>
</sst>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3" formatCode="_-* #,##0.00_-;\-* #,##0.00_-;_-* &quot;-&quot;??_-;_-@_-"/>
    <numFmt numFmtId="164" formatCode="#,##0;[Red]\(#,##0\)"/>
    <numFmt numFmtId="167" formatCode="_-* #,##0_-;\-* #,##0_-;_-* &quot;-&quot;??_-;_-@_-"/>
    <numFmt numFmtId="169" formatCode="#,##0_ ;\-#,##0\ "/>
  </numFmts>
  <fonts count="21" x14ac:knownFonts="1">
    <font>
      <sz val="11"/>
      <color theme="1"/>
      <name val="Calibri"/>
      <family val="2"/>
      <scheme val="minor"/>
    </font>
    <font>
      <sz val="9"/>
      <color theme="1"/>
      <name val="Calibri"/>
      <family val="2"/>
      <scheme val="minor"/>
    </font>
    <font>
      <u/>
      <sz val="11"/>
      <color theme="10"/>
      <name val="Calibri"/>
      <family val="2"/>
      <scheme val="minor"/>
    </font>
    <font>
      <b/>
      <sz val="9"/>
      <color theme="1"/>
      <name val="Calibri"/>
      <family val="2"/>
      <scheme val="minor"/>
    </font>
    <font>
      <b/>
      <sz val="9"/>
      <color rgb="FFFF0000"/>
      <name val="Calibri"/>
      <family val="2"/>
      <scheme val="minor"/>
    </font>
    <font>
      <sz val="11"/>
      <color theme="1"/>
      <name val="Calibri"/>
      <family val="2"/>
      <scheme val="minor"/>
    </font>
    <font>
      <b/>
      <sz val="11"/>
      <color theme="1"/>
      <name val="Calibri"/>
      <family val="2"/>
      <scheme val="minor"/>
    </font>
    <font>
      <sz val="10"/>
      <color theme="1"/>
      <name val="Arial"/>
      <family val="2"/>
    </font>
    <font>
      <b/>
      <sz val="12"/>
      <color rgb="FFC00000"/>
      <name val="Arial"/>
      <family val="2"/>
    </font>
    <font>
      <sz val="12"/>
      <color theme="1"/>
      <name val="Arial"/>
      <family val="2"/>
    </font>
    <font>
      <b/>
      <sz val="12"/>
      <color theme="1"/>
      <name val="Arial"/>
      <family val="2"/>
    </font>
    <font>
      <sz val="12"/>
      <color rgb="FFC00000"/>
      <name val="Arial"/>
      <family val="2"/>
    </font>
    <font>
      <i/>
      <sz val="12"/>
      <color theme="1"/>
      <name val="Arial"/>
      <family val="2"/>
    </font>
    <font>
      <i/>
      <sz val="12"/>
      <color rgb="FFC00000"/>
      <name val="Arial"/>
      <family val="2"/>
    </font>
    <font>
      <sz val="12"/>
      <name val="Arial"/>
      <family val="2"/>
    </font>
    <font>
      <sz val="12"/>
      <color rgb="FFFF0000"/>
      <name val="Arial"/>
      <family val="2"/>
    </font>
    <font>
      <sz val="11"/>
      <color rgb="FFFF0000"/>
      <name val="Calibri"/>
      <family val="2"/>
      <scheme val="minor"/>
    </font>
    <font>
      <b/>
      <sz val="10"/>
      <color rgb="FFC00000"/>
      <name val="Arial"/>
      <family val="2"/>
    </font>
    <font>
      <b/>
      <sz val="11"/>
      <color rgb="FFFF0000"/>
      <name val="Calibri"/>
      <family val="2"/>
      <scheme val="minor"/>
    </font>
    <font>
      <i/>
      <sz val="11"/>
      <color theme="1"/>
      <name val="Calibri"/>
      <family val="2"/>
      <scheme val="minor"/>
    </font>
    <font>
      <sz val="1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1">
    <border>
      <left/>
      <right/>
      <top/>
      <bottom/>
      <diagonal/>
    </border>
    <border>
      <left/>
      <right/>
      <top style="thin">
        <color indexed="64"/>
      </top>
      <bottom style="double">
        <color indexed="64"/>
      </bottom>
      <diagonal/>
    </border>
    <border>
      <left/>
      <right/>
      <top/>
      <bottom style="thin">
        <color indexed="64"/>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hair">
        <color auto="1"/>
      </top>
      <bottom style="thin">
        <color indexed="64"/>
      </bottom>
      <diagonal/>
    </border>
    <border>
      <left/>
      <right/>
      <top style="thin">
        <color indexed="64"/>
      </top>
      <bottom/>
      <diagonal/>
    </border>
    <border>
      <left style="hair">
        <color auto="1"/>
      </left>
      <right style="hair">
        <color auto="1"/>
      </right>
      <top style="thin">
        <color indexed="64"/>
      </top>
      <bottom style="medium">
        <color auto="1"/>
      </bottom>
      <diagonal/>
    </border>
    <border>
      <left style="thin">
        <color indexed="64"/>
      </left>
      <right/>
      <top/>
      <bottom/>
      <diagonal/>
    </border>
    <border>
      <left/>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
    <xf numFmtId="0" fontId="0" fillId="0" borderId="0"/>
    <xf numFmtId="0" fontId="2" fillId="0" borderId="0" applyNumberFormat="0" applyFill="0" applyBorder="0" applyAlignment="0" applyProtection="0"/>
    <xf numFmtId="43" fontId="5" fillId="0" borderId="0" applyFont="0" applyFill="0" applyBorder="0" applyAlignment="0" applyProtection="0"/>
    <xf numFmtId="0" fontId="7" fillId="0" borderId="0"/>
  </cellStyleXfs>
  <cellXfs count="160">
    <xf numFmtId="0" fontId="0" fillId="0" borderId="0" xfId="0"/>
    <xf numFmtId="0" fontId="1" fillId="0" borderId="0" xfId="0" applyFont="1"/>
    <xf numFmtId="0" fontId="2" fillId="0" borderId="0" xfId="1"/>
    <xf numFmtId="0" fontId="1" fillId="0" borderId="1" xfId="0" applyFont="1" applyBorder="1"/>
    <xf numFmtId="0" fontId="3" fillId="0" borderId="0" xfId="0" applyFont="1"/>
    <xf numFmtId="0" fontId="4" fillId="0" borderId="0" xfId="0" applyFont="1"/>
    <xf numFmtId="3" fontId="1" fillId="0" borderId="0" xfId="0" applyNumberFormat="1" applyFont="1"/>
    <xf numFmtId="3" fontId="1" fillId="0" borderId="1" xfId="0" applyNumberFormat="1" applyFont="1" applyBorder="1"/>
    <xf numFmtId="38" fontId="1" fillId="0" borderId="0" xfId="0" applyNumberFormat="1" applyFont="1"/>
    <xf numFmtId="38" fontId="1" fillId="0" borderId="1" xfId="0" applyNumberFormat="1" applyFont="1" applyBorder="1"/>
    <xf numFmtId="0" fontId="1" fillId="0" borderId="2" xfId="0" applyFont="1" applyBorder="1"/>
    <xf numFmtId="3" fontId="1" fillId="0" borderId="0" xfId="0" applyNumberFormat="1" applyFont="1" applyBorder="1"/>
    <xf numFmtId="3" fontId="1" fillId="2" borderId="0" xfId="0" applyNumberFormat="1" applyFont="1" applyFill="1"/>
    <xf numFmtId="3" fontId="1" fillId="3" borderId="0" xfId="0" applyNumberFormat="1" applyFont="1" applyFill="1"/>
    <xf numFmtId="3" fontId="1" fillId="3" borderId="1" xfId="0" applyNumberFormat="1" applyFont="1" applyFill="1" applyBorder="1"/>
    <xf numFmtId="38" fontId="1" fillId="3" borderId="0" xfId="0" applyNumberFormat="1" applyFont="1" applyFill="1"/>
    <xf numFmtId="0" fontId="1" fillId="0" borderId="0" xfId="0" applyFont="1" applyBorder="1"/>
    <xf numFmtId="3" fontId="1" fillId="0" borderId="2" xfId="0" applyNumberFormat="1" applyFont="1" applyBorder="1"/>
    <xf numFmtId="0" fontId="1" fillId="3" borderId="0" xfId="0" applyFont="1" applyFill="1"/>
    <xf numFmtId="0" fontId="1" fillId="0" borderId="0" xfId="0" applyFont="1" applyAlignment="1">
      <alignment horizontal="right"/>
    </xf>
    <xf numFmtId="0" fontId="1" fillId="0" borderId="1" xfId="0" applyFont="1" applyBorder="1" applyAlignment="1">
      <alignment horizontal="right"/>
    </xf>
    <xf numFmtId="0" fontId="1" fillId="0" borderId="0" xfId="0" applyFont="1" applyFill="1"/>
    <xf numFmtId="14" fontId="1" fillId="0" borderId="0" xfId="0" applyNumberFormat="1" applyFont="1"/>
    <xf numFmtId="164" fontId="1" fillId="0" borderId="0" xfId="0" applyNumberFormat="1" applyFont="1"/>
    <xf numFmtId="164" fontId="1" fillId="0" borderId="1" xfId="0" applyNumberFormat="1" applyFont="1" applyBorder="1"/>
    <xf numFmtId="164" fontId="1" fillId="0" borderId="0" xfId="0" applyNumberFormat="1" applyFont="1" applyAlignment="1">
      <alignment horizontal="right"/>
    </xf>
    <xf numFmtId="0" fontId="6" fillId="4" borderId="0" xfId="0" applyFont="1" applyFill="1" applyAlignment="1">
      <alignment horizontal="center"/>
    </xf>
    <xf numFmtId="0" fontId="0" fillId="4" borderId="0" xfId="0" applyFill="1" applyAlignment="1">
      <alignment horizontal="center"/>
    </xf>
    <xf numFmtId="0" fontId="15" fillId="5" borderId="0" xfId="3" applyFont="1" applyFill="1" applyAlignment="1">
      <alignment vertical="center"/>
    </xf>
    <xf numFmtId="0" fontId="8" fillId="4" borderId="3" xfId="3" applyFont="1" applyFill="1" applyBorder="1" applyAlignment="1">
      <alignment vertical="center"/>
    </xf>
    <xf numFmtId="0" fontId="9" fillId="0" borderId="3" xfId="3" applyFont="1" applyBorder="1" applyAlignment="1">
      <alignment horizontal="right" vertical="center"/>
    </xf>
    <xf numFmtId="0" fontId="9" fillId="5" borderId="0" xfId="3" applyFont="1" applyFill="1" applyAlignment="1">
      <alignment vertical="center"/>
    </xf>
    <xf numFmtId="0" fontId="0" fillId="4" borderId="0" xfId="0" applyFill="1" applyAlignment="1"/>
    <xf numFmtId="0" fontId="10" fillId="4" borderId="3" xfId="3" applyFont="1" applyFill="1" applyBorder="1" applyAlignment="1">
      <alignment vertical="center"/>
    </xf>
    <xf numFmtId="0" fontId="6" fillId="4" borderId="0" xfId="0" applyFont="1" applyFill="1" applyAlignment="1"/>
    <xf numFmtId="0" fontId="10" fillId="4" borderId="6" xfId="3" applyFont="1" applyFill="1" applyBorder="1" applyAlignment="1">
      <alignment vertical="center"/>
    </xf>
    <xf numFmtId="164" fontId="0" fillId="2" borderId="0" xfId="0" applyNumberFormat="1" applyFill="1" applyAlignment="1"/>
    <xf numFmtId="0" fontId="9" fillId="4" borderId="3" xfId="3" applyFont="1" applyFill="1" applyBorder="1" applyAlignment="1">
      <alignment vertical="center"/>
    </xf>
    <xf numFmtId="0" fontId="10" fillId="0" borderId="3" xfId="3" applyFont="1" applyBorder="1" applyAlignment="1">
      <alignment horizontal="right" vertical="center"/>
    </xf>
    <xf numFmtId="41" fontId="9" fillId="4" borderId="3" xfId="3" applyNumberFormat="1" applyFont="1" applyFill="1" applyBorder="1" applyAlignment="1">
      <alignment horizontal="right" vertical="center"/>
    </xf>
    <xf numFmtId="164" fontId="0" fillId="4" borderId="1" xfId="0" applyNumberFormat="1" applyFill="1" applyBorder="1" applyAlignment="1"/>
    <xf numFmtId="164" fontId="9" fillId="6" borderId="3" xfId="3" applyNumberFormat="1" applyFont="1" applyFill="1" applyBorder="1" applyAlignment="1">
      <alignment horizontal="right" vertical="center"/>
    </xf>
    <xf numFmtId="164" fontId="9" fillId="4" borderId="3" xfId="3" applyNumberFormat="1" applyFont="1" applyFill="1" applyBorder="1" applyAlignment="1">
      <alignment horizontal="right" vertical="center"/>
    </xf>
    <xf numFmtId="164" fontId="9" fillId="4" borderId="4" xfId="3" applyNumberFormat="1" applyFont="1" applyFill="1" applyBorder="1" applyAlignment="1">
      <alignment horizontal="right" vertical="center"/>
    </xf>
    <xf numFmtId="0" fontId="9" fillId="4" borderId="3" xfId="3" applyFont="1" applyFill="1" applyBorder="1" applyAlignment="1">
      <alignment horizontal="left" vertical="center"/>
    </xf>
    <xf numFmtId="164" fontId="9" fillId="2" borderId="4" xfId="3" applyNumberFormat="1" applyFont="1" applyFill="1" applyBorder="1" applyAlignment="1">
      <alignment horizontal="right" vertical="center"/>
    </xf>
    <xf numFmtId="164" fontId="0" fillId="2" borderId="0" xfId="2" applyNumberFormat="1" applyFont="1" applyFill="1" applyAlignment="1"/>
    <xf numFmtId="3" fontId="0" fillId="4" borderId="0" xfId="0" applyNumberFormat="1" applyFill="1" applyAlignment="1"/>
    <xf numFmtId="3" fontId="6" fillId="4" borderId="0" xfId="0" applyNumberFormat="1" applyFont="1" applyFill="1" applyAlignment="1"/>
    <xf numFmtId="164" fontId="6" fillId="4" borderId="0" xfId="0" applyNumberFormat="1" applyFont="1" applyFill="1" applyAlignment="1"/>
    <xf numFmtId="164" fontId="9" fillId="2" borderId="8" xfId="3" applyNumberFormat="1" applyFont="1" applyFill="1" applyBorder="1" applyAlignment="1">
      <alignment horizontal="right" vertical="center"/>
    </xf>
    <xf numFmtId="164" fontId="9" fillId="7" borderId="5" xfId="3" applyNumberFormat="1" applyFont="1" applyFill="1" applyBorder="1" applyAlignment="1">
      <alignment horizontal="right" vertical="center"/>
    </xf>
    <xf numFmtId="0" fontId="0" fillId="0" borderId="0" xfId="0" applyAlignment="1"/>
    <xf numFmtId="164" fontId="9" fillId="6" borderId="4" xfId="3" applyNumberFormat="1" applyFont="1" applyFill="1" applyBorder="1" applyAlignment="1">
      <alignment horizontal="right" vertical="center"/>
    </xf>
    <xf numFmtId="164" fontId="0" fillId="4" borderId="0" xfId="0" applyNumberFormat="1" applyFill="1" applyAlignment="1"/>
    <xf numFmtId="164" fontId="9" fillId="7" borderId="7" xfId="3" applyNumberFormat="1" applyFont="1" applyFill="1" applyBorder="1" applyAlignment="1">
      <alignment horizontal="right" vertical="center"/>
    </xf>
    <xf numFmtId="164" fontId="9" fillId="6" borderId="8" xfId="3" applyNumberFormat="1" applyFont="1" applyFill="1" applyBorder="1" applyAlignment="1">
      <alignment horizontal="right" vertical="center"/>
    </xf>
    <xf numFmtId="164" fontId="0" fillId="0" borderId="9" xfId="2" applyNumberFormat="1" applyFont="1" applyBorder="1" applyAlignment="1"/>
    <xf numFmtId="0" fontId="12" fillId="4" borderId="3" xfId="3" applyFont="1" applyFill="1" applyBorder="1" applyAlignment="1">
      <alignment vertical="center"/>
    </xf>
    <xf numFmtId="164" fontId="9" fillId="4" borderId="7" xfId="3" applyNumberFormat="1" applyFont="1" applyFill="1" applyBorder="1" applyAlignment="1">
      <alignment horizontal="right" vertical="center"/>
    </xf>
    <xf numFmtId="164" fontId="9" fillId="7" borderId="3" xfId="3" applyNumberFormat="1" applyFont="1" applyFill="1" applyBorder="1" applyAlignment="1">
      <alignment horizontal="right" vertical="center"/>
    </xf>
    <xf numFmtId="164" fontId="0" fillId="4" borderId="1" xfId="2" applyNumberFormat="1" applyFont="1" applyFill="1" applyBorder="1" applyAlignment="1"/>
    <xf numFmtId="164" fontId="0" fillId="4" borderId="0" xfId="2" applyNumberFormat="1" applyFont="1" applyFill="1" applyAlignment="1"/>
    <xf numFmtId="164" fontId="0" fillId="0" borderId="1" xfId="2" applyNumberFormat="1" applyFont="1" applyBorder="1" applyAlignment="1"/>
    <xf numFmtId="0" fontId="9" fillId="4" borderId="0" xfId="3" applyFont="1" applyFill="1" applyAlignment="1">
      <alignment vertical="center"/>
    </xf>
    <xf numFmtId="164" fontId="9" fillId="4" borderId="0" xfId="3" applyNumberFormat="1" applyFont="1" applyFill="1" applyAlignment="1">
      <alignment vertical="center"/>
    </xf>
    <xf numFmtId="164" fontId="9" fillId="7" borderId="8" xfId="3" applyNumberFormat="1" applyFont="1" applyFill="1" applyBorder="1" applyAlignment="1">
      <alignment horizontal="right" vertical="center"/>
    </xf>
    <xf numFmtId="164" fontId="9" fillId="2" borderId="0" xfId="2" applyNumberFormat="1" applyFont="1" applyFill="1" applyAlignment="1">
      <alignment vertical="center"/>
    </xf>
    <xf numFmtId="0" fontId="10" fillId="4" borderId="4" xfId="3" applyFont="1" applyFill="1" applyBorder="1" applyAlignment="1">
      <alignment vertical="center"/>
    </xf>
    <xf numFmtId="164" fontId="9" fillId="6" borderId="10" xfId="3" applyNumberFormat="1" applyFont="1" applyFill="1" applyBorder="1" applyAlignment="1">
      <alignment horizontal="right" vertical="center"/>
    </xf>
    <xf numFmtId="41" fontId="14" fillId="5" borderId="0" xfId="3" applyNumberFormat="1" applyFont="1" applyFill="1" applyAlignment="1">
      <alignment horizontal="right" vertical="center"/>
    </xf>
    <xf numFmtId="41" fontId="14" fillId="4" borderId="3" xfId="3" applyNumberFormat="1" applyFont="1" applyFill="1" applyBorder="1" applyAlignment="1">
      <alignment horizontal="right" vertical="center"/>
    </xf>
    <xf numFmtId="0" fontId="7" fillId="0" borderId="3" xfId="3" applyBorder="1" applyAlignment="1">
      <alignment horizontal="right" vertical="center"/>
    </xf>
    <xf numFmtId="164" fontId="0" fillId="0" borderId="9" xfId="0" applyNumberFormat="1" applyBorder="1" applyAlignment="1"/>
    <xf numFmtId="164" fontId="0" fillId="2" borderId="0" xfId="2" applyNumberFormat="1" applyFont="1" applyFill="1" applyBorder="1" applyAlignment="1"/>
    <xf numFmtId="164" fontId="9" fillId="2" borderId="0" xfId="3" applyNumberFormat="1" applyFont="1" applyFill="1" applyAlignment="1">
      <alignment vertical="center"/>
    </xf>
    <xf numFmtId="41" fontId="9" fillId="5" borderId="0" xfId="3" applyNumberFormat="1" applyFont="1" applyFill="1" applyAlignment="1">
      <alignment horizontal="right" vertical="center"/>
    </xf>
    <xf numFmtId="164" fontId="0" fillId="0" borderId="1" xfId="0" applyNumberFormat="1" applyBorder="1" applyAlignment="1"/>
    <xf numFmtId="164" fontId="0" fillId="0" borderId="0" xfId="0" applyNumberFormat="1" applyAlignment="1"/>
    <xf numFmtId="0" fontId="6" fillId="4" borderId="11" xfId="0" applyFont="1" applyFill="1" applyBorder="1" applyAlignment="1"/>
    <xf numFmtId="0" fontId="9" fillId="4" borderId="11" xfId="3" applyFont="1" applyFill="1" applyBorder="1" applyAlignment="1">
      <alignment vertical="center"/>
    </xf>
    <xf numFmtId="164" fontId="9" fillId="0" borderId="12" xfId="3" applyNumberFormat="1" applyFont="1" applyBorder="1" applyAlignment="1">
      <alignment vertical="center"/>
    </xf>
    <xf numFmtId="164" fontId="9" fillId="0" borderId="1" xfId="3" applyNumberFormat="1" applyFont="1" applyBorder="1" applyAlignment="1">
      <alignment vertical="center"/>
    </xf>
    <xf numFmtId="164" fontId="9" fillId="0" borderId="0" xfId="3" applyNumberFormat="1" applyFont="1" applyAlignment="1">
      <alignment vertical="center"/>
    </xf>
    <xf numFmtId="164" fontId="9" fillId="2" borderId="2" xfId="3" applyNumberFormat="1" applyFont="1" applyFill="1" applyBorder="1" applyAlignment="1">
      <alignment vertical="center"/>
    </xf>
    <xf numFmtId="164" fontId="9" fillId="2" borderId="12" xfId="3" applyNumberFormat="1" applyFont="1" applyFill="1" applyBorder="1" applyAlignment="1">
      <alignment vertical="center"/>
    </xf>
    <xf numFmtId="164" fontId="9" fillId="0" borderId="9" xfId="2" applyNumberFormat="1" applyFont="1" applyFill="1" applyBorder="1" applyAlignment="1">
      <alignment vertical="center"/>
    </xf>
    <xf numFmtId="164" fontId="9" fillId="0" borderId="1" xfId="2" applyNumberFormat="1" applyFont="1" applyFill="1" applyBorder="1" applyAlignment="1">
      <alignment vertical="center"/>
    </xf>
    <xf numFmtId="0" fontId="6" fillId="0" borderId="0" xfId="0" applyFont="1" applyAlignment="1">
      <alignment horizontal="center"/>
    </xf>
    <xf numFmtId="0" fontId="0" fillId="0" borderId="0" xfId="0" applyAlignment="1">
      <alignment horizontal="center"/>
    </xf>
    <xf numFmtId="0" fontId="0" fillId="0" borderId="0" xfId="0" applyAlignment="1">
      <alignment horizontal="right"/>
    </xf>
    <xf numFmtId="164" fontId="0" fillId="0" borderId="0" xfId="0" applyNumberFormat="1" applyAlignment="1">
      <alignment horizontal="right"/>
    </xf>
    <xf numFmtId="0" fontId="0" fillId="0" borderId="0" xfId="0" applyAlignment="1">
      <alignment horizontal="left"/>
    </xf>
    <xf numFmtId="0" fontId="8" fillId="8" borderId="3" xfId="3" applyFont="1" applyFill="1" applyBorder="1" applyAlignment="1">
      <alignment vertical="center"/>
    </xf>
    <xf numFmtId="0" fontId="6" fillId="5" borderId="0" xfId="0" applyFont="1" applyFill="1" applyAlignment="1"/>
    <xf numFmtId="0" fontId="11" fillId="8" borderId="3" xfId="3" applyFont="1" applyFill="1" applyBorder="1" applyAlignment="1">
      <alignment vertical="center"/>
    </xf>
    <xf numFmtId="0" fontId="0" fillId="5" borderId="0" xfId="0" applyFill="1" applyAlignment="1"/>
    <xf numFmtId="0" fontId="6" fillId="0" borderId="0" xfId="0" applyFont="1" applyAlignment="1"/>
    <xf numFmtId="0" fontId="0" fillId="2" borderId="0" xfId="0" applyFill="1" applyAlignment="1"/>
    <xf numFmtId="0" fontId="0" fillId="0" borderId="1" xfId="0" applyBorder="1" applyAlignment="1"/>
    <xf numFmtId="0" fontId="16" fillId="5" borderId="0" xfId="0" applyFont="1" applyFill="1" applyAlignment="1"/>
    <xf numFmtId="164" fontId="0" fillId="0" borderId="0" xfId="2" applyNumberFormat="1" applyFont="1" applyAlignment="1"/>
    <xf numFmtId="164" fontId="6" fillId="0" borderId="0" xfId="0" applyNumberFormat="1" applyFont="1" applyAlignment="1"/>
    <xf numFmtId="164" fontId="9" fillId="2" borderId="3" xfId="3" applyNumberFormat="1" applyFont="1" applyFill="1" applyBorder="1" applyAlignment="1">
      <alignment horizontal="right" vertical="center"/>
    </xf>
    <xf numFmtId="0" fontId="11" fillId="5" borderId="0" xfId="3" applyFont="1" applyFill="1" applyAlignment="1">
      <alignment vertical="center"/>
    </xf>
    <xf numFmtId="0" fontId="9" fillId="0" borderId="0" xfId="3" applyFont="1" applyAlignment="1">
      <alignment vertical="center"/>
    </xf>
    <xf numFmtId="0" fontId="16" fillId="0" borderId="0" xfId="0" applyFont="1" applyAlignment="1"/>
    <xf numFmtId="0" fontId="10" fillId="0" borderId="0" xfId="3" applyFont="1" applyAlignment="1">
      <alignment vertical="center"/>
    </xf>
    <xf numFmtId="164" fontId="9" fillId="0" borderId="9" xfId="3" applyNumberFormat="1" applyFont="1" applyBorder="1" applyAlignment="1">
      <alignment vertical="center"/>
    </xf>
    <xf numFmtId="0" fontId="8" fillId="8" borderId="4" xfId="3" applyFont="1" applyFill="1" applyBorder="1" applyAlignment="1">
      <alignment horizontal="center" vertical="center"/>
    </xf>
    <xf numFmtId="0" fontId="17" fillId="0" borderId="5" xfId="3" applyFont="1" applyBorder="1" applyAlignment="1">
      <alignment horizontal="center" vertical="center"/>
    </xf>
    <xf numFmtId="0" fontId="17" fillId="0" borderId="7" xfId="3" applyFont="1" applyBorder="1" applyAlignment="1">
      <alignment horizontal="center" vertical="center"/>
    </xf>
    <xf numFmtId="9" fontId="1" fillId="0" borderId="0" xfId="0" applyNumberFormat="1" applyFont="1"/>
    <xf numFmtId="14" fontId="1" fillId="0" borderId="13" xfId="0" applyNumberFormat="1" applyFont="1" applyBorder="1"/>
    <xf numFmtId="0" fontId="1" fillId="0" borderId="13" xfId="0" applyFont="1" applyBorder="1"/>
    <xf numFmtId="0" fontId="16" fillId="0" borderId="0" xfId="0" applyFont="1"/>
    <xf numFmtId="0" fontId="6" fillId="0" borderId="0" xfId="0" applyFont="1"/>
    <xf numFmtId="14" fontId="0" fillId="2" borderId="0" xfId="0" applyNumberFormat="1" applyFill="1"/>
    <xf numFmtId="0" fontId="6" fillId="0" borderId="0" xfId="0" applyFont="1" applyAlignment="1">
      <alignment horizontal="right"/>
    </xf>
    <xf numFmtId="0" fontId="6" fillId="0" borderId="0" xfId="0" applyFont="1" applyAlignment="1">
      <alignment horizontal="center" wrapText="1"/>
    </xf>
    <xf numFmtId="0" fontId="6" fillId="0" borderId="0" xfId="0" applyFont="1" applyAlignment="1">
      <alignment wrapText="1"/>
    </xf>
    <xf numFmtId="0" fontId="0" fillId="2" borderId="14" xfId="0" applyFill="1" applyBorder="1"/>
    <xf numFmtId="167" fontId="0" fillId="2" borderId="15" xfId="2" applyNumberFormat="1" applyFont="1" applyFill="1" applyBorder="1"/>
    <xf numFmtId="14" fontId="0" fillId="2" borderId="15" xfId="0" applyNumberFormat="1" applyFill="1" applyBorder="1"/>
    <xf numFmtId="1" fontId="0" fillId="2" borderId="15" xfId="0" applyNumberFormat="1" applyFill="1" applyBorder="1"/>
    <xf numFmtId="9" fontId="0" fillId="2" borderId="15" xfId="0" applyNumberFormat="1" applyFill="1" applyBorder="1"/>
    <xf numFmtId="1" fontId="0" fillId="0" borderId="15" xfId="0" applyNumberFormat="1" applyBorder="1"/>
    <xf numFmtId="0" fontId="0" fillId="2" borderId="17" xfId="0" applyFill="1" applyBorder="1"/>
    <xf numFmtId="167" fontId="0" fillId="2" borderId="0" xfId="2" applyNumberFormat="1" applyFont="1" applyFill="1" applyBorder="1"/>
    <xf numFmtId="1" fontId="0" fillId="2" borderId="0" xfId="0" applyNumberFormat="1" applyFill="1"/>
    <xf numFmtId="9" fontId="0" fillId="2" borderId="0" xfId="0" applyNumberFormat="1" applyFill="1"/>
    <xf numFmtId="1" fontId="0" fillId="0" borderId="0" xfId="0" applyNumberFormat="1"/>
    <xf numFmtId="43" fontId="0" fillId="0" borderId="0" xfId="2" applyFont="1"/>
    <xf numFmtId="164" fontId="0" fillId="0" borderId="16" xfId="2" applyNumberFormat="1" applyFont="1" applyBorder="1"/>
    <xf numFmtId="164" fontId="0" fillId="0" borderId="0" xfId="0" applyNumberFormat="1"/>
    <xf numFmtId="164" fontId="0" fillId="0" borderId="18" xfId="0" applyNumberFormat="1" applyBorder="1"/>
    <xf numFmtId="164" fontId="0" fillId="0" borderId="0" xfId="2" applyNumberFormat="1" applyFont="1"/>
    <xf numFmtId="164" fontId="0" fillId="2" borderId="0" xfId="2" applyNumberFormat="1" applyFont="1" applyFill="1"/>
    <xf numFmtId="167" fontId="1" fillId="0" borderId="0" xfId="0" applyNumberFormat="1" applyFont="1"/>
    <xf numFmtId="169" fontId="1" fillId="0" borderId="0" xfId="0" applyNumberFormat="1" applyFont="1"/>
    <xf numFmtId="1" fontId="1" fillId="0" borderId="0" xfId="0" applyNumberFormat="1" applyFont="1"/>
    <xf numFmtId="0" fontId="6" fillId="0" borderId="14" xfId="0" applyFont="1" applyBorder="1" applyAlignment="1"/>
    <xf numFmtId="0" fontId="0" fillId="0" borderId="15" xfId="0" applyBorder="1" applyAlignment="1"/>
    <xf numFmtId="0" fontId="0" fillId="0" borderId="16" xfId="0" applyBorder="1" applyAlignment="1"/>
    <xf numFmtId="0" fontId="0" fillId="0" borderId="17" xfId="0" applyBorder="1" applyAlignment="1"/>
    <xf numFmtId="0" fontId="0" fillId="0" borderId="18" xfId="0" applyBorder="1" applyAlignment="1"/>
    <xf numFmtId="0" fontId="6" fillId="0" borderId="19" xfId="0" applyFont="1" applyBorder="1" applyAlignment="1"/>
    <xf numFmtId="0" fontId="6" fillId="0" borderId="13" xfId="0" applyFont="1" applyBorder="1" applyAlignment="1"/>
    <xf numFmtId="0" fontId="0" fillId="0" borderId="13" xfId="0" applyBorder="1" applyAlignment="1"/>
    <xf numFmtId="0" fontId="0" fillId="0" borderId="20" xfId="0" applyBorder="1" applyAlignment="1"/>
    <xf numFmtId="0" fontId="18" fillId="0" borderId="0" xfId="0" applyFont="1"/>
    <xf numFmtId="0" fontId="16" fillId="0" borderId="0" xfId="0" applyFont="1" applyAlignment="1">
      <alignment horizontal="left" vertical="top" wrapText="1"/>
    </xf>
    <xf numFmtId="0" fontId="0" fillId="0" borderId="0" xfId="0" applyAlignment="1">
      <alignment vertical="top"/>
    </xf>
    <xf numFmtId="0" fontId="19" fillId="0" borderId="0" xfId="0" applyFont="1" applyAlignment="1"/>
    <xf numFmtId="0" fontId="16" fillId="0" borderId="0" xfId="0" applyFont="1" applyAlignment="1">
      <alignment vertical="top"/>
    </xf>
    <xf numFmtId="0" fontId="20" fillId="2" borderId="0" xfId="0" applyFont="1" applyFill="1" applyAlignment="1"/>
    <xf numFmtId="164" fontId="1" fillId="3" borderId="0" xfId="0" applyNumberFormat="1" applyFont="1" applyFill="1"/>
    <xf numFmtId="0" fontId="0" fillId="3" borderId="0" xfId="0" applyFill="1"/>
    <xf numFmtId="0" fontId="1" fillId="0" borderId="0" xfId="0" applyFont="1" applyAlignment="1"/>
    <xf numFmtId="164" fontId="0" fillId="0" borderId="0" xfId="2" applyNumberFormat="1" applyFont="1" applyBorder="1" applyAlignment="1"/>
  </cellXfs>
  <cellStyles count="4">
    <cellStyle name="Comma" xfId="2" builtinId="3"/>
    <cellStyle name="Hyperlink" xfId="1" builtinId="8"/>
    <cellStyle name="Normal" xfId="0" builtinId="0"/>
    <cellStyle name="Normal 2" xfId="3" xr:uid="{06BF3DA8-07F0-43E9-B61D-8F26E9E4FB9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7</xdr:col>
      <xdr:colOff>1</xdr:colOff>
      <xdr:row>19</xdr:row>
      <xdr:rowOff>3364</xdr:rowOff>
    </xdr:to>
    <xdr:pic>
      <xdr:nvPicPr>
        <xdr:cNvPr id="2" name="Picture 1">
          <a:extLst>
            <a:ext uri="{FF2B5EF4-FFF2-40B4-BE49-F238E27FC236}">
              <a16:creationId xmlns:a16="http://schemas.microsoft.com/office/drawing/2014/main" id="{1B1DBA4D-9367-A9C1-6D9D-FB2679945C44}"/>
            </a:ext>
          </a:extLst>
        </xdr:cNvPr>
        <xdr:cNvPicPr>
          <a:picLocks noChangeAspect="1"/>
        </xdr:cNvPicPr>
      </xdr:nvPicPr>
      <xdr:blipFill>
        <a:blip xmlns:r="http://schemas.openxmlformats.org/officeDocument/2006/relationships" r:embed="rId1"/>
        <a:stretch>
          <a:fillRect/>
        </a:stretch>
      </xdr:blipFill>
      <xdr:spPr>
        <a:xfrm>
          <a:off x="605119" y="2420471"/>
          <a:ext cx="3630706" cy="630893"/>
        </a:xfrm>
        <a:prstGeom prst="rect">
          <a:avLst/>
        </a:prstGeom>
      </xdr:spPr>
    </xdr:pic>
    <xdr:clientData/>
  </xdr:twoCellAnchor>
  <xdr:twoCellAnchor editAs="oneCell">
    <xdr:from>
      <xdr:col>1</xdr:col>
      <xdr:colOff>0</xdr:colOff>
      <xdr:row>23</xdr:row>
      <xdr:rowOff>1</xdr:rowOff>
    </xdr:from>
    <xdr:to>
      <xdr:col>7</xdr:col>
      <xdr:colOff>0</xdr:colOff>
      <xdr:row>28</xdr:row>
      <xdr:rowOff>20870</xdr:rowOff>
    </xdr:to>
    <xdr:pic>
      <xdr:nvPicPr>
        <xdr:cNvPr id="3" name="Picture 2">
          <a:extLst>
            <a:ext uri="{FF2B5EF4-FFF2-40B4-BE49-F238E27FC236}">
              <a16:creationId xmlns:a16="http://schemas.microsoft.com/office/drawing/2014/main" id="{D9142B48-99C6-FFB6-BFC9-3A2B5754103A}"/>
            </a:ext>
          </a:extLst>
        </xdr:cNvPr>
        <xdr:cNvPicPr>
          <a:picLocks noChangeAspect="1"/>
        </xdr:cNvPicPr>
      </xdr:nvPicPr>
      <xdr:blipFill>
        <a:blip xmlns:r="http://schemas.openxmlformats.org/officeDocument/2006/relationships" r:embed="rId2"/>
        <a:stretch>
          <a:fillRect/>
        </a:stretch>
      </xdr:blipFill>
      <xdr:spPr>
        <a:xfrm>
          <a:off x="606136" y="3654137"/>
          <a:ext cx="3636819" cy="800188"/>
        </a:xfrm>
        <a:prstGeom prst="rect">
          <a:avLst/>
        </a:prstGeom>
      </xdr:spPr>
    </xdr:pic>
    <xdr:clientData/>
  </xdr:twoCellAnchor>
  <xdr:twoCellAnchor editAs="oneCell">
    <xdr:from>
      <xdr:col>1</xdr:col>
      <xdr:colOff>1</xdr:colOff>
      <xdr:row>30</xdr:row>
      <xdr:rowOff>0</xdr:rowOff>
    </xdr:from>
    <xdr:to>
      <xdr:col>7</xdr:col>
      <xdr:colOff>1</xdr:colOff>
      <xdr:row>43</xdr:row>
      <xdr:rowOff>149811</xdr:rowOff>
    </xdr:to>
    <xdr:pic>
      <xdr:nvPicPr>
        <xdr:cNvPr id="4" name="Picture 3">
          <a:extLst>
            <a:ext uri="{FF2B5EF4-FFF2-40B4-BE49-F238E27FC236}">
              <a16:creationId xmlns:a16="http://schemas.microsoft.com/office/drawing/2014/main" id="{88894D6D-F593-A020-B7C3-BA54A447E7A0}"/>
            </a:ext>
          </a:extLst>
        </xdr:cNvPr>
        <xdr:cNvPicPr>
          <a:picLocks noChangeAspect="1"/>
        </xdr:cNvPicPr>
      </xdr:nvPicPr>
      <xdr:blipFill>
        <a:blip xmlns:r="http://schemas.openxmlformats.org/officeDocument/2006/relationships" r:embed="rId3"/>
        <a:stretch>
          <a:fillRect/>
        </a:stretch>
      </xdr:blipFill>
      <xdr:spPr>
        <a:xfrm>
          <a:off x="605119" y="4773706"/>
          <a:ext cx="3630706" cy="2189281"/>
        </a:xfrm>
        <a:prstGeom prst="rect">
          <a:avLst/>
        </a:prstGeom>
      </xdr:spPr>
    </xdr:pic>
    <xdr:clientData/>
  </xdr:twoCellAnchor>
  <xdr:twoCellAnchor editAs="oneCell">
    <xdr:from>
      <xdr:col>1</xdr:col>
      <xdr:colOff>1</xdr:colOff>
      <xdr:row>52</xdr:row>
      <xdr:rowOff>0</xdr:rowOff>
    </xdr:from>
    <xdr:to>
      <xdr:col>7</xdr:col>
      <xdr:colOff>53766</xdr:colOff>
      <xdr:row>66</xdr:row>
      <xdr:rowOff>0</xdr:rowOff>
    </xdr:to>
    <xdr:pic>
      <xdr:nvPicPr>
        <xdr:cNvPr id="5" name="Picture 4">
          <a:extLst>
            <a:ext uri="{FF2B5EF4-FFF2-40B4-BE49-F238E27FC236}">
              <a16:creationId xmlns:a16="http://schemas.microsoft.com/office/drawing/2014/main" id="{EC040B8D-CD41-FA1D-FB0C-2A6BF8CF7EDC}"/>
            </a:ext>
          </a:extLst>
        </xdr:cNvPr>
        <xdr:cNvPicPr>
          <a:picLocks noChangeAspect="1"/>
        </xdr:cNvPicPr>
      </xdr:nvPicPr>
      <xdr:blipFill>
        <a:blip xmlns:r="http://schemas.openxmlformats.org/officeDocument/2006/relationships" r:embed="rId4"/>
        <a:stretch>
          <a:fillRect/>
        </a:stretch>
      </xdr:blipFill>
      <xdr:spPr>
        <a:xfrm>
          <a:off x="612322" y="7864929"/>
          <a:ext cx="3727694" cy="2095500"/>
        </a:xfrm>
        <a:prstGeom prst="rect">
          <a:avLst/>
        </a:prstGeom>
      </xdr:spPr>
    </xdr:pic>
    <xdr:clientData/>
  </xdr:twoCellAnchor>
  <xdr:twoCellAnchor editAs="oneCell">
    <xdr:from>
      <xdr:col>1</xdr:col>
      <xdr:colOff>0</xdr:colOff>
      <xdr:row>68</xdr:row>
      <xdr:rowOff>0</xdr:rowOff>
    </xdr:from>
    <xdr:to>
      <xdr:col>7</xdr:col>
      <xdr:colOff>0</xdr:colOff>
      <xdr:row>81</xdr:row>
      <xdr:rowOff>95984</xdr:rowOff>
    </xdr:to>
    <xdr:pic>
      <xdr:nvPicPr>
        <xdr:cNvPr id="6" name="Picture 5">
          <a:extLst>
            <a:ext uri="{FF2B5EF4-FFF2-40B4-BE49-F238E27FC236}">
              <a16:creationId xmlns:a16="http://schemas.microsoft.com/office/drawing/2014/main" id="{F2B65476-5891-C057-9BD7-4E78AAD699AE}"/>
            </a:ext>
          </a:extLst>
        </xdr:cNvPr>
        <xdr:cNvPicPr>
          <a:picLocks noChangeAspect="1"/>
        </xdr:cNvPicPr>
      </xdr:nvPicPr>
      <xdr:blipFill>
        <a:blip xmlns:r="http://schemas.openxmlformats.org/officeDocument/2006/relationships" r:embed="rId5"/>
        <a:stretch>
          <a:fillRect/>
        </a:stretch>
      </xdr:blipFill>
      <xdr:spPr>
        <a:xfrm>
          <a:off x="612321" y="10259786"/>
          <a:ext cx="3673929" cy="2041805"/>
        </a:xfrm>
        <a:prstGeom prst="rect">
          <a:avLst/>
        </a:prstGeom>
      </xdr:spPr>
    </xdr:pic>
    <xdr:clientData/>
  </xdr:twoCellAnchor>
  <xdr:twoCellAnchor editAs="oneCell">
    <xdr:from>
      <xdr:col>1</xdr:col>
      <xdr:colOff>0</xdr:colOff>
      <xdr:row>93</xdr:row>
      <xdr:rowOff>0</xdr:rowOff>
    </xdr:from>
    <xdr:to>
      <xdr:col>7</xdr:col>
      <xdr:colOff>0</xdr:colOff>
      <xdr:row>97</xdr:row>
      <xdr:rowOff>38285</xdr:rowOff>
    </xdr:to>
    <xdr:pic>
      <xdr:nvPicPr>
        <xdr:cNvPr id="7" name="Picture 6">
          <a:extLst>
            <a:ext uri="{FF2B5EF4-FFF2-40B4-BE49-F238E27FC236}">
              <a16:creationId xmlns:a16="http://schemas.microsoft.com/office/drawing/2014/main" id="{22059BAB-694A-85FD-11E3-D721E1074F3B}"/>
            </a:ext>
          </a:extLst>
        </xdr:cNvPr>
        <xdr:cNvPicPr>
          <a:picLocks noChangeAspect="1"/>
        </xdr:cNvPicPr>
      </xdr:nvPicPr>
      <xdr:blipFill>
        <a:blip xmlns:r="http://schemas.openxmlformats.org/officeDocument/2006/relationships" r:embed="rId6"/>
        <a:stretch>
          <a:fillRect/>
        </a:stretch>
      </xdr:blipFill>
      <xdr:spPr>
        <a:xfrm>
          <a:off x="605118" y="14657294"/>
          <a:ext cx="3630706" cy="665815"/>
        </a:xfrm>
        <a:prstGeom prst="rect">
          <a:avLst/>
        </a:prstGeom>
      </xdr:spPr>
    </xdr:pic>
    <xdr:clientData/>
  </xdr:twoCellAnchor>
  <xdr:twoCellAnchor editAs="oneCell">
    <xdr:from>
      <xdr:col>1</xdr:col>
      <xdr:colOff>0</xdr:colOff>
      <xdr:row>112</xdr:row>
      <xdr:rowOff>0</xdr:rowOff>
    </xdr:from>
    <xdr:to>
      <xdr:col>7</xdr:col>
      <xdr:colOff>0</xdr:colOff>
      <xdr:row>123</xdr:row>
      <xdr:rowOff>137069</xdr:rowOff>
    </xdr:to>
    <xdr:pic>
      <xdr:nvPicPr>
        <xdr:cNvPr id="8" name="Picture 7">
          <a:extLst>
            <a:ext uri="{FF2B5EF4-FFF2-40B4-BE49-F238E27FC236}">
              <a16:creationId xmlns:a16="http://schemas.microsoft.com/office/drawing/2014/main" id="{6065C779-DB73-2848-6D54-6EB72EDD0244}"/>
            </a:ext>
          </a:extLst>
        </xdr:cNvPr>
        <xdr:cNvPicPr>
          <a:picLocks noChangeAspect="1"/>
        </xdr:cNvPicPr>
      </xdr:nvPicPr>
      <xdr:blipFill>
        <a:blip xmlns:r="http://schemas.openxmlformats.org/officeDocument/2006/relationships" r:embed="rId7"/>
        <a:stretch>
          <a:fillRect/>
        </a:stretch>
      </xdr:blipFill>
      <xdr:spPr>
        <a:xfrm>
          <a:off x="605118" y="17638059"/>
          <a:ext cx="3630706" cy="1862775"/>
        </a:xfrm>
        <a:prstGeom prst="rect">
          <a:avLst/>
        </a:prstGeom>
      </xdr:spPr>
    </xdr:pic>
    <xdr:clientData/>
  </xdr:twoCellAnchor>
  <xdr:twoCellAnchor>
    <xdr:from>
      <xdr:col>1</xdr:col>
      <xdr:colOff>1</xdr:colOff>
      <xdr:row>175</xdr:row>
      <xdr:rowOff>1</xdr:rowOff>
    </xdr:from>
    <xdr:to>
      <xdr:col>7</xdr:col>
      <xdr:colOff>0</xdr:colOff>
      <xdr:row>197</xdr:row>
      <xdr:rowOff>1</xdr:rowOff>
    </xdr:to>
    <xdr:grpSp>
      <xdr:nvGrpSpPr>
        <xdr:cNvPr id="12" name="Group 11">
          <a:extLst>
            <a:ext uri="{FF2B5EF4-FFF2-40B4-BE49-F238E27FC236}">
              <a16:creationId xmlns:a16="http://schemas.microsoft.com/office/drawing/2014/main" id="{C00D4203-DFBD-9616-0E3F-410F57551DCC}"/>
            </a:ext>
          </a:extLst>
        </xdr:cNvPr>
        <xdr:cNvGrpSpPr/>
      </xdr:nvGrpSpPr>
      <xdr:grpSpPr>
        <a:xfrm>
          <a:off x="610915" y="26624018"/>
          <a:ext cx="3665482" cy="3323897"/>
          <a:chOff x="609600" y="26833286"/>
          <a:chExt cx="6839905" cy="5724601"/>
        </a:xfrm>
      </xdr:grpSpPr>
      <xdr:pic>
        <xdr:nvPicPr>
          <xdr:cNvPr id="10" name="Picture 9">
            <a:extLst>
              <a:ext uri="{FF2B5EF4-FFF2-40B4-BE49-F238E27FC236}">
                <a16:creationId xmlns:a16="http://schemas.microsoft.com/office/drawing/2014/main" id="{46BFF8BE-AEC7-81E8-D525-83753318D726}"/>
              </a:ext>
            </a:extLst>
          </xdr:cNvPr>
          <xdr:cNvPicPr>
            <a:picLocks noChangeAspect="1"/>
          </xdr:cNvPicPr>
        </xdr:nvPicPr>
        <xdr:blipFill>
          <a:blip xmlns:r="http://schemas.openxmlformats.org/officeDocument/2006/relationships" r:embed="rId8"/>
          <a:stretch>
            <a:fillRect/>
          </a:stretch>
        </xdr:blipFill>
        <xdr:spPr>
          <a:xfrm>
            <a:off x="609600" y="26833286"/>
            <a:ext cx="6830378" cy="5153744"/>
          </a:xfrm>
          <a:prstGeom prst="rect">
            <a:avLst/>
          </a:prstGeom>
        </xdr:spPr>
      </xdr:pic>
      <xdr:pic>
        <xdr:nvPicPr>
          <xdr:cNvPr id="11" name="Picture 10">
            <a:extLst>
              <a:ext uri="{FF2B5EF4-FFF2-40B4-BE49-F238E27FC236}">
                <a16:creationId xmlns:a16="http://schemas.microsoft.com/office/drawing/2014/main" id="{1F074E0F-C2C3-C859-9FCF-08BB498AF61C}"/>
              </a:ext>
            </a:extLst>
          </xdr:cNvPr>
          <xdr:cNvPicPr>
            <a:picLocks noChangeAspect="1"/>
          </xdr:cNvPicPr>
        </xdr:nvPicPr>
        <xdr:blipFill>
          <a:blip xmlns:r="http://schemas.openxmlformats.org/officeDocument/2006/relationships" r:embed="rId9"/>
          <a:stretch>
            <a:fillRect/>
          </a:stretch>
        </xdr:blipFill>
        <xdr:spPr>
          <a:xfrm>
            <a:off x="609600" y="32014886"/>
            <a:ext cx="6839905" cy="543001"/>
          </a:xfrm>
          <a:prstGeom prst="rect">
            <a:avLst/>
          </a:prstGeom>
        </xdr:spPr>
      </xdr:pic>
    </xdr:grpSp>
    <xdr:clientData/>
  </xdr:twoCellAnchor>
  <xdr:twoCellAnchor editAs="oneCell">
    <xdr:from>
      <xdr:col>1</xdr:col>
      <xdr:colOff>1</xdr:colOff>
      <xdr:row>237</xdr:row>
      <xdr:rowOff>0</xdr:rowOff>
    </xdr:from>
    <xdr:to>
      <xdr:col>7</xdr:col>
      <xdr:colOff>1</xdr:colOff>
      <xdr:row>243</xdr:row>
      <xdr:rowOff>91853</xdr:rowOff>
    </xdr:to>
    <xdr:pic>
      <xdr:nvPicPr>
        <xdr:cNvPr id="13" name="Picture 12">
          <a:extLst>
            <a:ext uri="{FF2B5EF4-FFF2-40B4-BE49-F238E27FC236}">
              <a16:creationId xmlns:a16="http://schemas.microsoft.com/office/drawing/2014/main" id="{27D89257-08EC-62C8-41DF-1834D52450B7}"/>
            </a:ext>
          </a:extLst>
        </xdr:cNvPr>
        <xdr:cNvPicPr>
          <a:picLocks noChangeAspect="1"/>
        </xdr:cNvPicPr>
      </xdr:nvPicPr>
      <xdr:blipFill>
        <a:blip xmlns:r="http://schemas.openxmlformats.org/officeDocument/2006/relationships" r:embed="rId10"/>
        <a:stretch>
          <a:fillRect/>
        </a:stretch>
      </xdr:blipFill>
      <xdr:spPr>
        <a:xfrm>
          <a:off x="612914" y="35615217"/>
          <a:ext cx="3677478" cy="986375"/>
        </a:xfrm>
        <a:prstGeom prst="rect">
          <a:avLst/>
        </a:prstGeom>
      </xdr:spPr>
    </xdr:pic>
    <xdr:clientData/>
  </xdr:twoCellAnchor>
  <xdr:twoCellAnchor editAs="oneCell">
    <xdr:from>
      <xdr:col>1</xdr:col>
      <xdr:colOff>0</xdr:colOff>
      <xdr:row>246</xdr:row>
      <xdr:rowOff>1</xdr:rowOff>
    </xdr:from>
    <xdr:to>
      <xdr:col>7</xdr:col>
      <xdr:colOff>44284</xdr:colOff>
      <xdr:row>266</xdr:row>
      <xdr:rowOff>1</xdr:rowOff>
    </xdr:to>
    <xdr:pic>
      <xdr:nvPicPr>
        <xdr:cNvPr id="14" name="Picture 13">
          <a:extLst>
            <a:ext uri="{FF2B5EF4-FFF2-40B4-BE49-F238E27FC236}">
              <a16:creationId xmlns:a16="http://schemas.microsoft.com/office/drawing/2014/main" id="{8CAD95B0-9409-DAA9-DDB7-DB2EF9238395}"/>
            </a:ext>
          </a:extLst>
        </xdr:cNvPr>
        <xdr:cNvPicPr>
          <a:picLocks noChangeAspect="1"/>
        </xdr:cNvPicPr>
      </xdr:nvPicPr>
      <xdr:blipFill>
        <a:blip xmlns:r="http://schemas.openxmlformats.org/officeDocument/2006/relationships" r:embed="rId11"/>
        <a:stretch>
          <a:fillRect/>
        </a:stretch>
      </xdr:blipFill>
      <xdr:spPr>
        <a:xfrm>
          <a:off x="612321" y="37065858"/>
          <a:ext cx="3718213" cy="2993572"/>
        </a:xfrm>
        <a:prstGeom prst="rect">
          <a:avLst/>
        </a:prstGeom>
      </xdr:spPr>
    </xdr:pic>
    <xdr:clientData/>
  </xdr:twoCellAnchor>
  <xdr:twoCellAnchor editAs="oneCell">
    <xdr:from>
      <xdr:col>1</xdr:col>
      <xdr:colOff>1</xdr:colOff>
      <xdr:row>290</xdr:row>
      <xdr:rowOff>1</xdr:rowOff>
    </xdr:from>
    <xdr:to>
      <xdr:col>7</xdr:col>
      <xdr:colOff>1</xdr:colOff>
      <xdr:row>295</xdr:row>
      <xdr:rowOff>23315</xdr:rowOff>
    </xdr:to>
    <xdr:pic>
      <xdr:nvPicPr>
        <xdr:cNvPr id="15" name="Picture 14">
          <a:extLst>
            <a:ext uri="{FF2B5EF4-FFF2-40B4-BE49-F238E27FC236}">
              <a16:creationId xmlns:a16="http://schemas.microsoft.com/office/drawing/2014/main" id="{933D89B1-0A8D-BFF1-F719-16224F0EE6B6}"/>
            </a:ext>
          </a:extLst>
        </xdr:cNvPr>
        <xdr:cNvPicPr>
          <a:picLocks noChangeAspect="1"/>
        </xdr:cNvPicPr>
      </xdr:nvPicPr>
      <xdr:blipFill>
        <a:blip xmlns:r="http://schemas.openxmlformats.org/officeDocument/2006/relationships" r:embed="rId12"/>
        <a:stretch>
          <a:fillRect/>
        </a:stretch>
      </xdr:blipFill>
      <xdr:spPr>
        <a:xfrm>
          <a:off x="609601" y="44405551"/>
          <a:ext cx="3657600" cy="785314"/>
        </a:xfrm>
        <a:prstGeom prst="rect">
          <a:avLst/>
        </a:prstGeom>
      </xdr:spPr>
    </xdr:pic>
    <xdr:clientData/>
  </xdr:twoCellAnchor>
  <xdr:twoCellAnchor editAs="oneCell">
    <xdr:from>
      <xdr:col>1</xdr:col>
      <xdr:colOff>0</xdr:colOff>
      <xdr:row>296</xdr:row>
      <xdr:rowOff>0</xdr:rowOff>
    </xdr:from>
    <xdr:to>
      <xdr:col>7</xdr:col>
      <xdr:colOff>0</xdr:colOff>
      <xdr:row>306</xdr:row>
      <xdr:rowOff>46760</xdr:rowOff>
    </xdr:to>
    <xdr:pic>
      <xdr:nvPicPr>
        <xdr:cNvPr id="16" name="Picture 15">
          <a:extLst>
            <a:ext uri="{FF2B5EF4-FFF2-40B4-BE49-F238E27FC236}">
              <a16:creationId xmlns:a16="http://schemas.microsoft.com/office/drawing/2014/main" id="{8F3EA029-5826-69B8-6986-2FFF37D2674B}"/>
            </a:ext>
          </a:extLst>
        </xdr:cNvPr>
        <xdr:cNvPicPr>
          <a:picLocks noChangeAspect="1"/>
        </xdr:cNvPicPr>
      </xdr:nvPicPr>
      <xdr:blipFill>
        <a:blip xmlns:r="http://schemas.openxmlformats.org/officeDocument/2006/relationships" r:embed="rId13"/>
        <a:stretch>
          <a:fillRect/>
        </a:stretch>
      </xdr:blipFill>
      <xdr:spPr>
        <a:xfrm>
          <a:off x="609600" y="45319950"/>
          <a:ext cx="3657600" cy="1570760"/>
        </a:xfrm>
        <a:prstGeom prst="rect">
          <a:avLst/>
        </a:prstGeom>
      </xdr:spPr>
    </xdr:pic>
    <xdr:clientData/>
  </xdr:twoCellAnchor>
  <xdr:twoCellAnchor editAs="oneCell">
    <xdr:from>
      <xdr:col>1</xdr:col>
      <xdr:colOff>0</xdr:colOff>
      <xdr:row>316</xdr:row>
      <xdr:rowOff>150394</xdr:rowOff>
    </xdr:from>
    <xdr:to>
      <xdr:col>7</xdr:col>
      <xdr:colOff>0</xdr:colOff>
      <xdr:row>336</xdr:row>
      <xdr:rowOff>98</xdr:rowOff>
    </xdr:to>
    <xdr:pic>
      <xdr:nvPicPr>
        <xdr:cNvPr id="17" name="Picture 16">
          <a:extLst>
            <a:ext uri="{FF2B5EF4-FFF2-40B4-BE49-F238E27FC236}">
              <a16:creationId xmlns:a16="http://schemas.microsoft.com/office/drawing/2014/main" id="{FA8AF4E2-2098-7F64-E600-60EF9DA3EE4E}"/>
            </a:ext>
          </a:extLst>
        </xdr:cNvPr>
        <xdr:cNvPicPr>
          <a:picLocks noChangeAspect="1"/>
        </xdr:cNvPicPr>
      </xdr:nvPicPr>
      <xdr:blipFill>
        <a:blip xmlns:r="http://schemas.openxmlformats.org/officeDocument/2006/relationships" r:embed="rId14"/>
        <a:stretch>
          <a:fillRect/>
        </a:stretch>
      </xdr:blipFill>
      <xdr:spPr>
        <a:xfrm>
          <a:off x="606136" y="49316712"/>
          <a:ext cx="3636819" cy="2963513"/>
        </a:xfrm>
        <a:prstGeom prst="rect">
          <a:avLst/>
        </a:prstGeom>
      </xdr:spPr>
    </xdr:pic>
    <xdr:clientData/>
  </xdr:twoCellAnchor>
  <xdr:twoCellAnchor editAs="oneCell">
    <xdr:from>
      <xdr:col>1</xdr:col>
      <xdr:colOff>0</xdr:colOff>
      <xdr:row>355</xdr:row>
      <xdr:rowOff>0</xdr:rowOff>
    </xdr:from>
    <xdr:to>
      <xdr:col>7</xdr:col>
      <xdr:colOff>0</xdr:colOff>
      <xdr:row>370</xdr:row>
      <xdr:rowOff>54671</xdr:rowOff>
    </xdr:to>
    <xdr:pic>
      <xdr:nvPicPr>
        <xdr:cNvPr id="18" name="Picture 17">
          <a:extLst>
            <a:ext uri="{FF2B5EF4-FFF2-40B4-BE49-F238E27FC236}">
              <a16:creationId xmlns:a16="http://schemas.microsoft.com/office/drawing/2014/main" id="{FBDE0FB7-DA63-B8C0-4D51-566A857F8D19}"/>
            </a:ext>
          </a:extLst>
        </xdr:cNvPr>
        <xdr:cNvPicPr>
          <a:picLocks noChangeAspect="1"/>
        </xdr:cNvPicPr>
      </xdr:nvPicPr>
      <xdr:blipFill>
        <a:blip xmlns:r="http://schemas.openxmlformats.org/officeDocument/2006/relationships" r:embed="rId15"/>
        <a:stretch>
          <a:fillRect/>
        </a:stretch>
      </xdr:blipFill>
      <xdr:spPr>
        <a:xfrm>
          <a:off x="606136" y="55245000"/>
          <a:ext cx="3636819" cy="2392626"/>
        </a:xfrm>
        <a:prstGeom prst="rect">
          <a:avLst/>
        </a:prstGeom>
      </xdr:spPr>
    </xdr:pic>
    <xdr:clientData/>
  </xdr:twoCellAnchor>
  <xdr:twoCellAnchor editAs="oneCell">
    <xdr:from>
      <xdr:col>1</xdr:col>
      <xdr:colOff>0</xdr:colOff>
      <xdr:row>398</xdr:row>
      <xdr:rowOff>0</xdr:rowOff>
    </xdr:from>
    <xdr:to>
      <xdr:col>7</xdr:col>
      <xdr:colOff>0</xdr:colOff>
      <xdr:row>414</xdr:row>
      <xdr:rowOff>26336</xdr:rowOff>
    </xdr:to>
    <xdr:pic>
      <xdr:nvPicPr>
        <xdr:cNvPr id="19" name="Picture 18">
          <a:extLst>
            <a:ext uri="{FF2B5EF4-FFF2-40B4-BE49-F238E27FC236}">
              <a16:creationId xmlns:a16="http://schemas.microsoft.com/office/drawing/2014/main" id="{1549D666-601B-C690-75D5-14FAF1AA13C6}"/>
            </a:ext>
          </a:extLst>
        </xdr:cNvPr>
        <xdr:cNvPicPr>
          <a:picLocks noChangeAspect="1"/>
        </xdr:cNvPicPr>
      </xdr:nvPicPr>
      <xdr:blipFill>
        <a:blip xmlns:r="http://schemas.openxmlformats.org/officeDocument/2006/relationships" r:embed="rId16"/>
        <a:stretch>
          <a:fillRect/>
        </a:stretch>
      </xdr:blipFill>
      <xdr:spPr>
        <a:xfrm>
          <a:off x="605118" y="62506412"/>
          <a:ext cx="3630706" cy="2536453"/>
        </a:xfrm>
        <a:prstGeom prst="rect">
          <a:avLst/>
        </a:prstGeom>
      </xdr:spPr>
    </xdr:pic>
    <xdr:clientData/>
  </xdr:twoCellAnchor>
  <xdr:twoCellAnchor editAs="oneCell">
    <xdr:from>
      <xdr:col>1</xdr:col>
      <xdr:colOff>1</xdr:colOff>
      <xdr:row>417</xdr:row>
      <xdr:rowOff>0</xdr:rowOff>
    </xdr:from>
    <xdr:to>
      <xdr:col>7</xdr:col>
      <xdr:colOff>31172</xdr:colOff>
      <xdr:row>444</xdr:row>
      <xdr:rowOff>0</xdr:rowOff>
    </xdr:to>
    <xdr:pic>
      <xdr:nvPicPr>
        <xdr:cNvPr id="20" name="Picture 19">
          <a:extLst>
            <a:ext uri="{FF2B5EF4-FFF2-40B4-BE49-F238E27FC236}">
              <a16:creationId xmlns:a16="http://schemas.microsoft.com/office/drawing/2014/main" id="{FEB412A2-732B-B999-F936-156F43EB79B0}"/>
            </a:ext>
          </a:extLst>
        </xdr:cNvPr>
        <xdr:cNvPicPr>
          <a:picLocks noChangeAspect="1"/>
        </xdr:cNvPicPr>
      </xdr:nvPicPr>
      <xdr:blipFill>
        <a:blip xmlns:r="http://schemas.openxmlformats.org/officeDocument/2006/relationships" r:embed="rId17"/>
        <a:stretch>
          <a:fillRect/>
        </a:stretch>
      </xdr:blipFill>
      <xdr:spPr>
        <a:xfrm>
          <a:off x="606137" y="65064409"/>
          <a:ext cx="3667990" cy="42083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0</xdr:colOff>
      <xdr:row>17</xdr:row>
      <xdr:rowOff>29199</xdr:rowOff>
    </xdr:to>
    <xdr:pic>
      <xdr:nvPicPr>
        <xdr:cNvPr id="2" name="Picture 1">
          <a:extLst>
            <a:ext uri="{FF2B5EF4-FFF2-40B4-BE49-F238E27FC236}">
              <a16:creationId xmlns:a16="http://schemas.microsoft.com/office/drawing/2014/main" id="{A8859534-DC7A-C04E-842E-D5B76D18F543}"/>
            </a:ext>
          </a:extLst>
        </xdr:cNvPr>
        <xdr:cNvPicPr>
          <a:picLocks noChangeAspect="1"/>
        </xdr:cNvPicPr>
      </xdr:nvPicPr>
      <xdr:blipFill>
        <a:blip xmlns:r="http://schemas.openxmlformats.org/officeDocument/2006/relationships" r:embed="rId1"/>
        <a:stretch>
          <a:fillRect/>
        </a:stretch>
      </xdr:blipFill>
      <xdr:spPr>
        <a:xfrm>
          <a:off x="612321" y="340179"/>
          <a:ext cx="3673929" cy="2274377"/>
        </a:xfrm>
        <a:prstGeom prst="rect">
          <a:avLst/>
        </a:prstGeom>
      </xdr:spPr>
    </xdr:pic>
    <xdr:clientData/>
  </xdr:twoCellAnchor>
  <xdr:twoCellAnchor editAs="oneCell">
    <xdr:from>
      <xdr:col>1</xdr:col>
      <xdr:colOff>0</xdr:colOff>
      <xdr:row>18</xdr:row>
      <xdr:rowOff>0</xdr:rowOff>
    </xdr:from>
    <xdr:to>
      <xdr:col>7</xdr:col>
      <xdr:colOff>0</xdr:colOff>
      <xdr:row>24</xdr:row>
      <xdr:rowOff>100255</xdr:rowOff>
    </xdr:to>
    <xdr:pic>
      <xdr:nvPicPr>
        <xdr:cNvPr id="3" name="Picture 2">
          <a:extLst>
            <a:ext uri="{FF2B5EF4-FFF2-40B4-BE49-F238E27FC236}">
              <a16:creationId xmlns:a16="http://schemas.microsoft.com/office/drawing/2014/main" id="{7EBE91DD-6A78-E741-592D-498BD5EF3705}"/>
            </a:ext>
          </a:extLst>
        </xdr:cNvPr>
        <xdr:cNvPicPr>
          <a:picLocks noChangeAspect="1"/>
        </xdr:cNvPicPr>
      </xdr:nvPicPr>
      <xdr:blipFill>
        <a:blip xmlns:r="http://schemas.openxmlformats.org/officeDocument/2006/relationships" r:embed="rId2"/>
        <a:stretch>
          <a:fillRect/>
        </a:stretch>
      </xdr:blipFill>
      <xdr:spPr>
        <a:xfrm>
          <a:off x="612913" y="2724978"/>
          <a:ext cx="3677478" cy="9947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48</xdr:row>
      <xdr:rowOff>0</xdr:rowOff>
    </xdr:from>
    <xdr:to>
      <xdr:col>7</xdr:col>
      <xdr:colOff>1</xdr:colOff>
      <xdr:row>59</xdr:row>
      <xdr:rowOff>21381</xdr:rowOff>
    </xdr:to>
    <xdr:pic>
      <xdr:nvPicPr>
        <xdr:cNvPr id="2" name="Picture 1">
          <a:extLst>
            <a:ext uri="{FF2B5EF4-FFF2-40B4-BE49-F238E27FC236}">
              <a16:creationId xmlns:a16="http://schemas.microsoft.com/office/drawing/2014/main" id="{0C0DE850-F505-8169-04C0-A6B940003F5A}"/>
            </a:ext>
          </a:extLst>
        </xdr:cNvPr>
        <xdr:cNvPicPr>
          <a:picLocks noChangeAspect="1"/>
        </xdr:cNvPicPr>
      </xdr:nvPicPr>
      <xdr:blipFill>
        <a:blip xmlns:r="http://schemas.openxmlformats.org/officeDocument/2006/relationships" r:embed="rId1"/>
        <a:stretch>
          <a:fillRect/>
        </a:stretch>
      </xdr:blipFill>
      <xdr:spPr>
        <a:xfrm>
          <a:off x="609601" y="7353300"/>
          <a:ext cx="3657600" cy="16977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225</xdr:row>
      <xdr:rowOff>0</xdr:rowOff>
    </xdr:from>
    <xdr:to>
      <xdr:col>11</xdr:col>
      <xdr:colOff>343799</xdr:colOff>
      <xdr:row>232</xdr:row>
      <xdr:rowOff>38254</xdr:rowOff>
    </xdr:to>
    <xdr:pic>
      <xdr:nvPicPr>
        <xdr:cNvPr id="2" name="Picture 1">
          <a:extLst>
            <a:ext uri="{FF2B5EF4-FFF2-40B4-BE49-F238E27FC236}">
              <a16:creationId xmlns:a16="http://schemas.microsoft.com/office/drawing/2014/main" id="{3C0622E2-AF35-DED3-414D-76F70F50AA40}"/>
            </a:ext>
          </a:extLst>
        </xdr:cNvPr>
        <xdr:cNvPicPr>
          <a:picLocks noChangeAspect="1"/>
        </xdr:cNvPicPr>
      </xdr:nvPicPr>
      <xdr:blipFill>
        <a:blip xmlns:r="http://schemas.openxmlformats.org/officeDocument/2006/relationships" r:embed="rId1"/>
        <a:stretch>
          <a:fillRect/>
        </a:stretch>
      </xdr:blipFill>
      <xdr:spPr>
        <a:xfrm>
          <a:off x="609600" y="647700"/>
          <a:ext cx="6439799" cy="1105054"/>
        </a:xfrm>
        <a:prstGeom prst="rect">
          <a:avLst/>
        </a:prstGeom>
      </xdr:spPr>
    </xdr:pic>
    <xdr:clientData/>
  </xdr:twoCellAnchor>
  <xdr:twoCellAnchor editAs="oneCell">
    <xdr:from>
      <xdr:col>1</xdr:col>
      <xdr:colOff>0</xdr:colOff>
      <xdr:row>264</xdr:row>
      <xdr:rowOff>0</xdr:rowOff>
    </xdr:from>
    <xdr:to>
      <xdr:col>11</xdr:col>
      <xdr:colOff>172325</xdr:colOff>
      <xdr:row>295</xdr:row>
      <xdr:rowOff>105449</xdr:rowOff>
    </xdr:to>
    <xdr:pic>
      <xdr:nvPicPr>
        <xdr:cNvPr id="3" name="Picture 2">
          <a:extLst>
            <a:ext uri="{FF2B5EF4-FFF2-40B4-BE49-F238E27FC236}">
              <a16:creationId xmlns:a16="http://schemas.microsoft.com/office/drawing/2014/main" id="{17F8882E-45E1-76E0-6FA0-417E203CA9EE}"/>
            </a:ext>
          </a:extLst>
        </xdr:cNvPr>
        <xdr:cNvPicPr>
          <a:picLocks noChangeAspect="1"/>
        </xdr:cNvPicPr>
      </xdr:nvPicPr>
      <xdr:blipFill>
        <a:blip xmlns:r="http://schemas.openxmlformats.org/officeDocument/2006/relationships" r:embed="rId2"/>
        <a:stretch>
          <a:fillRect/>
        </a:stretch>
      </xdr:blipFill>
      <xdr:spPr>
        <a:xfrm>
          <a:off x="609600" y="6591300"/>
          <a:ext cx="6268325" cy="48298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4647</xdr:colOff>
      <xdr:row>46</xdr:row>
      <xdr:rowOff>153329</xdr:rowOff>
    </xdr:from>
    <xdr:to>
      <xdr:col>7</xdr:col>
      <xdr:colOff>0</xdr:colOff>
      <xdr:row>63</xdr:row>
      <xdr:rowOff>35310</xdr:rowOff>
    </xdr:to>
    <xdr:pic>
      <xdr:nvPicPr>
        <xdr:cNvPr id="2" name="Picture 1">
          <a:extLst>
            <a:ext uri="{FF2B5EF4-FFF2-40B4-BE49-F238E27FC236}">
              <a16:creationId xmlns:a16="http://schemas.microsoft.com/office/drawing/2014/main" id="{9CFB8532-B690-BD86-49C5-ABDA1B05ABA8}"/>
            </a:ext>
          </a:extLst>
        </xdr:cNvPr>
        <xdr:cNvPicPr>
          <a:picLocks noChangeAspect="1"/>
        </xdr:cNvPicPr>
      </xdr:nvPicPr>
      <xdr:blipFill>
        <a:blip xmlns:r="http://schemas.openxmlformats.org/officeDocument/2006/relationships" r:embed="rId1"/>
        <a:stretch>
          <a:fillRect/>
        </a:stretch>
      </xdr:blipFill>
      <xdr:spPr>
        <a:xfrm>
          <a:off x="610783" y="7357693"/>
          <a:ext cx="3632172" cy="25316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NREP%20Solv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fo"/>
      <sheetName val="OCI"/>
      <sheetName val="Consol"/>
      <sheetName val="Profit and Loss"/>
      <sheetName val="ETB"/>
      <sheetName val="SoFP"/>
      <sheetName val="Consol New"/>
      <sheetName val="FV adjustments (consol)"/>
      <sheetName val="Associates &amp; JVs"/>
      <sheetName val="Accounting for investments"/>
      <sheetName val="Fair value model"/>
      <sheetName val="FV Measurement"/>
      <sheetName val="PPE"/>
      <sheetName val="Investment Property"/>
      <sheetName val="Held for sale"/>
      <sheetName val="Discontinued Operations"/>
      <sheetName val="Intangibles"/>
      <sheetName val="Tax"/>
      <sheetName val="Deferred tax"/>
      <sheetName val="Directors remuneration"/>
      <sheetName val="Contracts"/>
      <sheetName val="Provisions"/>
      <sheetName val="FX consolidation"/>
      <sheetName val="Impairment"/>
      <sheetName val="Financial Assets"/>
      <sheetName val="Financial Liabilities"/>
      <sheetName val="ECL"/>
      <sheetName val="Consolidation Exemptions"/>
      <sheetName val="Control over an entity"/>
      <sheetName val="Investments"/>
      <sheetName val="Inventory"/>
      <sheetName val="Leases"/>
      <sheetName val="Inputs"/>
      <sheetName val="Standards"/>
      <sheetName val="AK -&gt;"/>
      <sheetName val="Adjustments for cash flow"/>
      <sheetName val="SCF (Direct)"/>
      <sheetName val="SCF (Indirect)"/>
      <sheetName val="Distributable profits"/>
      <sheetName val="Staff costs"/>
      <sheetName val="Share based payments"/>
      <sheetName val="Repurchase of shares"/>
      <sheetName val="Issue of shares"/>
      <sheetName val="Statement of changes in Equity"/>
      <sheetName val="Grant Income"/>
      <sheetName val="Varia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5">
          <cell r="K15">
            <v>0</v>
          </cell>
        </row>
      </sheetData>
      <sheetData sheetId="37"/>
      <sheetData sheetId="38"/>
      <sheetData sheetId="39"/>
      <sheetData sheetId="40"/>
      <sheetData sheetId="41"/>
      <sheetData sheetId="42"/>
      <sheetData sheetId="43"/>
      <sheetData sheetId="44"/>
      <sheetData sheetId="45"/>
      <sheetData sheetId="4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F59E-9369-4B2E-B0F0-3CCDE6E1782C}">
  <sheetPr codeName="Sheet1"/>
  <dimension ref="B2"/>
  <sheetViews>
    <sheetView workbookViewId="0">
      <selection activeCell="E20" sqref="E20"/>
    </sheetView>
  </sheetViews>
  <sheetFormatPr defaultRowHeight="15" x14ac:dyDescent="0.25"/>
  <cols>
    <col min="2" max="2" width="10.28515625" bestFit="1" customWidth="1"/>
  </cols>
  <sheetData>
    <row r="2" spans="2:2" x14ac:dyDescent="0.25">
      <c r="B2" s="2" t="s">
        <v>2</v>
      </c>
    </row>
  </sheetData>
  <hyperlinks>
    <hyperlink ref="B2" location="'Module 24'!A1" display="Module 24" xr:uid="{B8F4BD7C-F442-4E8D-AF34-7DBB73B624C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80A1E-8B72-49D9-B517-DB7D6EA724FF}">
  <sheetPr codeName="Sheet2"/>
  <dimension ref="A1:K470"/>
  <sheetViews>
    <sheetView zoomScale="145" zoomScaleNormal="145" workbookViewId="0"/>
  </sheetViews>
  <sheetFormatPr defaultRowHeight="12" x14ac:dyDescent="0.2"/>
  <cols>
    <col min="1" max="16384" width="9.140625" style="1"/>
  </cols>
  <sheetData>
    <row r="1" spans="1:2" ht="15" x14ac:dyDescent="0.25">
      <c r="A1" s="2" t="s">
        <v>0</v>
      </c>
    </row>
    <row r="2" spans="1:2" ht="15" x14ac:dyDescent="0.25">
      <c r="B2" t="s">
        <v>1</v>
      </c>
    </row>
    <row r="4" spans="1:2" x14ac:dyDescent="0.2">
      <c r="B4" s="1" t="s">
        <v>3</v>
      </c>
    </row>
    <row r="6" spans="1:2" x14ac:dyDescent="0.2">
      <c r="B6" s="1" t="s">
        <v>4</v>
      </c>
    </row>
    <row r="8" spans="1:2" x14ac:dyDescent="0.2">
      <c r="B8" s="1" t="s">
        <v>5</v>
      </c>
    </row>
    <row r="9" spans="1:2" x14ac:dyDescent="0.2">
      <c r="B9" s="1" t="s">
        <v>6</v>
      </c>
    </row>
    <row r="10" spans="1:2" x14ac:dyDescent="0.2">
      <c r="B10" s="1" t="s">
        <v>7</v>
      </c>
    </row>
    <row r="11" spans="1:2" x14ac:dyDescent="0.2">
      <c r="B11" s="1" t="s">
        <v>8</v>
      </c>
    </row>
    <row r="13" spans="1:2" x14ac:dyDescent="0.2">
      <c r="B13" s="1" t="s">
        <v>9</v>
      </c>
    </row>
    <row r="14" spans="1:2" x14ac:dyDescent="0.2">
      <c r="B14" s="1" t="s">
        <v>10</v>
      </c>
    </row>
    <row r="15" spans="1:2" x14ac:dyDescent="0.2">
      <c r="B15" s="1" t="s">
        <v>11</v>
      </c>
    </row>
    <row r="21" spans="2:2" x14ac:dyDescent="0.2">
      <c r="B21" s="1" t="s">
        <v>12</v>
      </c>
    </row>
    <row r="22" spans="2:2" x14ac:dyDescent="0.2">
      <c r="B22" s="1" t="s">
        <v>13</v>
      </c>
    </row>
    <row r="23" spans="2:2" x14ac:dyDescent="0.2">
      <c r="B23" s="1" t="s">
        <v>14</v>
      </c>
    </row>
    <row r="30" spans="2:2" x14ac:dyDescent="0.2">
      <c r="B30" s="1" t="s">
        <v>15</v>
      </c>
    </row>
    <row r="47" spans="2:2" x14ac:dyDescent="0.2">
      <c r="B47" s="1" t="s">
        <v>16</v>
      </c>
    </row>
    <row r="49" spans="2:2" x14ac:dyDescent="0.2">
      <c r="B49" s="1" t="s">
        <v>17</v>
      </c>
    </row>
    <row r="50" spans="2:2" x14ac:dyDescent="0.2">
      <c r="B50" s="1" t="s">
        <v>18</v>
      </c>
    </row>
    <row r="51" spans="2:2" x14ac:dyDescent="0.2">
      <c r="B51" s="1" t="s">
        <v>19</v>
      </c>
    </row>
    <row r="84" spans="2:2" x14ac:dyDescent="0.2">
      <c r="B84" s="1" t="s">
        <v>24</v>
      </c>
    </row>
    <row r="85" spans="2:2" x14ac:dyDescent="0.2">
      <c r="B85" s="1" t="s">
        <v>20</v>
      </c>
    </row>
    <row r="86" spans="2:2" x14ac:dyDescent="0.2">
      <c r="B86" s="1" t="s">
        <v>22</v>
      </c>
    </row>
    <row r="87" spans="2:2" x14ac:dyDescent="0.2">
      <c r="B87" s="1" t="s">
        <v>23</v>
      </c>
    </row>
    <row r="89" spans="2:2" x14ac:dyDescent="0.2">
      <c r="B89" s="1" t="s">
        <v>25</v>
      </c>
    </row>
    <row r="90" spans="2:2" x14ac:dyDescent="0.2">
      <c r="B90" s="1" t="s">
        <v>21</v>
      </c>
    </row>
    <row r="92" spans="2:2" x14ac:dyDescent="0.2">
      <c r="B92" s="1" t="s">
        <v>26</v>
      </c>
    </row>
    <row r="99" spans="2:2" x14ac:dyDescent="0.2">
      <c r="B99" s="1" t="s">
        <v>27</v>
      </c>
    </row>
    <row r="102" spans="2:2" x14ac:dyDescent="0.2">
      <c r="B102" s="1" t="s">
        <v>28</v>
      </c>
    </row>
    <row r="104" spans="2:2" x14ac:dyDescent="0.2">
      <c r="B104" s="1" t="s">
        <v>29</v>
      </c>
    </row>
    <row r="105" spans="2:2" x14ac:dyDescent="0.2">
      <c r="B105" s="1" t="s">
        <v>30</v>
      </c>
    </row>
    <row r="106" spans="2:2" x14ac:dyDescent="0.2">
      <c r="B106" s="1" t="s">
        <v>31</v>
      </c>
    </row>
    <row r="108" spans="2:2" x14ac:dyDescent="0.2">
      <c r="B108" s="1" t="s">
        <v>32</v>
      </c>
    </row>
    <row r="110" spans="2:2" x14ac:dyDescent="0.2">
      <c r="B110" s="1" t="s">
        <v>33</v>
      </c>
    </row>
    <row r="111" spans="2:2" x14ac:dyDescent="0.2">
      <c r="B111" s="1" t="s">
        <v>34</v>
      </c>
    </row>
    <row r="126" spans="2:2" x14ac:dyDescent="0.2">
      <c r="B126" s="1" t="s">
        <v>35</v>
      </c>
    </row>
    <row r="129" spans="2:4" x14ac:dyDescent="0.2">
      <c r="B129" s="5" t="s">
        <v>36</v>
      </c>
    </row>
    <row r="130" spans="2:4" x14ac:dyDescent="0.2">
      <c r="B130" s="1" t="s">
        <v>37</v>
      </c>
      <c r="D130" s="6">
        <v>235</v>
      </c>
    </row>
    <row r="131" spans="2:4" x14ac:dyDescent="0.2">
      <c r="B131" s="1" t="s">
        <v>40</v>
      </c>
      <c r="D131" s="6">
        <v>-14</v>
      </c>
    </row>
    <row r="132" spans="2:4" x14ac:dyDescent="0.2">
      <c r="B132" s="1" t="s">
        <v>41</v>
      </c>
      <c r="D132" s="6">
        <v>-15</v>
      </c>
    </row>
    <row r="133" spans="2:4" x14ac:dyDescent="0.2">
      <c r="B133" s="1" t="s">
        <v>38</v>
      </c>
      <c r="D133" s="6">
        <v>1200</v>
      </c>
    </row>
    <row r="134" spans="2:4" x14ac:dyDescent="0.2">
      <c r="D134" s="6">
        <f>SUM(D130:D133)</f>
        <v>1406</v>
      </c>
    </row>
    <row r="135" spans="2:4" x14ac:dyDescent="0.2">
      <c r="B135" s="1" t="s">
        <v>39</v>
      </c>
      <c r="D135" s="6">
        <v>259</v>
      </c>
    </row>
    <row r="136" spans="2:4" ht="12.75" thickBot="1" x14ac:dyDescent="0.25">
      <c r="B136" s="1" t="s">
        <v>42</v>
      </c>
      <c r="D136" s="7">
        <f>+D134-D135</f>
        <v>1147</v>
      </c>
    </row>
    <row r="137" spans="2:4" ht="12.75" thickTop="1" x14ac:dyDescent="0.2"/>
    <row r="141" spans="2:4" x14ac:dyDescent="0.2">
      <c r="B141" s="1" t="s">
        <v>43</v>
      </c>
    </row>
    <row r="142" spans="2:4" x14ac:dyDescent="0.2">
      <c r="B142" s="1" t="s">
        <v>44</v>
      </c>
      <c r="D142" s="1" t="s">
        <v>46</v>
      </c>
    </row>
    <row r="143" spans="2:4" x14ac:dyDescent="0.2">
      <c r="B143" s="1" t="s">
        <v>45</v>
      </c>
      <c r="D143" s="1" t="s">
        <v>46</v>
      </c>
    </row>
    <row r="144" spans="2:4" x14ac:dyDescent="0.2">
      <c r="B144" s="1" t="s">
        <v>47</v>
      </c>
      <c r="D144" s="1" t="s">
        <v>48</v>
      </c>
    </row>
    <row r="145" spans="2:5" ht="12.75" thickBot="1" x14ac:dyDescent="0.25">
      <c r="B145" s="1" t="s">
        <v>43</v>
      </c>
      <c r="D145" s="3" t="s">
        <v>46</v>
      </c>
    </row>
    <row r="146" spans="2:5" ht="12.75" thickTop="1" x14ac:dyDescent="0.2"/>
    <row r="147" spans="2:5" x14ac:dyDescent="0.2">
      <c r="B147" s="1" t="s">
        <v>49</v>
      </c>
      <c r="D147" s="1" t="s">
        <v>46</v>
      </c>
    </row>
    <row r="148" spans="2:5" x14ac:dyDescent="0.2">
      <c r="B148" s="1" t="s">
        <v>50</v>
      </c>
      <c r="D148" s="1" t="s">
        <v>48</v>
      </c>
    </row>
    <row r="149" spans="2:5" x14ac:dyDescent="0.2">
      <c r="B149" s="1" t="s">
        <v>51</v>
      </c>
      <c r="D149" s="1" t="s">
        <v>46</v>
      </c>
    </row>
    <row r="150" spans="2:5" ht="12.75" thickBot="1" x14ac:dyDescent="0.25">
      <c r="B150" s="1" t="s">
        <v>52</v>
      </c>
      <c r="D150" s="3" t="s">
        <v>46</v>
      </c>
    </row>
    <row r="151" spans="2:5" ht="12.75" thickTop="1" x14ac:dyDescent="0.2"/>
    <row r="154" spans="2:5" x14ac:dyDescent="0.2">
      <c r="B154" s="1" t="s">
        <v>61</v>
      </c>
    </row>
    <row r="155" spans="2:5" x14ac:dyDescent="0.2">
      <c r="B155" s="1">
        <v>1</v>
      </c>
    </row>
    <row r="156" spans="2:5" x14ac:dyDescent="0.2">
      <c r="B156" s="1" t="s">
        <v>53</v>
      </c>
      <c r="D156" s="6">
        <f>138+21-4+60</f>
        <v>215</v>
      </c>
    </row>
    <row r="157" spans="2:5" x14ac:dyDescent="0.2">
      <c r="B157" s="1" t="s">
        <v>54</v>
      </c>
      <c r="D157" s="6">
        <f>840-140+160</f>
        <v>860</v>
      </c>
    </row>
    <row r="158" spans="2:5" x14ac:dyDescent="0.2">
      <c r="B158" s="1" t="s">
        <v>55</v>
      </c>
      <c r="D158" s="6">
        <v>40</v>
      </c>
    </row>
    <row r="159" spans="2:5" x14ac:dyDescent="0.2">
      <c r="B159" s="1" t="s">
        <v>56</v>
      </c>
      <c r="D159" s="6">
        <f>80-36-14-15+6</f>
        <v>21</v>
      </c>
      <c r="E159" s="1" t="s">
        <v>62</v>
      </c>
    </row>
    <row r="160" spans="2:5" x14ac:dyDescent="0.2">
      <c r="D160" s="6">
        <f>SUM(D156:D159)</f>
        <v>1136</v>
      </c>
    </row>
    <row r="161" spans="2:4" x14ac:dyDescent="0.2">
      <c r="B161" s="1" t="s">
        <v>57</v>
      </c>
      <c r="D161" s="6">
        <f>168+14-7+70</f>
        <v>245</v>
      </c>
    </row>
    <row r="162" spans="2:4" ht="12.75" thickBot="1" x14ac:dyDescent="0.25">
      <c r="B162" s="1" t="s">
        <v>58</v>
      </c>
      <c r="D162" s="7">
        <f>+D160-D161</f>
        <v>891</v>
      </c>
    </row>
    <row r="163" spans="2:4" ht="12.75" thickTop="1" x14ac:dyDescent="0.2">
      <c r="D163" s="6"/>
    </row>
    <row r="164" spans="2:4" x14ac:dyDescent="0.2">
      <c r="D164" s="6"/>
    </row>
    <row r="165" spans="2:4" x14ac:dyDescent="0.2">
      <c r="B165" s="4" t="s">
        <v>59</v>
      </c>
      <c r="D165" s="6"/>
    </row>
    <row r="166" spans="2:4" x14ac:dyDescent="0.2">
      <c r="B166" s="1" t="s">
        <v>42</v>
      </c>
      <c r="D166" s="6">
        <f>+D136</f>
        <v>1147</v>
      </c>
    </row>
    <row r="167" spans="2:4" x14ac:dyDescent="0.2">
      <c r="B167" s="1" t="s">
        <v>63</v>
      </c>
      <c r="D167" s="6">
        <f>-+D162</f>
        <v>-891</v>
      </c>
    </row>
    <row r="168" spans="2:4" x14ac:dyDescent="0.2">
      <c r="B168" s="1" t="s">
        <v>17</v>
      </c>
      <c r="D168" s="6">
        <f>SUM(D166:D167)</f>
        <v>256</v>
      </c>
    </row>
    <row r="171" spans="2:4" x14ac:dyDescent="0.2">
      <c r="B171" s="5" t="s">
        <v>64</v>
      </c>
    </row>
    <row r="173" spans="2:4" x14ac:dyDescent="0.2">
      <c r="B173" s="1" t="s">
        <v>65</v>
      </c>
    </row>
    <row r="200" spans="2:4" x14ac:dyDescent="0.2">
      <c r="B200" s="5" t="s">
        <v>68</v>
      </c>
    </row>
    <row r="203" spans="2:4" x14ac:dyDescent="0.2">
      <c r="B203" s="1" t="s">
        <v>66</v>
      </c>
      <c r="D203" s="8">
        <v>225</v>
      </c>
    </row>
    <row r="204" spans="2:4" x14ac:dyDescent="0.2">
      <c r="B204" s="1" t="s">
        <v>69</v>
      </c>
      <c r="D204" s="8"/>
    </row>
    <row r="205" spans="2:4" x14ac:dyDescent="0.2">
      <c r="B205" s="1" t="s">
        <v>70</v>
      </c>
      <c r="D205" s="8">
        <v>15</v>
      </c>
    </row>
    <row r="206" spans="2:4" x14ac:dyDescent="0.2">
      <c r="B206" s="1" t="s">
        <v>71</v>
      </c>
      <c r="D206" s="8">
        <v>36</v>
      </c>
    </row>
    <row r="207" spans="2:4" x14ac:dyDescent="0.2">
      <c r="B207" s="1" t="s">
        <v>72</v>
      </c>
      <c r="D207" s="8">
        <v>-6</v>
      </c>
    </row>
    <row r="208" spans="2:4" x14ac:dyDescent="0.2">
      <c r="B208" s="1" t="s">
        <v>74</v>
      </c>
      <c r="D208" s="8">
        <f>-(160-140)</f>
        <v>-20</v>
      </c>
    </row>
    <row r="209" spans="2:5" x14ac:dyDescent="0.2">
      <c r="B209" s="1" t="s">
        <v>76</v>
      </c>
      <c r="D209" s="8">
        <f>-(259-235)</f>
        <v>-24</v>
      </c>
      <c r="E209" s="1" t="s">
        <v>73</v>
      </c>
    </row>
    <row r="210" spans="2:5" x14ac:dyDescent="0.2">
      <c r="B210" s="1" t="s">
        <v>75</v>
      </c>
      <c r="D210" s="8">
        <f>-(7-4)</f>
        <v>-3</v>
      </c>
    </row>
    <row r="211" spans="2:5" x14ac:dyDescent="0.2">
      <c r="B211" s="1" t="s">
        <v>77</v>
      </c>
      <c r="D211" s="8">
        <f>168-138</f>
        <v>30</v>
      </c>
    </row>
    <row r="212" spans="2:5" x14ac:dyDescent="0.2">
      <c r="B212" s="1" t="s">
        <v>78</v>
      </c>
      <c r="D212" s="8">
        <f>(14-21)</f>
        <v>-7</v>
      </c>
    </row>
    <row r="213" spans="2:5" x14ac:dyDescent="0.2">
      <c r="B213" s="1" t="s">
        <v>79</v>
      </c>
      <c r="D213" s="8">
        <f>70-60</f>
        <v>10</v>
      </c>
    </row>
    <row r="214" spans="2:5" ht="12.75" thickBot="1" x14ac:dyDescent="0.25">
      <c r="B214" s="4" t="s">
        <v>80</v>
      </c>
      <c r="D214" s="9">
        <f>SUM(D203:D213)</f>
        <v>256</v>
      </c>
    </row>
    <row r="215" spans="2:5" ht="12.75" thickTop="1" x14ac:dyDescent="0.2"/>
    <row r="217" spans="2:5" x14ac:dyDescent="0.2">
      <c r="B217" s="1" t="s">
        <v>81</v>
      </c>
    </row>
    <row r="218" spans="2:5" x14ac:dyDescent="0.2">
      <c r="B218" s="1" t="s">
        <v>82</v>
      </c>
    </row>
    <row r="221" spans="2:5" x14ac:dyDescent="0.2">
      <c r="B221" s="5" t="s">
        <v>117</v>
      </c>
    </row>
    <row r="223" spans="2:5" x14ac:dyDescent="0.2">
      <c r="B223" s="1" t="s">
        <v>118</v>
      </c>
    </row>
    <row r="224" spans="2:5" x14ac:dyDescent="0.2">
      <c r="B224" s="1" t="s">
        <v>119</v>
      </c>
    </row>
    <row r="225" spans="2:5" x14ac:dyDescent="0.2">
      <c r="B225" s="1" t="s">
        <v>120</v>
      </c>
    </row>
    <row r="228" spans="2:5" x14ac:dyDescent="0.2">
      <c r="B228" s="1" t="s">
        <v>121</v>
      </c>
      <c r="D228" s="19" t="s">
        <v>46</v>
      </c>
      <c r="E228" s="1" t="s">
        <v>127</v>
      </c>
    </row>
    <row r="229" spans="2:5" x14ac:dyDescent="0.2">
      <c r="B229" s="1" t="s">
        <v>122</v>
      </c>
      <c r="D229" s="19" t="s">
        <v>46</v>
      </c>
      <c r="E229" s="1" t="s">
        <v>128</v>
      </c>
    </row>
    <row r="230" spans="2:5" x14ac:dyDescent="0.2">
      <c r="B230" s="1" t="s">
        <v>123</v>
      </c>
      <c r="D230" s="19" t="s">
        <v>48</v>
      </c>
      <c r="E230" s="1" t="s">
        <v>127</v>
      </c>
    </row>
    <row r="231" spans="2:5" ht="12.75" thickBot="1" x14ac:dyDescent="0.25">
      <c r="B231" s="1" t="s">
        <v>117</v>
      </c>
      <c r="D231" s="20" t="s">
        <v>46</v>
      </c>
    </row>
    <row r="232" spans="2:5" ht="12.75" thickTop="1" x14ac:dyDescent="0.2"/>
    <row r="234" spans="2:5" x14ac:dyDescent="0.2">
      <c r="B234" s="1" t="s">
        <v>124</v>
      </c>
    </row>
    <row r="235" spans="2:5" x14ac:dyDescent="0.2">
      <c r="B235" s="1" t="s">
        <v>125</v>
      </c>
    </row>
    <row r="236" spans="2:5" x14ac:dyDescent="0.2">
      <c r="B236" s="1" t="s">
        <v>126</v>
      </c>
    </row>
    <row r="268" spans="2:4" x14ac:dyDescent="0.2">
      <c r="C268" s="1" t="s">
        <v>113</v>
      </c>
      <c r="D268" s="1" t="s">
        <v>129</v>
      </c>
    </row>
    <row r="269" spans="2:4" x14ac:dyDescent="0.2">
      <c r="B269" s="1" t="s">
        <v>131</v>
      </c>
      <c r="C269" s="1">
        <v>600</v>
      </c>
      <c r="D269" s="1">
        <v>400</v>
      </c>
    </row>
    <row r="271" spans="2:4" x14ac:dyDescent="0.2">
      <c r="B271" s="1" t="s">
        <v>130</v>
      </c>
      <c r="C271" s="1">
        <v>3200</v>
      </c>
      <c r="D271" s="1">
        <v>2900</v>
      </c>
    </row>
    <row r="273" spans="2:5" x14ac:dyDescent="0.2">
      <c r="C273" s="1" t="s">
        <v>113</v>
      </c>
    </row>
    <row r="274" spans="2:5" x14ac:dyDescent="0.2">
      <c r="B274" s="1" t="s">
        <v>86</v>
      </c>
      <c r="C274" s="1">
        <v>-45000</v>
      </c>
    </row>
    <row r="275" spans="2:5" x14ac:dyDescent="0.2">
      <c r="B275" s="1" t="s">
        <v>132</v>
      </c>
      <c r="C275" s="1">
        <v>3000</v>
      </c>
    </row>
    <row r="277" spans="2:5" x14ac:dyDescent="0.2">
      <c r="D277" s="1" t="s">
        <v>134</v>
      </c>
      <c r="E277" s="1" t="s">
        <v>135</v>
      </c>
    </row>
    <row r="278" spans="2:5" x14ac:dyDescent="0.2">
      <c r="B278" s="1" t="s">
        <v>133</v>
      </c>
      <c r="D278" s="6">
        <f>+D271</f>
        <v>2900</v>
      </c>
      <c r="E278" s="6">
        <f>+D269</f>
        <v>400</v>
      </c>
    </row>
    <row r="279" spans="2:5" x14ac:dyDescent="0.2">
      <c r="B279" s="1" t="s">
        <v>136</v>
      </c>
      <c r="D279" s="6">
        <f>-C274</f>
        <v>45000</v>
      </c>
      <c r="E279" s="6">
        <f>+C275</f>
        <v>3000</v>
      </c>
    </row>
    <row r="280" spans="2:5" x14ac:dyDescent="0.2">
      <c r="B280" s="1" t="s">
        <v>137</v>
      </c>
      <c r="D280" s="6">
        <f>-C271</f>
        <v>-3200</v>
      </c>
      <c r="E280" s="6">
        <f>-C269</f>
        <v>-600</v>
      </c>
    </row>
    <row r="281" spans="2:5" ht="12.75" thickBot="1" x14ac:dyDescent="0.25">
      <c r="B281" s="1" t="s">
        <v>138</v>
      </c>
      <c r="D281" s="7">
        <f>SUM(D278:D280)</f>
        <v>44700</v>
      </c>
      <c r="E281" s="7">
        <f>SUM(E278:E280)</f>
        <v>2800</v>
      </c>
    </row>
    <row r="282" spans="2:5" ht="12.75" thickTop="1" x14ac:dyDescent="0.2"/>
    <row r="284" spans="2:5" x14ac:dyDescent="0.2">
      <c r="B284" s="1" t="s">
        <v>139</v>
      </c>
    </row>
    <row r="286" spans="2:5" x14ac:dyDescent="0.2">
      <c r="B286" s="1" t="s">
        <v>140</v>
      </c>
    </row>
    <row r="288" spans="2:5" x14ac:dyDescent="0.2">
      <c r="B288" s="1" t="s">
        <v>141</v>
      </c>
    </row>
    <row r="289" spans="2:10" x14ac:dyDescent="0.2">
      <c r="B289" s="1" t="s">
        <v>142</v>
      </c>
    </row>
    <row r="304" spans="2:10" x14ac:dyDescent="0.2">
      <c r="J304" s="19"/>
    </row>
    <row r="309" spans="2:8" x14ac:dyDescent="0.2">
      <c r="B309" s="1" t="s">
        <v>143</v>
      </c>
      <c r="D309" s="6">
        <v>1500</v>
      </c>
    </row>
    <row r="310" spans="2:8" x14ac:dyDescent="0.2">
      <c r="B310" s="1" t="s">
        <v>144</v>
      </c>
      <c r="D310" s="6">
        <v>250</v>
      </c>
    </row>
    <row r="311" spans="2:8" x14ac:dyDescent="0.2">
      <c r="B311" s="1" t="s">
        <v>145</v>
      </c>
      <c r="D311" s="17">
        <f>-400/2*0.5</f>
        <v>-100</v>
      </c>
    </row>
    <row r="312" spans="2:8" x14ac:dyDescent="0.2">
      <c r="D312" s="6">
        <f>SUM(D309:D311)</f>
        <v>1650</v>
      </c>
    </row>
    <row r="313" spans="2:8" x14ac:dyDescent="0.2">
      <c r="B313" s="1" t="s">
        <v>146</v>
      </c>
      <c r="D313" s="6">
        <v>1100</v>
      </c>
    </row>
    <row r="314" spans="2:8" ht="12.75" thickBot="1" x14ac:dyDescent="0.25">
      <c r="B314" s="1" t="s">
        <v>147</v>
      </c>
      <c r="D314" s="7">
        <f>+D312-D313</f>
        <v>550</v>
      </c>
    </row>
    <row r="315" spans="2:8" ht="12.75" thickTop="1" x14ac:dyDescent="0.2">
      <c r="D315" s="11"/>
    </row>
    <row r="316" spans="2:8" x14ac:dyDescent="0.2">
      <c r="B316" s="5" t="s">
        <v>174</v>
      </c>
    </row>
    <row r="319" spans="2:8" x14ac:dyDescent="0.2">
      <c r="H319" s="19"/>
    </row>
    <row r="339" spans="2:6" x14ac:dyDescent="0.2">
      <c r="B339" s="5" t="s">
        <v>149</v>
      </c>
    </row>
    <row r="344" spans="2:6" x14ac:dyDescent="0.2">
      <c r="B344" s="1" t="s">
        <v>150</v>
      </c>
    </row>
    <row r="345" spans="2:6" x14ac:dyDescent="0.2">
      <c r="B345" s="1" t="s">
        <v>151</v>
      </c>
      <c r="E345" s="1">
        <v>560</v>
      </c>
    </row>
    <row r="346" spans="2:6" x14ac:dyDescent="0.2">
      <c r="B346" s="1" t="s">
        <v>152</v>
      </c>
      <c r="E346" s="1">
        <v>-45</v>
      </c>
    </row>
    <row r="347" spans="2:6" x14ac:dyDescent="0.2">
      <c r="B347" s="1" t="s">
        <v>153</v>
      </c>
      <c r="E347" s="1">
        <v>-78</v>
      </c>
    </row>
    <row r="348" spans="2:6" x14ac:dyDescent="0.2">
      <c r="B348" s="1" t="s">
        <v>154</v>
      </c>
      <c r="E348" s="1">
        <v>100</v>
      </c>
    </row>
    <row r="349" spans="2:6" x14ac:dyDescent="0.2">
      <c r="B349" s="1" t="s">
        <v>155</v>
      </c>
      <c r="E349" s="10">
        <v>75</v>
      </c>
    </row>
    <row r="350" spans="2:6" x14ac:dyDescent="0.2">
      <c r="E350" s="1">
        <f>SUM(E345:E349)</f>
        <v>612</v>
      </c>
    </row>
    <row r="351" spans="2:6" x14ac:dyDescent="0.2">
      <c r="B351" s="1" t="s">
        <v>156</v>
      </c>
      <c r="E351" s="1">
        <v>644</v>
      </c>
    </row>
    <row r="352" spans="2:6" ht="12.75" thickBot="1" x14ac:dyDescent="0.25">
      <c r="B352" s="1" t="s">
        <v>157</v>
      </c>
      <c r="E352" s="3">
        <f>+E351-E350</f>
        <v>32</v>
      </c>
      <c r="F352" s="18" t="s">
        <v>158</v>
      </c>
    </row>
    <row r="353" spans="2:2" ht="12.75" thickTop="1" x14ac:dyDescent="0.2"/>
    <row r="355" spans="2:2" x14ac:dyDescent="0.2">
      <c r="B355" s="1" t="s">
        <v>159</v>
      </c>
    </row>
    <row r="373" spans="2:4" x14ac:dyDescent="0.2">
      <c r="B373" s="1" t="s">
        <v>151</v>
      </c>
      <c r="D373" s="6">
        <v>3800</v>
      </c>
    </row>
    <row r="374" spans="2:4" x14ac:dyDescent="0.2">
      <c r="B374" s="1" t="s">
        <v>160</v>
      </c>
      <c r="D374" s="6">
        <v>600</v>
      </c>
    </row>
    <row r="375" spans="2:4" x14ac:dyDescent="0.2">
      <c r="B375" s="1" t="s">
        <v>161</v>
      </c>
      <c r="D375" s="6">
        <v>-622</v>
      </c>
    </row>
    <row r="376" spans="2:4" x14ac:dyDescent="0.2">
      <c r="B376" s="1" t="s">
        <v>162</v>
      </c>
      <c r="D376" s="6">
        <f>-+C386</f>
        <v>-164</v>
      </c>
    </row>
    <row r="377" spans="2:4" x14ac:dyDescent="0.2">
      <c r="B377" s="1" t="s">
        <v>163</v>
      </c>
      <c r="D377" s="17">
        <v>70</v>
      </c>
    </row>
    <row r="378" spans="2:4" x14ac:dyDescent="0.2">
      <c r="D378" s="6">
        <f>SUM(D373:D377)</f>
        <v>3684</v>
      </c>
    </row>
    <row r="379" spans="2:4" x14ac:dyDescent="0.2">
      <c r="B379" s="1" t="s">
        <v>164</v>
      </c>
      <c r="D379" s="6">
        <v>4860</v>
      </c>
    </row>
    <row r="380" spans="2:4" ht="12.75" thickBot="1" x14ac:dyDescent="0.25">
      <c r="B380" s="1" t="s">
        <v>165</v>
      </c>
      <c r="D380" s="7">
        <f>+D379-D378</f>
        <v>1176</v>
      </c>
    </row>
    <row r="381" spans="2:4" ht="12.75" thickTop="1" x14ac:dyDescent="0.2"/>
    <row r="383" spans="2:4" x14ac:dyDescent="0.2">
      <c r="B383" s="1" t="s">
        <v>172</v>
      </c>
    </row>
    <row r="384" spans="2:4" x14ac:dyDescent="0.2">
      <c r="B384" s="1" t="s">
        <v>167</v>
      </c>
      <c r="C384" s="1">
        <v>410</v>
      </c>
    </row>
    <row r="385" spans="2:3" x14ac:dyDescent="0.2">
      <c r="B385" s="1" t="s">
        <v>171</v>
      </c>
      <c r="C385" s="1">
        <f>3*C384/5</f>
        <v>246</v>
      </c>
    </row>
    <row r="386" spans="2:3" x14ac:dyDescent="0.2">
      <c r="B386" s="1" t="s">
        <v>168</v>
      </c>
      <c r="C386" s="1">
        <f>+C384-C385</f>
        <v>164</v>
      </c>
    </row>
    <row r="387" spans="2:3" x14ac:dyDescent="0.2">
      <c r="B387" s="1" t="s">
        <v>169</v>
      </c>
      <c r="C387" s="1">
        <v>120</v>
      </c>
    </row>
    <row r="388" spans="2:3" x14ac:dyDescent="0.2">
      <c r="B388" s="1" t="s">
        <v>170</v>
      </c>
      <c r="C388" s="1">
        <f>+C387-C386</f>
        <v>-44</v>
      </c>
    </row>
    <row r="391" spans="2:3" x14ac:dyDescent="0.2">
      <c r="B391" s="5" t="s">
        <v>173</v>
      </c>
    </row>
    <row r="393" spans="2:3" x14ac:dyDescent="0.2">
      <c r="B393" s="1" t="s">
        <v>175</v>
      </c>
    </row>
    <row r="394" spans="2:3" x14ac:dyDescent="0.2">
      <c r="B394" s="1" t="s">
        <v>176</v>
      </c>
    </row>
    <row r="395" spans="2:3" x14ac:dyDescent="0.2">
      <c r="B395" s="1" t="s">
        <v>179</v>
      </c>
    </row>
    <row r="396" spans="2:3" x14ac:dyDescent="0.2">
      <c r="B396" s="1" t="s">
        <v>177</v>
      </c>
    </row>
    <row r="397" spans="2:3" x14ac:dyDescent="0.2">
      <c r="B397" s="1" t="s">
        <v>178</v>
      </c>
    </row>
    <row r="416" spans="2:2" x14ac:dyDescent="0.2">
      <c r="B416" s="1" t="s">
        <v>180</v>
      </c>
    </row>
    <row r="448" spans="2:2" x14ac:dyDescent="0.2">
      <c r="B448" s="1" t="s">
        <v>181</v>
      </c>
    </row>
    <row r="450" spans="2:11" x14ac:dyDescent="0.2">
      <c r="B450" s="1" t="s">
        <v>182</v>
      </c>
      <c r="E450" s="6">
        <f>3250+2800</f>
        <v>6050</v>
      </c>
      <c r="J450" s="1" t="s">
        <v>193</v>
      </c>
    </row>
    <row r="451" spans="2:11" x14ac:dyDescent="0.2">
      <c r="B451" s="1" t="s">
        <v>183</v>
      </c>
      <c r="E451" s="6">
        <f>5000*0.5</f>
        <v>2500</v>
      </c>
      <c r="F451" s="1" t="s">
        <v>187</v>
      </c>
      <c r="J451" s="1" t="s">
        <v>188</v>
      </c>
      <c r="K451" s="6">
        <v>6050</v>
      </c>
    </row>
    <row r="452" spans="2:11" x14ac:dyDescent="0.2">
      <c r="B452" s="1" t="s">
        <v>145</v>
      </c>
      <c r="E452" s="17">
        <f>1400*0.5</f>
        <v>700</v>
      </c>
      <c r="F452" s="1" t="s">
        <v>186</v>
      </c>
      <c r="J452" s="1" t="s">
        <v>189</v>
      </c>
      <c r="K452" s="6">
        <v>2500</v>
      </c>
    </row>
    <row r="453" spans="2:11" x14ac:dyDescent="0.2">
      <c r="E453" s="6">
        <f>SUM(E450:E452)</f>
        <v>9250</v>
      </c>
      <c r="J453" s="1" t="s">
        <v>190</v>
      </c>
      <c r="K453" s="6">
        <v>700</v>
      </c>
    </row>
    <row r="454" spans="2:11" x14ac:dyDescent="0.2">
      <c r="B454" s="1" t="s">
        <v>184</v>
      </c>
      <c r="E454" s="6">
        <f>4600+5650</f>
        <v>10250</v>
      </c>
      <c r="J454" s="1" t="s">
        <v>192</v>
      </c>
      <c r="K454" s="6">
        <v>1000</v>
      </c>
    </row>
    <row r="455" spans="2:11" ht="12.75" thickBot="1" x14ac:dyDescent="0.25">
      <c r="B455" s="1" t="s">
        <v>181</v>
      </c>
      <c r="E455" s="7">
        <f>+E454-E453</f>
        <v>1000</v>
      </c>
      <c r="F455" s="1" t="s">
        <v>185</v>
      </c>
      <c r="J455" s="1" t="s">
        <v>191</v>
      </c>
      <c r="K455" s="7">
        <f>SUM(K451:K454)</f>
        <v>10250</v>
      </c>
    </row>
    <row r="456" spans="2:11" ht="12.75" thickTop="1" x14ac:dyDescent="0.2"/>
    <row r="458" spans="2:11" x14ac:dyDescent="0.2">
      <c r="B458" s="1" t="s">
        <v>194</v>
      </c>
    </row>
    <row r="460" spans="2:11" x14ac:dyDescent="0.2">
      <c r="B460" s="1" t="s">
        <v>195</v>
      </c>
      <c r="E460" s="6">
        <v>5200</v>
      </c>
    </row>
    <row r="461" spans="2:11" x14ac:dyDescent="0.2">
      <c r="B461" s="1" t="s">
        <v>196</v>
      </c>
      <c r="E461" s="17">
        <v>6350</v>
      </c>
    </row>
    <row r="462" spans="2:11" x14ac:dyDescent="0.2">
      <c r="B462" s="1" t="s">
        <v>197</v>
      </c>
      <c r="E462" s="6">
        <f>+E461-E460</f>
        <v>1150</v>
      </c>
      <c r="F462" s="1" t="s">
        <v>185</v>
      </c>
    </row>
    <row r="464" spans="2:11" x14ac:dyDescent="0.2">
      <c r="B464" s="1" t="s">
        <v>198</v>
      </c>
    </row>
    <row r="466" spans="2:6" x14ac:dyDescent="0.2">
      <c r="B466" s="1" t="s">
        <v>199</v>
      </c>
    </row>
    <row r="467" spans="2:6" x14ac:dyDescent="0.2">
      <c r="B467" s="1" t="s">
        <v>181</v>
      </c>
      <c r="E467" s="6">
        <v>1000</v>
      </c>
      <c r="F467" s="6"/>
    </row>
    <row r="468" spans="2:6" x14ac:dyDescent="0.2">
      <c r="B468" s="1" t="s">
        <v>200</v>
      </c>
      <c r="E468" s="6">
        <v>1150</v>
      </c>
      <c r="F468" s="6"/>
    </row>
    <row r="469" spans="2:6" ht="12.75" thickBot="1" x14ac:dyDescent="0.25">
      <c r="B469" s="1" t="s">
        <v>201</v>
      </c>
      <c r="E469" s="7">
        <f>SUM(E467:E468)</f>
        <v>2150</v>
      </c>
    </row>
    <row r="470" spans="2:6" ht="12.75" thickTop="1" x14ac:dyDescent="0.2"/>
  </sheetData>
  <hyperlinks>
    <hyperlink ref="A1" location="Main!A1" display="Main" xr:uid="{81BBD927-8A14-4875-AC95-7FE6721C373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9F6E8-C378-4141-A43C-C0ED99CB7208}">
  <sheetPr codeName="Sheet3"/>
  <dimension ref="A1:G81"/>
  <sheetViews>
    <sheetView topLeftCell="A88" zoomScale="175" zoomScaleNormal="175" workbookViewId="0">
      <selection activeCell="G54" sqref="G54:G104"/>
    </sheetView>
  </sheetViews>
  <sheetFormatPr defaultRowHeight="12" x14ac:dyDescent="0.2"/>
  <cols>
    <col min="1" max="16384" width="9.140625" style="1"/>
  </cols>
  <sheetData>
    <row r="1" spans="1:5" ht="15" x14ac:dyDescent="0.25">
      <c r="A1" s="2" t="s">
        <v>0</v>
      </c>
    </row>
    <row r="2" spans="1:5" x14ac:dyDescent="0.2">
      <c r="B2" s="1" t="s">
        <v>83</v>
      </c>
    </row>
    <row r="3" spans="1:5" x14ac:dyDescent="0.2">
      <c r="B3" s="1" t="s">
        <v>80</v>
      </c>
    </row>
    <row r="4" spans="1:5" x14ac:dyDescent="0.2">
      <c r="B4" s="1" t="s">
        <v>84</v>
      </c>
    </row>
    <row r="5" spans="1:5" x14ac:dyDescent="0.2">
      <c r="B5" s="1" t="s">
        <v>85</v>
      </c>
    </row>
    <row r="7" spans="1:5" x14ac:dyDescent="0.2">
      <c r="D7" s="6"/>
    </row>
    <row r="8" spans="1:5" x14ac:dyDescent="0.2">
      <c r="B8" s="1" t="s">
        <v>90</v>
      </c>
      <c r="D8" s="6">
        <v>4200</v>
      </c>
    </row>
    <row r="9" spans="1:5" x14ac:dyDescent="0.2">
      <c r="B9" s="1" t="s">
        <v>89</v>
      </c>
      <c r="D9" s="17">
        <v>-2870</v>
      </c>
    </row>
    <row r="10" spans="1:5" x14ac:dyDescent="0.2">
      <c r="B10" s="1" t="s">
        <v>88</v>
      </c>
      <c r="D10" s="6">
        <f>SUM(D8:D9)</f>
        <v>1330</v>
      </c>
    </row>
    <row r="11" spans="1:5" x14ac:dyDescent="0.2">
      <c r="B11" s="1" t="s">
        <v>87</v>
      </c>
      <c r="D11" s="6">
        <v>-280</v>
      </c>
    </row>
    <row r="12" spans="1:5" x14ac:dyDescent="0.2">
      <c r="B12" s="1" t="s">
        <v>56</v>
      </c>
      <c r="D12" s="6">
        <v>-473</v>
      </c>
    </row>
    <row r="13" spans="1:5" x14ac:dyDescent="0.2">
      <c r="B13" s="1" t="s">
        <v>86</v>
      </c>
      <c r="D13" s="6">
        <v>-23</v>
      </c>
    </row>
    <row r="14" spans="1:5" ht="12.75" thickBot="1" x14ac:dyDescent="0.25">
      <c r="B14" s="1" t="s">
        <v>66</v>
      </c>
      <c r="D14" s="7">
        <f>SUM(D10:D13)</f>
        <v>554</v>
      </c>
    </row>
    <row r="15" spans="1:5" ht="12.75" thickTop="1" x14ac:dyDescent="0.2"/>
    <row r="16" spans="1:5" x14ac:dyDescent="0.2">
      <c r="D16" s="1" t="s">
        <v>115</v>
      </c>
      <c r="E16" s="1" t="s">
        <v>114</v>
      </c>
    </row>
    <row r="17" spans="2:5" x14ac:dyDescent="0.2">
      <c r="B17" s="1" t="s">
        <v>95</v>
      </c>
      <c r="D17" s="6">
        <v>318</v>
      </c>
      <c r="E17" s="6">
        <v>292</v>
      </c>
    </row>
    <row r="18" spans="2:5" x14ac:dyDescent="0.2">
      <c r="B18" s="1" t="s">
        <v>94</v>
      </c>
      <c r="D18" s="6">
        <v>416</v>
      </c>
      <c r="E18" s="6">
        <v>389</v>
      </c>
    </row>
    <row r="19" spans="2:5" x14ac:dyDescent="0.2">
      <c r="B19" s="1" t="s">
        <v>93</v>
      </c>
      <c r="D19" s="6">
        <v>71</v>
      </c>
      <c r="E19" s="6">
        <v>25</v>
      </c>
    </row>
    <row r="20" spans="2:5" x14ac:dyDescent="0.2">
      <c r="D20" s="6"/>
      <c r="E20" s="6"/>
    </row>
    <row r="21" spans="2:5" x14ac:dyDescent="0.2">
      <c r="B21" s="1" t="s">
        <v>92</v>
      </c>
      <c r="D21" s="6">
        <v>418</v>
      </c>
      <c r="E21" s="6">
        <v>391</v>
      </c>
    </row>
    <row r="22" spans="2:5" x14ac:dyDescent="0.2">
      <c r="B22" s="1" t="s">
        <v>91</v>
      </c>
      <c r="D22" s="6">
        <v>96</v>
      </c>
      <c r="E22" s="6">
        <v>108</v>
      </c>
    </row>
    <row r="25" spans="2:5" x14ac:dyDescent="0.2">
      <c r="B25" s="1" t="s">
        <v>96</v>
      </c>
    </row>
    <row r="26" spans="2:5" x14ac:dyDescent="0.2">
      <c r="B26" s="1" t="s">
        <v>97</v>
      </c>
      <c r="D26" s="1">
        <v>17</v>
      </c>
    </row>
    <row r="27" spans="2:5" x14ac:dyDescent="0.2">
      <c r="B27" s="1" t="s">
        <v>98</v>
      </c>
      <c r="D27" s="1">
        <v>7</v>
      </c>
    </row>
    <row r="28" spans="2:5" x14ac:dyDescent="0.2">
      <c r="B28" s="1" t="s">
        <v>67</v>
      </c>
      <c r="D28" s="1">
        <v>12</v>
      </c>
    </row>
    <row r="30" spans="2:5" x14ac:dyDescent="0.2">
      <c r="B30" s="1" t="s">
        <v>99</v>
      </c>
    </row>
    <row r="31" spans="2:5" x14ac:dyDescent="0.2">
      <c r="B31" s="1" t="s">
        <v>100</v>
      </c>
      <c r="D31" s="1">
        <v>215</v>
      </c>
    </row>
    <row r="34" spans="2:5" x14ac:dyDescent="0.2">
      <c r="B34" s="5" t="s">
        <v>101</v>
      </c>
    </row>
    <row r="35" spans="2:5" x14ac:dyDescent="0.2">
      <c r="B35" s="1" t="s">
        <v>37</v>
      </c>
      <c r="D35" s="13">
        <f>+E18</f>
        <v>389</v>
      </c>
    </row>
    <row r="36" spans="2:5" x14ac:dyDescent="0.2">
      <c r="B36" s="1" t="s">
        <v>40</v>
      </c>
      <c r="D36" s="13">
        <f>-D26</f>
        <v>-17</v>
      </c>
    </row>
    <row r="37" spans="2:5" x14ac:dyDescent="0.2">
      <c r="B37" s="1" t="s">
        <v>38</v>
      </c>
      <c r="D37" s="13">
        <f>+D8</f>
        <v>4200</v>
      </c>
    </row>
    <row r="38" spans="2:5" x14ac:dyDescent="0.2">
      <c r="D38" s="13">
        <f>SUM(D35:D37)</f>
        <v>4572</v>
      </c>
    </row>
    <row r="39" spans="2:5" x14ac:dyDescent="0.2">
      <c r="B39" s="1" t="s">
        <v>39</v>
      </c>
      <c r="D39" s="13">
        <f>+D18</f>
        <v>416</v>
      </c>
    </row>
    <row r="40" spans="2:5" ht="12.75" thickBot="1" x14ac:dyDescent="0.25">
      <c r="B40" s="1" t="s">
        <v>42</v>
      </c>
      <c r="D40" s="14">
        <f>+D38-D39</f>
        <v>4156</v>
      </c>
    </row>
    <row r="41" spans="2:5" ht="12.75" thickTop="1" x14ac:dyDescent="0.2">
      <c r="D41" s="11"/>
    </row>
    <row r="42" spans="2:5" x14ac:dyDescent="0.2">
      <c r="B42" s="1" t="s">
        <v>61</v>
      </c>
    </row>
    <row r="43" spans="2:5" x14ac:dyDescent="0.2">
      <c r="B43" s="1">
        <v>1</v>
      </c>
    </row>
    <row r="44" spans="2:5" x14ac:dyDescent="0.2">
      <c r="B44" s="1" t="s">
        <v>53</v>
      </c>
      <c r="D44" s="13">
        <f>+E21</f>
        <v>391</v>
      </c>
    </row>
    <row r="45" spans="2:5" x14ac:dyDescent="0.2">
      <c r="B45" s="1" t="s">
        <v>54</v>
      </c>
      <c r="D45" s="12">
        <f>-+D9-D31+D17-E17</f>
        <v>2681</v>
      </c>
      <c r="E45" s="18" t="s">
        <v>108</v>
      </c>
    </row>
    <row r="46" spans="2:5" x14ac:dyDescent="0.2">
      <c r="B46" s="1" t="s">
        <v>55</v>
      </c>
      <c r="D46" s="13">
        <f>+-D11</f>
        <v>280</v>
      </c>
    </row>
    <row r="47" spans="2:5" x14ac:dyDescent="0.2">
      <c r="B47" s="1" t="s">
        <v>56</v>
      </c>
      <c r="D47" s="12">
        <f>-D12-D26+D27+D28</f>
        <v>475</v>
      </c>
      <c r="E47" s="18" t="s">
        <v>109</v>
      </c>
    </row>
    <row r="48" spans="2:5" x14ac:dyDescent="0.2">
      <c r="D48" s="6">
        <f>SUM(D44:D47)</f>
        <v>3827</v>
      </c>
    </row>
    <row r="49" spans="2:5" x14ac:dyDescent="0.2">
      <c r="B49" s="1" t="s">
        <v>57</v>
      </c>
      <c r="D49" s="13">
        <f>+D21</f>
        <v>418</v>
      </c>
    </row>
    <row r="50" spans="2:5" ht="12.75" thickBot="1" x14ac:dyDescent="0.25">
      <c r="B50" s="1" t="s">
        <v>58</v>
      </c>
      <c r="D50" s="7">
        <f>+D48-D49</f>
        <v>3409</v>
      </c>
      <c r="E50" s="18" t="s">
        <v>116</v>
      </c>
    </row>
    <row r="51" spans="2:5" ht="12.75" thickTop="1" x14ac:dyDescent="0.2">
      <c r="D51" s="6"/>
    </row>
    <row r="52" spans="2:5" x14ac:dyDescent="0.2">
      <c r="D52" s="6"/>
    </row>
    <row r="53" spans="2:5" x14ac:dyDescent="0.2">
      <c r="B53" s="4" t="s">
        <v>59</v>
      </c>
      <c r="D53" s="6"/>
    </row>
    <row r="54" spans="2:5" x14ac:dyDescent="0.2">
      <c r="B54" s="1" t="s">
        <v>42</v>
      </c>
      <c r="D54" s="6">
        <f>+D40</f>
        <v>4156</v>
      </c>
    </row>
    <row r="55" spans="2:5" x14ac:dyDescent="0.2">
      <c r="B55" s="1" t="s">
        <v>63</v>
      </c>
      <c r="D55" s="6">
        <f>-D50</f>
        <v>-3409</v>
      </c>
    </row>
    <row r="56" spans="2:5" ht="12.75" thickBot="1" x14ac:dyDescent="0.25">
      <c r="B56" s="1" t="s">
        <v>17</v>
      </c>
      <c r="D56" s="7">
        <f>SUM(D54:D55)</f>
        <v>747</v>
      </c>
    </row>
    <row r="57" spans="2:5" ht="12.75" thickTop="1" x14ac:dyDescent="0.2"/>
    <row r="59" spans="2:5" x14ac:dyDescent="0.2">
      <c r="B59" s="5" t="s">
        <v>102</v>
      </c>
    </row>
    <row r="60" spans="2:5" x14ac:dyDescent="0.2">
      <c r="B60" s="1" t="s">
        <v>103</v>
      </c>
      <c r="C60" s="1" t="s">
        <v>107</v>
      </c>
      <c r="D60" s="1" t="s">
        <v>94</v>
      </c>
      <c r="E60" s="1" t="s">
        <v>92</v>
      </c>
    </row>
    <row r="61" spans="2:5" x14ac:dyDescent="0.2">
      <c r="B61" s="1" t="s">
        <v>104</v>
      </c>
      <c r="C61" s="1">
        <f>+E17</f>
        <v>292</v>
      </c>
      <c r="D61" s="1">
        <f>+E18</f>
        <v>389</v>
      </c>
      <c r="E61" s="1">
        <f>+E21</f>
        <v>391</v>
      </c>
    </row>
    <row r="62" spans="2:5" x14ac:dyDescent="0.2">
      <c r="B62" s="1" t="s">
        <v>105</v>
      </c>
      <c r="C62" s="1">
        <f>+D17</f>
        <v>318</v>
      </c>
      <c r="D62" s="1">
        <f>+D18</f>
        <v>416</v>
      </c>
      <c r="E62" s="1">
        <f>+D21</f>
        <v>418</v>
      </c>
    </row>
    <row r="63" spans="2:5" ht="12.75" thickBot="1" x14ac:dyDescent="0.25">
      <c r="B63" s="1" t="s">
        <v>106</v>
      </c>
      <c r="C63" s="3">
        <f>+C62-C61</f>
        <v>26</v>
      </c>
      <c r="D63" s="3">
        <f>+D62-D61</f>
        <v>27</v>
      </c>
      <c r="E63" s="3">
        <f>+E62-E61</f>
        <v>27</v>
      </c>
    </row>
    <row r="64" spans="2:5" ht="12.75" thickTop="1" x14ac:dyDescent="0.2">
      <c r="C64" s="16"/>
      <c r="D64" s="16"/>
      <c r="E64" s="16"/>
    </row>
    <row r="65" spans="2:7" x14ac:dyDescent="0.2">
      <c r="B65" s="1" t="s">
        <v>66</v>
      </c>
      <c r="D65" s="15">
        <f>+D14</f>
        <v>554</v>
      </c>
    </row>
    <row r="66" spans="2:7" x14ac:dyDescent="0.2">
      <c r="B66" s="1" t="s">
        <v>69</v>
      </c>
      <c r="D66" s="8"/>
    </row>
    <row r="67" spans="2:7" x14ac:dyDescent="0.2">
      <c r="B67" s="1" t="s">
        <v>70</v>
      </c>
      <c r="D67" s="15">
        <f>-+D13</f>
        <v>23</v>
      </c>
    </row>
    <row r="68" spans="2:7" x14ac:dyDescent="0.2">
      <c r="B68" s="1" t="s">
        <v>72</v>
      </c>
      <c r="D68" s="15">
        <f>-D27</f>
        <v>-7</v>
      </c>
    </row>
    <row r="69" spans="2:7" x14ac:dyDescent="0.2">
      <c r="B69" s="1" t="s">
        <v>67</v>
      </c>
      <c r="D69" s="15">
        <f>-+D28</f>
        <v>-12</v>
      </c>
    </row>
    <row r="70" spans="2:7" x14ac:dyDescent="0.2">
      <c r="B70" s="1" t="s">
        <v>71</v>
      </c>
      <c r="D70" s="15">
        <f>+D31</f>
        <v>215</v>
      </c>
    </row>
    <row r="71" spans="2:7" x14ac:dyDescent="0.2">
      <c r="D71" s="15">
        <f>SUM(D65:D70)</f>
        <v>773</v>
      </c>
    </row>
    <row r="72" spans="2:7" x14ac:dyDescent="0.2">
      <c r="B72" s="1" t="s">
        <v>74</v>
      </c>
      <c r="D72" s="15">
        <f>-C63</f>
        <v>-26</v>
      </c>
    </row>
    <row r="73" spans="2:7" x14ac:dyDescent="0.2">
      <c r="B73" s="1" t="s">
        <v>76</v>
      </c>
      <c r="D73" s="15">
        <f>-D63</f>
        <v>-27</v>
      </c>
      <c r="E73" s="1" t="s">
        <v>73</v>
      </c>
    </row>
    <row r="74" spans="2:7" x14ac:dyDescent="0.2">
      <c r="B74" s="1" t="s">
        <v>77</v>
      </c>
      <c r="D74" s="15">
        <f>+E63</f>
        <v>27</v>
      </c>
    </row>
    <row r="75" spans="2:7" ht="12.75" thickBot="1" x14ac:dyDescent="0.25">
      <c r="B75" s="4" t="s">
        <v>80</v>
      </c>
      <c r="D75" s="9">
        <f>SUM(D71:D74)</f>
        <v>747</v>
      </c>
    </row>
    <row r="76" spans="2:7" ht="12.75" thickTop="1" x14ac:dyDescent="0.2"/>
    <row r="78" spans="2:7" x14ac:dyDescent="0.2">
      <c r="B78" s="1" t="s">
        <v>110</v>
      </c>
      <c r="D78" s="6">
        <f>+D56</f>
        <v>747</v>
      </c>
    </row>
    <row r="79" spans="2:7" x14ac:dyDescent="0.2">
      <c r="B79" s="1" t="s">
        <v>111</v>
      </c>
      <c r="D79" s="8">
        <f>+D75</f>
        <v>747</v>
      </c>
      <c r="G79" s="6"/>
    </row>
    <row r="80" spans="2:7" ht="12.75" thickBot="1" x14ac:dyDescent="0.25">
      <c r="B80" s="1" t="s">
        <v>112</v>
      </c>
      <c r="D80" s="9">
        <f>+D78-D79</f>
        <v>0</v>
      </c>
    </row>
    <row r="81" ht="12.75" thickTop="1" x14ac:dyDescent="0.2"/>
  </sheetData>
  <hyperlinks>
    <hyperlink ref="A1" location="Main!A1" display="Main" xr:uid="{2976BAAF-D705-4FCE-9C2E-533F67C3EAE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69E1C-AABB-4356-BFC4-5F0BF79B1D11}">
  <sheetPr codeName="Sheet4"/>
  <dimension ref="A1:F146"/>
  <sheetViews>
    <sheetView topLeftCell="A132" zoomScale="175" zoomScaleNormal="175" workbookViewId="0">
      <selection activeCell="D161" sqref="D161"/>
    </sheetView>
  </sheetViews>
  <sheetFormatPr defaultRowHeight="12" x14ac:dyDescent="0.2"/>
  <cols>
    <col min="1" max="16384" width="9.140625" style="1"/>
  </cols>
  <sheetData>
    <row r="1" spans="1:2" ht="15" x14ac:dyDescent="0.25">
      <c r="A1" s="2" t="s">
        <v>0</v>
      </c>
    </row>
    <row r="2" spans="1:2" x14ac:dyDescent="0.2">
      <c r="B2" s="1" t="s">
        <v>202</v>
      </c>
    </row>
    <row r="26" spans="2:5" x14ac:dyDescent="0.2">
      <c r="B26" s="5" t="s">
        <v>80</v>
      </c>
    </row>
    <row r="27" spans="2:5" x14ac:dyDescent="0.2">
      <c r="B27" s="1" t="s">
        <v>203</v>
      </c>
    </row>
    <row r="28" spans="2:5" x14ac:dyDescent="0.2">
      <c r="B28" s="1" t="s">
        <v>204</v>
      </c>
      <c r="E28" s="6">
        <v>189</v>
      </c>
    </row>
    <row r="29" spans="2:5" x14ac:dyDescent="0.2">
      <c r="B29" s="1" t="s">
        <v>205</v>
      </c>
      <c r="E29" s="17">
        <v>2530</v>
      </c>
    </row>
    <row r="30" spans="2:5" x14ac:dyDescent="0.2">
      <c r="E30" s="6">
        <f>SUM(E28:E29)</f>
        <v>2719</v>
      </c>
    </row>
    <row r="31" spans="2:5" x14ac:dyDescent="0.2">
      <c r="B31" s="1" t="s">
        <v>206</v>
      </c>
      <c r="E31" s="6">
        <v>164</v>
      </c>
    </row>
    <row r="32" spans="2:5" ht="12.75" thickBot="1" x14ac:dyDescent="0.25">
      <c r="B32" s="1" t="s">
        <v>42</v>
      </c>
      <c r="E32" s="7">
        <f>+E30-E31</f>
        <v>2555</v>
      </c>
    </row>
    <row r="33" spans="2:6" ht="12.75" thickTop="1" x14ac:dyDescent="0.2"/>
    <row r="35" spans="2:6" x14ac:dyDescent="0.2">
      <c r="B35" s="5" t="s">
        <v>207</v>
      </c>
    </row>
    <row r="36" spans="2:6" x14ac:dyDescent="0.2">
      <c r="B36" s="1" t="s">
        <v>208</v>
      </c>
      <c r="E36" s="6">
        <f>78+(8-2)</f>
        <v>84</v>
      </c>
    </row>
    <row r="37" spans="2:6" x14ac:dyDescent="0.2">
      <c r="B37" s="1" t="s">
        <v>209</v>
      </c>
      <c r="E37" s="6">
        <f>(1860-167-14)+106-102</f>
        <v>1683</v>
      </c>
      <c r="F37" s="1" t="s">
        <v>212</v>
      </c>
    </row>
    <row r="38" spans="2:6" x14ac:dyDescent="0.2">
      <c r="B38" s="1" t="s">
        <v>211</v>
      </c>
      <c r="E38" s="6">
        <v>62</v>
      </c>
    </row>
    <row r="39" spans="2:6" x14ac:dyDescent="0.2">
      <c r="B39" s="1" t="s">
        <v>210</v>
      </c>
      <c r="E39" s="17">
        <v>76</v>
      </c>
    </row>
    <row r="40" spans="2:6" x14ac:dyDescent="0.2">
      <c r="E40" s="6">
        <f>SUM(E36:E39)</f>
        <v>1905</v>
      </c>
    </row>
    <row r="41" spans="2:6" x14ac:dyDescent="0.2">
      <c r="B41" s="1" t="s">
        <v>213</v>
      </c>
      <c r="E41" s="6">
        <f>71+10-7</f>
        <v>74</v>
      </c>
    </row>
    <row r="42" spans="2:6" ht="12.75" thickBot="1" x14ac:dyDescent="0.25">
      <c r="B42" s="1" t="s">
        <v>214</v>
      </c>
      <c r="E42" s="7">
        <f>+E40-E41</f>
        <v>1831</v>
      </c>
    </row>
    <row r="43" spans="2:6" ht="12.75" thickTop="1" x14ac:dyDescent="0.2"/>
    <row r="45" spans="2:6" x14ac:dyDescent="0.2">
      <c r="B45" s="5" t="s">
        <v>215</v>
      </c>
      <c r="E45" s="1">
        <v>2</v>
      </c>
    </row>
    <row r="46" spans="2:6" x14ac:dyDescent="0.2">
      <c r="B46" s="1" t="s">
        <v>216</v>
      </c>
      <c r="E46" s="1">
        <v>190</v>
      </c>
    </row>
    <row r="47" spans="2:6" x14ac:dyDescent="0.2">
      <c r="E47" s="1">
        <f>SUM(E45:E46)</f>
        <v>192</v>
      </c>
    </row>
    <row r="48" spans="2:6" x14ac:dyDescent="0.2">
      <c r="B48" s="1" t="s">
        <v>217</v>
      </c>
      <c r="E48" s="1">
        <v>7</v>
      </c>
    </row>
    <row r="49" spans="2:5" ht="12.75" thickBot="1" x14ac:dyDescent="0.25">
      <c r="B49" s="1" t="s">
        <v>215</v>
      </c>
      <c r="E49" s="3">
        <f>+E47-E48</f>
        <v>185</v>
      </c>
    </row>
    <row r="50" spans="2:5" ht="12.75" thickTop="1" x14ac:dyDescent="0.2"/>
    <row r="51" spans="2:5" x14ac:dyDescent="0.2">
      <c r="B51" s="5" t="s">
        <v>117</v>
      </c>
    </row>
    <row r="52" spans="2:5" x14ac:dyDescent="0.2">
      <c r="B52" s="1" t="s">
        <v>218</v>
      </c>
      <c r="E52" s="1">
        <v>66</v>
      </c>
    </row>
    <row r="53" spans="2:5" x14ac:dyDescent="0.2">
      <c r="B53" s="1" t="s">
        <v>219</v>
      </c>
      <c r="E53" s="1">
        <v>183</v>
      </c>
    </row>
    <row r="54" spans="2:5" x14ac:dyDescent="0.2">
      <c r="E54" s="1">
        <f>SUM(E52:E53)</f>
        <v>249</v>
      </c>
    </row>
    <row r="55" spans="2:5" x14ac:dyDescent="0.2">
      <c r="B55" s="1" t="s">
        <v>220</v>
      </c>
      <c r="E55" s="1">
        <v>83</v>
      </c>
    </row>
    <row r="56" spans="2:5" ht="12.75" thickBot="1" x14ac:dyDescent="0.25">
      <c r="B56" s="1" t="s">
        <v>117</v>
      </c>
      <c r="E56" s="3">
        <f>+E54-E55</f>
        <v>166</v>
      </c>
    </row>
    <row r="57" spans="2:5" ht="12.75" thickTop="1" x14ac:dyDescent="0.2"/>
    <row r="58" spans="2:5" x14ac:dyDescent="0.2">
      <c r="B58" s="5" t="s">
        <v>221</v>
      </c>
    </row>
    <row r="59" spans="2:5" x14ac:dyDescent="0.2">
      <c r="B59" s="1" t="s">
        <v>222</v>
      </c>
      <c r="E59" s="1">
        <v>1524</v>
      </c>
    </row>
    <row r="60" spans="2:5" x14ac:dyDescent="0.2">
      <c r="B60" s="1" t="s">
        <v>223</v>
      </c>
      <c r="E60" s="1">
        <v>-167</v>
      </c>
    </row>
    <row r="61" spans="2:5" x14ac:dyDescent="0.2">
      <c r="B61" s="1" t="s">
        <v>166</v>
      </c>
      <c r="E61" s="1">
        <v>-24</v>
      </c>
    </row>
    <row r="62" spans="2:5" x14ac:dyDescent="0.2">
      <c r="B62" s="1" t="s">
        <v>160</v>
      </c>
      <c r="E62" s="10">
        <v>380</v>
      </c>
    </row>
    <row r="63" spans="2:5" x14ac:dyDescent="0.2">
      <c r="E63" s="1">
        <f>SUM(E59:E62)</f>
        <v>1713</v>
      </c>
    </row>
    <row r="64" spans="2:5" x14ac:dyDescent="0.2">
      <c r="B64" s="1" t="s">
        <v>224</v>
      </c>
      <c r="E64" s="1">
        <v>2193</v>
      </c>
    </row>
    <row r="65" spans="2:5" ht="12.75" thickBot="1" x14ac:dyDescent="0.25">
      <c r="B65" s="1" t="s">
        <v>221</v>
      </c>
      <c r="E65" s="3">
        <f>+E63-E64</f>
        <v>-480</v>
      </c>
    </row>
    <row r="66" spans="2:5" ht="12.75" thickTop="1" x14ac:dyDescent="0.2"/>
    <row r="68" spans="2:5" x14ac:dyDescent="0.2">
      <c r="B68" s="5" t="s">
        <v>225</v>
      </c>
    </row>
    <row r="69" spans="2:5" x14ac:dyDescent="0.2">
      <c r="B69" s="1" t="s">
        <v>226</v>
      </c>
      <c r="E69" s="1">
        <v>24</v>
      </c>
    </row>
    <row r="70" spans="2:5" x14ac:dyDescent="0.2">
      <c r="B70" s="1" t="s">
        <v>227</v>
      </c>
      <c r="E70" s="1">
        <v>14</v>
      </c>
    </row>
    <row r="71" spans="2:5" ht="12.75" thickBot="1" x14ac:dyDescent="0.25">
      <c r="B71" s="1" t="s">
        <v>225</v>
      </c>
      <c r="E71" s="3">
        <f>+E69-E70</f>
        <v>10</v>
      </c>
    </row>
    <row r="72" spans="2:5" ht="12.75" thickTop="1" x14ac:dyDescent="0.2"/>
    <row r="74" spans="2:5" x14ac:dyDescent="0.2">
      <c r="B74" s="5" t="s">
        <v>228</v>
      </c>
    </row>
    <row r="75" spans="2:5" x14ac:dyDescent="0.2">
      <c r="B75" s="1" t="s">
        <v>182</v>
      </c>
      <c r="E75" s="1">
        <f>800+80</f>
        <v>880</v>
      </c>
    </row>
    <row r="76" spans="2:5" x14ac:dyDescent="0.2">
      <c r="B76" s="1" t="s">
        <v>145</v>
      </c>
      <c r="E76" s="1">
        <f>120*0.5</f>
        <v>60</v>
      </c>
    </row>
    <row r="77" spans="2:5" x14ac:dyDescent="0.2">
      <c r="E77" s="1">
        <f>SUM(E75:E76)</f>
        <v>940</v>
      </c>
    </row>
    <row r="78" spans="2:5" x14ac:dyDescent="0.2">
      <c r="B78" s="1" t="s">
        <v>184</v>
      </c>
      <c r="E78" s="1">
        <f>876+82</f>
        <v>958</v>
      </c>
    </row>
    <row r="79" spans="2:5" ht="12.75" thickBot="1" x14ac:dyDescent="0.25">
      <c r="B79" s="1" t="s">
        <v>181</v>
      </c>
      <c r="E79" s="3">
        <f>+E78-E77</f>
        <v>18</v>
      </c>
    </row>
    <row r="80" spans="2:5" ht="12.75" thickTop="1" x14ac:dyDescent="0.2"/>
    <row r="82" spans="2:5" x14ac:dyDescent="0.2">
      <c r="B82" s="5" t="s">
        <v>229</v>
      </c>
    </row>
    <row r="83" spans="2:5" x14ac:dyDescent="0.2">
      <c r="B83" s="1" t="s">
        <v>230</v>
      </c>
      <c r="E83" s="1">
        <v>850</v>
      </c>
    </row>
    <row r="84" spans="2:5" x14ac:dyDescent="0.2">
      <c r="B84" s="1" t="s">
        <v>231</v>
      </c>
      <c r="E84" s="1">
        <v>1000</v>
      </c>
    </row>
    <row r="85" spans="2:5" ht="12.75" thickBot="1" x14ac:dyDescent="0.25">
      <c r="B85" s="1" t="s">
        <v>229</v>
      </c>
      <c r="E85" s="3">
        <f>+E84-E83</f>
        <v>150</v>
      </c>
    </row>
    <row r="86" spans="2:5" ht="12.75" thickTop="1" x14ac:dyDescent="0.2"/>
    <row r="88" spans="2:5" x14ac:dyDescent="0.2">
      <c r="B88" s="5" t="s">
        <v>147</v>
      </c>
    </row>
    <row r="89" spans="2:5" x14ac:dyDescent="0.2">
      <c r="B89" s="1" t="s">
        <v>232</v>
      </c>
      <c r="E89" s="1">
        <v>124</v>
      </c>
    </row>
    <row r="90" spans="2:5" x14ac:dyDescent="0.2">
      <c r="B90" s="1" t="s">
        <v>144</v>
      </c>
      <c r="E90" s="1">
        <v>159</v>
      </c>
    </row>
    <row r="91" spans="2:5" x14ac:dyDescent="0.2">
      <c r="B91" s="1" t="s">
        <v>145</v>
      </c>
      <c r="E91" s="1">
        <f>-120*0.5</f>
        <v>-60</v>
      </c>
    </row>
    <row r="92" spans="2:5" x14ac:dyDescent="0.2">
      <c r="E92" s="1">
        <f>SUM(E89:E91)</f>
        <v>223</v>
      </c>
    </row>
    <row r="93" spans="2:5" x14ac:dyDescent="0.2">
      <c r="B93" s="1" t="s">
        <v>233</v>
      </c>
      <c r="E93" s="1">
        <v>158</v>
      </c>
    </row>
    <row r="94" spans="2:5" ht="12.75" thickBot="1" x14ac:dyDescent="0.25">
      <c r="B94" s="1" t="s">
        <v>147</v>
      </c>
      <c r="E94" s="3">
        <f>+E93-E92</f>
        <v>-65</v>
      </c>
    </row>
    <row r="95" spans="2:5" ht="12.75" thickTop="1" x14ac:dyDescent="0.2"/>
    <row r="96" spans="2:5" x14ac:dyDescent="0.2">
      <c r="B96" s="1" t="s">
        <v>202</v>
      </c>
    </row>
    <row r="97" spans="2:6" x14ac:dyDescent="0.2">
      <c r="B97" s="1" t="s">
        <v>234</v>
      </c>
    </row>
    <row r="98" spans="2:6" x14ac:dyDescent="0.2">
      <c r="B98" s="1" t="s">
        <v>235</v>
      </c>
    </row>
    <row r="99" spans="2:6" x14ac:dyDescent="0.2">
      <c r="E99" s="19" t="s">
        <v>148</v>
      </c>
      <c r="F99" s="19" t="s">
        <v>148</v>
      </c>
    </row>
    <row r="100" spans="2:6" x14ac:dyDescent="0.2">
      <c r="B100" s="1" t="s">
        <v>236</v>
      </c>
    </row>
    <row r="101" spans="2:6" x14ac:dyDescent="0.2">
      <c r="B101" s="1" t="s">
        <v>42</v>
      </c>
      <c r="E101" s="6">
        <f>+E32</f>
        <v>2555</v>
      </c>
    </row>
    <row r="102" spans="2:6" x14ac:dyDescent="0.2">
      <c r="B102" s="1" t="s">
        <v>60</v>
      </c>
      <c r="E102" s="6">
        <f>-+E42</f>
        <v>-1831</v>
      </c>
    </row>
    <row r="103" spans="2:6" x14ac:dyDescent="0.2">
      <c r="B103" s="1" t="s">
        <v>17</v>
      </c>
      <c r="E103" s="6">
        <f>SUM(E101:E102)</f>
        <v>724</v>
      </c>
    </row>
    <row r="104" spans="2:6" x14ac:dyDescent="0.2">
      <c r="B104" s="1" t="s">
        <v>237</v>
      </c>
      <c r="E104" s="1">
        <f>-+E49</f>
        <v>-185</v>
      </c>
    </row>
    <row r="105" spans="2:6" x14ac:dyDescent="0.2">
      <c r="B105" s="1" t="s">
        <v>18</v>
      </c>
      <c r="E105" s="1">
        <f>-E56</f>
        <v>-166</v>
      </c>
    </row>
    <row r="106" spans="2:6" x14ac:dyDescent="0.2">
      <c r="B106" s="1" t="s">
        <v>238</v>
      </c>
      <c r="F106" s="6">
        <f>SUM(E103:E105)</f>
        <v>373</v>
      </c>
    </row>
    <row r="108" spans="2:6" x14ac:dyDescent="0.2">
      <c r="B108" s="1" t="s">
        <v>239</v>
      </c>
    </row>
    <row r="109" spans="2:6" x14ac:dyDescent="0.2">
      <c r="B109" s="1" t="s">
        <v>165</v>
      </c>
      <c r="E109" s="1">
        <f>E65</f>
        <v>-480</v>
      </c>
    </row>
    <row r="110" spans="2:6" x14ac:dyDescent="0.2">
      <c r="B110" s="1" t="s">
        <v>240</v>
      </c>
      <c r="E110" s="1">
        <f>E71</f>
        <v>10</v>
      </c>
    </row>
    <row r="111" spans="2:6" x14ac:dyDescent="0.2">
      <c r="B111" s="1" t="s">
        <v>241</v>
      </c>
      <c r="F111" s="1">
        <f>SUM(E109:E110)</f>
        <v>-470</v>
      </c>
    </row>
    <row r="113" spans="2:6" x14ac:dyDescent="0.2">
      <c r="B113" s="1" t="s">
        <v>199</v>
      </c>
    </row>
    <row r="114" spans="2:6" x14ac:dyDescent="0.2">
      <c r="B114" s="1" t="s">
        <v>242</v>
      </c>
      <c r="E114" s="1">
        <f>+E79</f>
        <v>18</v>
      </c>
    </row>
    <row r="115" spans="2:6" x14ac:dyDescent="0.2">
      <c r="B115" s="1" t="s">
        <v>200</v>
      </c>
      <c r="E115" s="1">
        <f>+E85</f>
        <v>150</v>
      </c>
    </row>
    <row r="116" spans="2:6" x14ac:dyDescent="0.2">
      <c r="B116" s="1" t="s">
        <v>243</v>
      </c>
      <c r="E116" s="1">
        <f>+E94</f>
        <v>-65</v>
      </c>
    </row>
    <row r="117" spans="2:6" x14ac:dyDescent="0.2">
      <c r="B117" s="1" t="s">
        <v>244</v>
      </c>
      <c r="F117" s="1">
        <f>SUM(E114:E116)</f>
        <v>103</v>
      </c>
    </row>
    <row r="119" spans="2:6" x14ac:dyDescent="0.2">
      <c r="B119" s="1" t="s">
        <v>245</v>
      </c>
      <c r="F119" s="6">
        <f>SUM(F106:F117)</f>
        <v>6</v>
      </c>
    </row>
    <row r="120" spans="2:6" x14ac:dyDescent="0.2">
      <c r="B120" s="1" t="s">
        <v>246</v>
      </c>
      <c r="F120" s="1">
        <v>191</v>
      </c>
    </row>
    <row r="121" spans="2:6" ht="12.75" thickBot="1" x14ac:dyDescent="0.25">
      <c r="B121" s="1" t="s">
        <v>247</v>
      </c>
      <c r="F121" s="7">
        <f>+F119+F120</f>
        <v>197</v>
      </c>
    </row>
    <row r="122" spans="2:6" ht="12.75" thickTop="1" x14ac:dyDescent="0.2">
      <c r="B122" s="1" t="s">
        <v>248</v>
      </c>
      <c r="F122" s="1">
        <v>197</v>
      </c>
    </row>
    <row r="123" spans="2:6" x14ac:dyDescent="0.2">
      <c r="B123" s="1" t="s">
        <v>249</v>
      </c>
      <c r="F123" s="6">
        <f>+F121-F122</f>
        <v>0</v>
      </c>
    </row>
    <row r="126" spans="2:6" x14ac:dyDescent="0.2">
      <c r="B126" s="1" t="s">
        <v>64</v>
      </c>
    </row>
    <row r="128" spans="2:6" x14ac:dyDescent="0.2">
      <c r="B128" s="1" t="s">
        <v>103</v>
      </c>
    </row>
    <row r="129" spans="2:6" x14ac:dyDescent="0.2">
      <c r="C129" s="1" t="s">
        <v>252</v>
      </c>
      <c r="D129" s="1" t="s">
        <v>94</v>
      </c>
      <c r="E129" s="1" t="s">
        <v>92</v>
      </c>
    </row>
    <row r="130" spans="2:6" x14ac:dyDescent="0.2">
      <c r="B130" s="1" t="s">
        <v>104</v>
      </c>
      <c r="C130" s="1">
        <v>102</v>
      </c>
      <c r="D130" s="1">
        <v>189</v>
      </c>
      <c r="E130" s="1">
        <f>78+8-2</f>
        <v>84</v>
      </c>
    </row>
    <row r="131" spans="2:6" x14ac:dyDescent="0.2">
      <c r="B131" s="1" t="s">
        <v>250</v>
      </c>
      <c r="C131" s="1">
        <v>106</v>
      </c>
      <c r="D131" s="1">
        <v>164</v>
      </c>
      <c r="E131" s="1">
        <f>71+10-7</f>
        <v>74</v>
      </c>
      <c r="F131" s="1" t="s">
        <v>259</v>
      </c>
    </row>
    <row r="132" spans="2:6" ht="12.75" thickBot="1" x14ac:dyDescent="0.25">
      <c r="B132" s="1" t="s">
        <v>251</v>
      </c>
      <c r="C132" s="3">
        <f>+C131-C130</f>
        <v>4</v>
      </c>
      <c r="D132" s="3">
        <f>+D131-D130</f>
        <v>-25</v>
      </c>
      <c r="E132" s="3">
        <f>+E130-E131</f>
        <v>10</v>
      </c>
    </row>
    <row r="133" spans="2:6" ht="12.75" thickTop="1" x14ac:dyDescent="0.2"/>
    <row r="135" spans="2:6" x14ac:dyDescent="0.2">
      <c r="B135" s="1" t="s">
        <v>80</v>
      </c>
    </row>
    <row r="136" spans="2:6" x14ac:dyDescent="0.2">
      <c r="B136" s="1" t="s">
        <v>66</v>
      </c>
      <c r="E136" s="1">
        <v>342</v>
      </c>
    </row>
    <row r="137" spans="2:6" x14ac:dyDescent="0.2">
      <c r="B137" s="1" t="s">
        <v>253</v>
      </c>
    </row>
    <row r="138" spans="2:6" x14ac:dyDescent="0.2">
      <c r="B138" s="1" t="s">
        <v>86</v>
      </c>
      <c r="E138" s="1">
        <v>190</v>
      </c>
    </row>
    <row r="139" spans="2:6" x14ac:dyDescent="0.2">
      <c r="B139" s="1" t="s">
        <v>254</v>
      </c>
      <c r="E139" s="21">
        <v>167</v>
      </c>
    </row>
    <row r="140" spans="2:6" x14ac:dyDescent="0.2">
      <c r="B140" s="1" t="s">
        <v>255</v>
      </c>
      <c r="E140" s="10">
        <v>14</v>
      </c>
    </row>
    <row r="141" spans="2:6" x14ac:dyDescent="0.2">
      <c r="E141" s="1">
        <f>SUM(E136:E140)</f>
        <v>713</v>
      </c>
    </row>
    <row r="142" spans="2:6" x14ac:dyDescent="0.2">
      <c r="B142" s="1" t="s">
        <v>256</v>
      </c>
      <c r="E142" s="1">
        <f>-C132</f>
        <v>-4</v>
      </c>
    </row>
    <row r="143" spans="2:6" x14ac:dyDescent="0.2">
      <c r="B143" s="1" t="s">
        <v>257</v>
      </c>
      <c r="E143" s="1">
        <f>-D132</f>
        <v>25</v>
      </c>
    </row>
    <row r="144" spans="2:6" x14ac:dyDescent="0.2">
      <c r="B144" s="1" t="s">
        <v>258</v>
      </c>
      <c r="E144" s="1">
        <f>-E132</f>
        <v>-10</v>
      </c>
    </row>
    <row r="145" spans="2:5" ht="12.75" thickBot="1" x14ac:dyDescent="0.25">
      <c r="B145" s="1" t="s">
        <v>17</v>
      </c>
      <c r="E145" s="3">
        <f>SUM(E141:E144)</f>
        <v>724</v>
      </c>
    </row>
    <row r="146" spans="2:5" ht="12.75" thickTop="1" x14ac:dyDescent="0.2"/>
  </sheetData>
  <hyperlinks>
    <hyperlink ref="A1" location="Main!A1" display="Main" xr:uid="{7CA8ED33-BDB2-4630-B9EF-6E9C073A55A3}"/>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42227-8E57-4FDF-B377-F596D8AA43A5}">
  <sheetPr codeName="Sheet5"/>
  <dimension ref="A1:G146"/>
  <sheetViews>
    <sheetView topLeftCell="A109" zoomScale="190" zoomScaleNormal="190" workbookViewId="0">
      <selection activeCell="F72" sqref="F72"/>
    </sheetView>
  </sheetViews>
  <sheetFormatPr defaultRowHeight="12" x14ac:dyDescent="0.2"/>
  <cols>
    <col min="1" max="16384" width="9.140625" style="1"/>
  </cols>
  <sheetData>
    <row r="1" spans="1:7" ht="15" x14ac:dyDescent="0.25">
      <c r="A1" s="2" t="s">
        <v>0</v>
      </c>
    </row>
    <row r="2" spans="1:7" x14ac:dyDescent="0.2">
      <c r="B2" s="1" t="s">
        <v>260</v>
      </c>
    </row>
    <row r="3" spans="1:7" x14ac:dyDescent="0.2">
      <c r="B3" s="1" t="s">
        <v>261</v>
      </c>
      <c r="C3" s="22">
        <v>45016</v>
      </c>
    </row>
    <row r="5" spans="1:7" x14ac:dyDescent="0.2">
      <c r="B5" s="1" t="s">
        <v>64</v>
      </c>
    </row>
    <row r="7" spans="1:7" x14ac:dyDescent="0.2">
      <c r="C7" s="23"/>
      <c r="D7" s="23">
        <v>2023</v>
      </c>
      <c r="E7" s="23">
        <v>2022</v>
      </c>
      <c r="F7" s="23"/>
      <c r="G7" s="23"/>
    </row>
    <row r="8" spans="1:7" x14ac:dyDescent="0.2">
      <c r="C8" s="23"/>
      <c r="D8" s="25" t="s">
        <v>148</v>
      </c>
      <c r="E8" s="25" t="s">
        <v>148</v>
      </c>
      <c r="F8" s="23"/>
      <c r="G8" s="23"/>
    </row>
    <row r="9" spans="1:7" x14ac:dyDescent="0.2">
      <c r="B9" s="1" t="s">
        <v>287</v>
      </c>
      <c r="C9" s="23"/>
      <c r="D9" s="23">
        <v>21395</v>
      </c>
      <c r="E9" s="23">
        <v>19458</v>
      </c>
      <c r="F9" s="23"/>
      <c r="G9" s="23"/>
    </row>
    <row r="10" spans="1:7" x14ac:dyDescent="0.2">
      <c r="B10" s="1" t="s">
        <v>286</v>
      </c>
      <c r="C10" s="23"/>
      <c r="D10" s="23">
        <v>281</v>
      </c>
      <c r="E10" s="23">
        <v>222</v>
      </c>
      <c r="F10" s="23"/>
      <c r="G10" s="23"/>
    </row>
    <row r="11" spans="1:7" x14ac:dyDescent="0.2">
      <c r="C11" s="23"/>
      <c r="D11" s="23">
        <f>SUM(D9:D10)</f>
        <v>21676</v>
      </c>
      <c r="E11" s="23">
        <f>SUM(E9:E10)</f>
        <v>19680</v>
      </c>
      <c r="F11" s="23"/>
      <c r="G11" s="23"/>
    </row>
    <row r="12" spans="1:7" x14ac:dyDescent="0.2">
      <c r="C12" s="23"/>
      <c r="D12" s="23"/>
      <c r="E12" s="23"/>
      <c r="F12" s="23"/>
      <c r="G12" s="23"/>
    </row>
    <row r="13" spans="1:7" x14ac:dyDescent="0.2">
      <c r="B13" s="1" t="s">
        <v>107</v>
      </c>
      <c r="C13" s="23"/>
      <c r="D13" s="23">
        <v>25919</v>
      </c>
      <c r="E13" s="23">
        <v>23073</v>
      </c>
      <c r="F13" s="23"/>
      <c r="G13" s="23"/>
    </row>
    <row r="14" spans="1:7" x14ac:dyDescent="0.2">
      <c r="B14" s="1" t="s">
        <v>264</v>
      </c>
      <c r="C14" s="23"/>
      <c r="D14" s="23">
        <v>7010</v>
      </c>
      <c r="E14" s="23">
        <v>6470</v>
      </c>
      <c r="F14" s="23"/>
      <c r="G14" s="23"/>
    </row>
    <row r="15" spans="1:7" x14ac:dyDescent="0.2">
      <c r="B15" s="1" t="s">
        <v>93</v>
      </c>
      <c r="C15" s="23"/>
      <c r="D15" s="23">
        <v>7742</v>
      </c>
      <c r="E15" s="23">
        <v>10028</v>
      </c>
      <c r="F15" s="23"/>
      <c r="G15" s="23"/>
    </row>
    <row r="16" spans="1:7" x14ac:dyDescent="0.2">
      <c r="C16" s="23"/>
      <c r="D16" s="23">
        <f>SUM(D13:D15)</f>
        <v>40671</v>
      </c>
      <c r="E16" s="23">
        <f>SUM(E13:E15)</f>
        <v>39571</v>
      </c>
      <c r="F16" s="23"/>
      <c r="G16" s="23"/>
    </row>
    <row r="17" spans="2:7" x14ac:dyDescent="0.2">
      <c r="B17" s="1" t="s">
        <v>285</v>
      </c>
      <c r="C17" s="23"/>
      <c r="D17" s="23">
        <f>+D16+D11</f>
        <v>62347</v>
      </c>
      <c r="E17" s="23">
        <f>+E16+E11</f>
        <v>59251</v>
      </c>
      <c r="F17" s="23"/>
      <c r="G17" s="23"/>
    </row>
    <row r="18" spans="2:7" x14ac:dyDescent="0.2">
      <c r="C18" s="23"/>
      <c r="D18" s="23"/>
      <c r="E18" s="23"/>
      <c r="F18" s="23"/>
      <c r="G18" s="23"/>
    </row>
    <row r="19" spans="2:7" x14ac:dyDescent="0.2">
      <c r="B19" s="1" t="s">
        <v>284</v>
      </c>
      <c r="C19" s="23"/>
      <c r="D19" s="23">
        <v>29634</v>
      </c>
      <c r="E19" s="23">
        <v>29214</v>
      </c>
      <c r="F19" s="23"/>
      <c r="G19" s="23"/>
    </row>
    <row r="20" spans="2:7" x14ac:dyDescent="0.2">
      <c r="B20" s="1" t="s">
        <v>283</v>
      </c>
      <c r="C20" s="23"/>
      <c r="D20" s="23">
        <v>25171</v>
      </c>
      <c r="E20" s="23">
        <v>20980</v>
      </c>
      <c r="F20" s="23"/>
      <c r="G20" s="23"/>
    </row>
    <row r="21" spans="2:7" x14ac:dyDescent="0.2">
      <c r="B21" s="1" t="s">
        <v>282</v>
      </c>
      <c r="C21" s="23"/>
      <c r="D21" s="23">
        <v>30</v>
      </c>
      <c r="E21" s="23">
        <v>100</v>
      </c>
      <c r="F21" s="23"/>
      <c r="G21" s="23"/>
    </row>
    <row r="22" spans="2:7" x14ac:dyDescent="0.2">
      <c r="B22" s="1" t="s">
        <v>281</v>
      </c>
      <c r="C22" s="23"/>
      <c r="D22" s="23">
        <v>38</v>
      </c>
      <c r="E22" s="23">
        <v>0</v>
      </c>
      <c r="F22" s="23"/>
      <c r="G22" s="23"/>
    </row>
    <row r="23" spans="2:7" x14ac:dyDescent="0.2">
      <c r="B23" s="1" t="s">
        <v>280</v>
      </c>
      <c r="C23" s="23"/>
      <c r="D23" s="23">
        <f>SUM(D19:D22)</f>
        <v>54873</v>
      </c>
      <c r="E23" s="23">
        <f>SUM(E19:E22)</f>
        <v>50294</v>
      </c>
      <c r="F23" s="23"/>
      <c r="G23" s="23"/>
    </row>
    <row r="24" spans="2:7" x14ac:dyDescent="0.2">
      <c r="C24" s="23"/>
      <c r="D24" s="23"/>
      <c r="E24" s="23"/>
      <c r="F24" s="23"/>
      <c r="G24" s="23"/>
    </row>
    <row r="25" spans="2:7" x14ac:dyDescent="0.2">
      <c r="B25" s="1" t="s">
        <v>279</v>
      </c>
      <c r="C25" s="23"/>
      <c r="D25" s="23">
        <v>1380</v>
      </c>
      <c r="E25" s="23">
        <v>2998</v>
      </c>
      <c r="F25" s="23"/>
      <c r="G25" s="23"/>
    </row>
    <row r="26" spans="2:7" x14ac:dyDescent="0.2">
      <c r="B26" s="1" t="s">
        <v>278</v>
      </c>
      <c r="C26" s="23"/>
      <c r="D26" s="23">
        <v>180</v>
      </c>
      <c r="E26" s="23">
        <v>600</v>
      </c>
      <c r="F26" s="23"/>
      <c r="G26" s="23"/>
    </row>
    <row r="27" spans="2:7" x14ac:dyDescent="0.2">
      <c r="B27" s="1" t="s">
        <v>277</v>
      </c>
      <c r="C27" s="23"/>
      <c r="D27" s="23">
        <v>1310</v>
      </c>
      <c r="E27" s="23">
        <v>0</v>
      </c>
      <c r="F27" s="23"/>
      <c r="G27" s="23"/>
    </row>
    <row r="28" spans="2:7" x14ac:dyDescent="0.2">
      <c r="B28" s="1" t="s">
        <v>276</v>
      </c>
      <c r="C28" s="23"/>
      <c r="D28" s="23">
        <f>SUM(D25:D27)</f>
        <v>2870</v>
      </c>
      <c r="E28" s="23">
        <f>SUM(E25:E27)</f>
        <v>3598</v>
      </c>
      <c r="F28" s="23"/>
      <c r="G28" s="23"/>
    </row>
    <row r="29" spans="2:7" x14ac:dyDescent="0.2">
      <c r="C29" s="23"/>
      <c r="D29" s="23"/>
      <c r="E29" s="23"/>
      <c r="F29" s="23"/>
      <c r="G29" s="23"/>
    </row>
    <row r="30" spans="2:7" x14ac:dyDescent="0.2">
      <c r="B30" s="1" t="s">
        <v>265</v>
      </c>
      <c r="C30" s="23"/>
      <c r="D30" s="23">
        <v>3246</v>
      </c>
      <c r="E30" s="23">
        <v>3674</v>
      </c>
      <c r="F30" s="23"/>
      <c r="G30" s="23"/>
    </row>
    <row r="31" spans="2:7" x14ac:dyDescent="0.2">
      <c r="B31" s="1" t="s">
        <v>275</v>
      </c>
      <c r="C31" s="23"/>
      <c r="D31" s="23">
        <v>1358</v>
      </c>
      <c r="E31" s="23">
        <v>1685</v>
      </c>
      <c r="F31" s="23"/>
      <c r="G31" s="23"/>
    </row>
    <row r="32" spans="2:7" x14ac:dyDescent="0.2">
      <c r="B32" s="1" t="s">
        <v>274</v>
      </c>
      <c r="C32" s="23"/>
      <c r="D32" s="23">
        <f>SUM(D30:D31)</f>
        <v>4604</v>
      </c>
      <c r="E32" s="23">
        <f>SUM(E30:E31)</f>
        <v>5359</v>
      </c>
      <c r="F32" s="23"/>
      <c r="G32" s="23"/>
    </row>
    <row r="33" spans="2:7" x14ac:dyDescent="0.2">
      <c r="B33" s="1" t="s">
        <v>273</v>
      </c>
      <c r="C33" s="23"/>
      <c r="D33" s="23">
        <f>+D32+D28</f>
        <v>7474</v>
      </c>
      <c r="E33" s="23">
        <f>+E32+E28</f>
        <v>8957</v>
      </c>
      <c r="F33" s="23"/>
      <c r="G33" s="23"/>
    </row>
    <row r="34" spans="2:7" x14ac:dyDescent="0.2">
      <c r="B34" s="1" t="s">
        <v>272</v>
      </c>
      <c r="C34" s="23"/>
      <c r="D34" s="23">
        <f>+D33+D23</f>
        <v>62347</v>
      </c>
      <c r="E34" s="23">
        <f>+E33+E23</f>
        <v>59251</v>
      </c>
      <c r="F34" s="23"/>
      <c r="G34" s="23"/>
    </row>
    <row r="35" spans="2:7" x14ac:dyDescent="0.2">
      <c r="C35" s="23"/>
      <c r="D35" s="23"/>
      <c r="E35" s="23"/>
      <c r="F35" s="23"/>
      <c r="G35" s="23"/>
    </row>
    <row r="36" spans="2:7" x14ac:dyDescent="0.2">
      <c r="C36" s="23"/>
      <c r="D36" s="23"/>
      <c r="E36" s="23"/>
      <c r="F36" s="23"/>
      <c r="G36" s="23"/>
    </row>
    <row r="37" spans="2:7" x14ac:dyDescent="0.2">
      <c r="B37" s="1" t="s">
        <v>271</v>
      </c>
      <c r="C37" s="23"/>
      <c r="D37" s="23">
        <v>684</v>
      </c>
      <c r="E37" s="23"/>
      <c r="F37" s="23"/>
      <c r="G37" s="23"/>
    </row>
    <row r="38" spans="2:7" x14ac:dyDescent="0.2">
      <c r="B38" s="1" t="s">
        <v>86</v>
      </c>
      <c r="C38" s="23"/>
      <c r="D38" s="23">
        <v>-150</v>
      </c>
      <c r="E38" s="23"/>
      <c r="F38" s="23"/>
      <c r="G38" s="23"/>
    </row>
    <row r="39" spans="2:7" x14ac:dyDescent="0.2">
      <c r="B39" s="1" t="s">
        <v>66</v>
      </c>
      <c r="C39" s="23"/>
      <c r="D39" s="23">
        <v>6881</v>
      </c>
      <c r="E39" s="23"/>
      <c r="F39" s="23"/>
      <c r="G39" s="23"/>
    </row>
    <row r="40" spans="2:7" x14ac:dyDescent="0.2">
      <c r="B40" s="1" t="s">
        <v>270</v>
      </c>
      <c r="C40" s="23"/>
      <c r="D40" s="23">
        <v>-1388</v>
      </c>
      <c r="E40" s="23"/>
      <c r="F40" s="23"/>
      <c r="G40" s="23"/>
    </row>
    <row r="41" spans="2:7" x14ac:dyDescent="0.2">
      <c r="B41" s="1" t="s">
        <v>269</v>
      </c>
      <c r="C41" s="23"/>
      <c r="D41" s="23">
        <f>SUM(D39:D40)</f>
        <v>5493</v>
      </c>
      <c r="E41" s="23"/>
      <c r="F41" s="23"/>
      <c r="G41" s="23"/>
    </row>
    <row r="42" spans="2:7" x14ac:dyDescent="0.2">
      <c r="C42" s="23"/>
      <c r="D42" s="23"/>
      <c r="E42" s="23"/>
      <c r="F42" s="23"/>
      <c r="G42" s="23"/>
    </row>
    <row r="43" spans="2:7" x14ac:dyDescent="0.2">
      <c r="C43" s="23"/>
      <c r="D43" s="23"/>
      <c r="E43" s="23"/>
      <c r="F43" s="23"/>
      <c r="G43" s="23"/>
    </row>
    <row r="44" spans="2:7" s="19" customFormat="1" x14ac:dyDescent="0.2">
      <c r="C44" s="25" t="s">
        <v>263</v>
      </c>
      <c r="D44" s="25" t="s">
        <v>264</v>
      </c>
      <c r="E44" s="25" t="s">
        <v>265</v>
      </c>
      <c r="F44" s="25"/>
      <c r="G44" s="25"/>
    </row>
    <row r="45" spans="2:7" x14ac:dyDescent="0.2">
      <c r="C45" s="25" t="s">
        <v>148</v>
      </c>
      <c r="D45" s="25" t="s">
        <v>148</v>
      </c>
      <c r="E45" s="25" t="s">
        <v>148</v>
      </c>
      <c r="F45" s="23"/>
      <c r="G45" s="23"/>
    </row>
    <row r="46" spans="2:7" x14ac:dyDescent="0.2">
      <c r="B46" s="1" t="s">
        <v>104</v>
      </c>
      <c r="C46" s="23">
        <f>+E13</f>
        <v>23073</v>
      </c>
      <c r="D46" s="23">
        <f>+E14</f>
        <v>6470</v>
      </c>
      <c r="E46" s="23">
        <f>+E30-24</f>
        <v>3650</v>
      </c>
      <c r="F46" s="23"/>
      <c r="G46" s="23"/>
    </row>
    <row r="47" spans="2:7" x14ac:dyDescent="0.2">
      <c r="B47" s="1" t="s">
        <v>266</v>
      </c>
      <c r="C47" s="23">
        <f>+D13</f>
        <v>25919</v>
      </c>
      <c r="D47" s="23">
        <f>+D14</f>
        <v>7010</v>
      </c>
      <c r="E47" s="23">
        <f>+D30-32</f>
        <v>3214</v>
      </c>
      <c r="F47" s="23"/>
      <c r="G47" s="23"/>
    </row>
    <row r="48" spans="2:7" ht="12.75" thickBot="1" x14ac:dyDescent="0.25">
      <c r="B48" s="1" t="s">
        <v>251</v>
      </c>
      <c r="C48" s="24">
        <f>+C47-C46</f>
        <v>2846</v>
      </c>
      <c r="D48" s="24">
        <f t="shared" ref="D48:E48" si="0">+D47-D46</f>
        <v>540</v>
      </c>
      <c r="E48" s="24">
        <f t="shared" si="0"/>
        <v>-436</v>
      </c>
      <c r="F48" s="23"/>
      <c r="G48" s="23"/>
    </row>
    <row r="49" spans="2:7" ht="12.75" thickTop="1" x14ac:dyDescent="0.2">
      <c r="C49" s="23"/>
      <c r="D49" s="23"/>
      <c r="E49" s="23"/>
      <c r="F49" s="23"/>
      <c r="G49" s="23"/>
    </row>
    <row r="50" spans="2:7" x14ac:dyDescent="0.2">
      <c r="B50" s="1" t="s">
        <v>215</v>
      </c>
      <c r="C50" s="23"/>
      <c r="D50" s="23"/>
      <c r="E50" s="23"/>
      <c r="F50" s="23"/>
      <c r="G50" s="23"/>
    </row>
    <row r="51" spans="2:7" x14ac:dyDescent="0.2">
      <c r="B51" s="1" t="s">
        <v>267</v>
      </c>
      <c r="C51" s="23"/>
      <c r="D51" s="23"/>
      <c r="E51" s="23">
        <v>24</v>
      </c>
      <c r="F51" s="23"/>
      <c r="G51" s="23"/>
    </row>
    <row r="52" spans="2:7" x14ac:dyDescent="0.2">
      <c r="B52" s="1" t="s">
        <v>268</v>
      </c>
      <c r="C52" s="23"/>
      <c r="D52" s="23"/>
      <c r="E52" s="23">
        <f>-+D38</f>
        <v>150</v>
      </c>
      <c r="F52" s="23"/>
      <c r="G52" s="23"/>
    </row>
    <row r="53" spans="2:7" x14ac:dyDescent="0.2">
      <c r="C53" s="23"/>
      <c r="D53" s="23"/>
      <c r="E53" s="23">
        <f>SUM(E51:E52)</f>
        <v>174</v>
      </c>
      <c r="F53" s="23"/>
      <c r="G53" s="23"/>
    </row>
    <row r="54" spans="2:7" x14ac:dyDescent="0.2">
      <c r="B54" s="1" t="s">
        <v>288</v>
      </c>
      <c r="C54" s="23"/>
      <c r="D54" s="23"/>
      <c r="E54" s="23">
        <v>32</v>
      </c>
      <c r="F54" s="23"/>
      <c r="G54" s="23"/>
    </row>
    <row r="55" spans="2:7" ht="12.75" thickBot="1" x14ac:dyDescent="0.25">
      <c r="B55" s="1" t="s">
        <v>215</v>
      </c>
      <c r="C55" s="23"/>
      <c r="D55" s="23"/>
      <c r="E55" s="24">
        <f>+E54-E53</f>
        <v>-142</v>
      </c>
      <c r="F55" s="23"/>
      <c r="G55" s="23"/>
    </row>
    <row r="56" spans="2:7" ht="12.75" thickTop="1" x14ac:dyDescent="0.2">
      <c r="C56" s="23"/>
      <c r="D56" s="23"/>
      <c r="E56" s="23"/>
      <c r="F56" s="23"/>
      <c r="G56" s="23"/>
    </row>
    <row r="57" spans="2:7" x14ac:dyDescent="0.2">
      <c r="B57" s="1" t="s">
        <v>117</v>
      </c>
      <c r="C57" s="23"/>
      <c r="D57" s="23"/>
      <c r="E57" s="23"/>
      <c r="F57" s="23"/>
      <c r="G57" s="23"/>
    </row>
    <row r="58" spans="2:7" x14ac:dyDescent="0.2">
      <c r="B58" s="1" t="s">
        <v>289</v>
      </c>
      <c r="C58" s="23"/>
      <c r="D58" s="23"/>
      <c r="E58" s="23">
        <f>+E31</f>
        <v>1685</v>
      </c>
      <c r="F58" s="23"/>
      <c r="G58" s="23"/>
    </row>
    <row r="59" spans="2:7" x14ac:dyDescent="0.2">
      <c r="B59" s="1" t="s">
        <v>219</v>
      </c>
      <c r="C59" s="23"/>
      <c r="D59" s="23"/>
      <c r="E59" s="23">
        <f>-D40</f>
        <v>1388</v>
      </c>
      <c r="F59" s="23"/>
      <c r="G59" s="23"/>
    </row>
    <row r="60" spans="2:7" x14ac:dyDescent="0.2">
      <c r="C60" s="23"/>
      <c r="D60" s="23"/>
      <c r="E60" s="23">
        <f>SUM(E58:E59)</f>
        <v>3073</v>
      </c>
      <c r="F60" s="23"/>
      <c r="G60" s="23"/>
    </row>
    <row r="61" spans="2:7" x14ac:dyDescent="0.2">
      <c r="B61" s="1" t="s">
        <v>220</v>
      </c>
      <c r="C61" s="23"/>
      <c r="D61" s="23"/>
      <c r="E61" s="23">
        <f>+D31</f>
        <v>1358</v>
      </c>
      <c r="F61" s="23"/>
      <c r="G61" s="23"/>
    </row>
    <row r="62" spans="2:7" ht="12.75" thickBot="1" x14ac:dyDescent="0.25">
      <c r="C62" s="23"/>
      <c r="D62" s="23"/>
      <c r="E62" s="24">
        <f>+E61-E60</f>
        <v>-1715</v>
      </c>
      <c r="F62" s="23"/>
      <c r="G62" s="23"/>
    </row>
    <row r="63" spans="2:7" ht="12.75" thickTop="1" x14ac:dyDescent="0.2">
      <c r="C63" s="23"/>
      <c r="D63" s="23"/>
      <c r="E63" s="23"/>
      <c r="F63" s="23"/>
      <c r="G63" s="23"/>
    </row>
    <row r="64" spans="2:7" x14ac:dyDescent="0.2">
      <c r="B64" s="1" t="s">
        <v>221</v>
      </c>
      <c r="C64" s="23"/>
      <c r="D64" s="23"/>
      <c r="E64" s="23"/>
      <c r="F64" s="23"/>
      <c r="G64" s="23"/>
    </row>
    <row r="65" spans="2:7" x14ac:dyDescent="0.2">
      <c r="B65" s="1" t="s">
        <v>290</v>
      </c>
      <c r="C65" s="23"/>
      <c r="D65" s="23"/>
      <c r="E65" s="23">
        <f>+E9</f>
        <v>19458</v>
      </c>
      <c r="F65" s="23"/>
      <c r="G65" s="23"/>
    </row>
    <row r="66" spans="2:7" x14ac:dyDescent="0.2">
      <c r="B66" s="1" t="s">
        <v>291</v>
      </c>
      <c r="C66" s="23"/>
      <c r="D66" s="23"/>
      <c r="E66" s="23">
        <v>-1091</v>
      </c>
      <c r="F66" s="23"/>
      <c r="G66" s="23"/>
    </row>
    <row r="67" spans="2:7" x14ac:dyDescent="0.2">
      <c r="B67" s="1" t="s">
        <v>292</v>
      </c>
      <c r="C67" s="23"/>
      <c r="D67" s="23"/>
      <c r="E67" s="23">
        <v>-22</v>
      </c>
      <c r="F67" s="23"/>
      <c r="G67" s="23"/>
    </row>
    <row r="68" spans="2:7" x14ac:dyDescent="0.2">
      <c r="B68" s="1" t="s">
        <v>293</v>
      </c>
      <c r="C68" s="23"/>
      <c r="D68" s="23"/>
      <c r="E68" s="23">
        <f>D27</f>
        <v>1310</v>
      </c>
      <c r="F68" s="23"/>
      <c r="G68" s="23"/>
    </row>
    <row r="69" spans="2:7" x14ac:dyDescent="0.2">
      <c r="C69" s="23"/>
      <c r="D69" s="23"/>
      <c r="E69" s="23">
        <f>SUM(E65:E68)</f>
        <v>19655</v>
      </c>
      <c r="F69" s="23"/>
      <c r="G69" s="23"/>
    </row>
    <row r="70" spans="2:7" x14ac:dyDescent="0.2">
      <c r="B70" s="1" t="s">
        <v>224</v>
      </c>
      <c r="C70" s="23"/>
      <c r="D70" s="23"/>
      <c r="E70" s="23">
        <f>+D9</f>
        <v>21395</v>
      </c>
      <c r="F70" s="23"/>
      <c r="G70" s="23"/>
    </row>
    <row r="71" spans="2:7" ht="12.75" thickBot="1" x14ac:dyDescent="0.25">
      <c r="B71" s="1" t="s">
        <v>294</v>
      </c>
      <c r="C71" s="23"/>
      <c r="D71" s="23"/>
      <c r="E71" s="24">
        <f>+E70-E69</f>
        <v>1740</v>
      </c>
      <c r="F71" s="23"/>
      <c r="G71" s="23"/>
    </row>
    <row r="72" spans="2:7" ht="12.75" thickTop="1" x14ac:dyDescent="0.2">
      <c r="C72" s="23"/>
      <c r="D72" s="23"/>
      <c r="E72" s="23"/>
      <c r="F72" s="23"/>
      <c r="G72" s="23"/>
    </row>
    <row r="73" spans="2:7" x14ac:dyDescent="0.2">
      <c r="C73" s="23"/>
      <c r="D73" s="23"/>
      <c r="E73" s="23"/>
      <c r="F73" s="23"/>
      <c r="G73" s="23"/>
    </row>
    <row r="74" spans="2:7" x14ac:dyDescent="0.2">
      <c r="B74" s="1" t="s">
        <v>286</v>
      </c>
      <c r="C74" s="23"/>
      <c r="D74" s="23"/>
      <c r="E74" s="23"/>
      <c r="F74" s="23"/>
      <c r="G74" s="23"/>
    </row>
    <row r="75" spans="2:7" x14ac:dyDescent="0.2">
      <c r="B75" s="1" t="s">
        <v>295</v>
      </c>
      <c r="C75" s="23"/>
      <c r="D75" s="23"/>
      <c r="E75" s="23">
        <f>+E10</f>
        <v>222</v>
      </c>
      <c r="F75" s="23"/>
      <c r="G75" s="23"/>
    </row>
    <row r="76" spans="2:7" x14ac:dyDescent="0.2">
      <c r="B76" s="1" t="s">
        <v>296</v>
      </c>
      <c r="C76" s="23"/>
      <c r="D76" s="23"/>
      <c r="E76" s="23">
        <v>38</v>
      </c>
      <c r="F76" s="23"/>
      <c r="G76" s="23"/>
    </row>
    <row r="77" spans="2:7" x14ac:dyDescent="0.2">
      <c r="C77" s="23"/>
      <c r="D77" s="23"/>
      <c r="E77" s="23">
        <f>SUM(E75:E76)</f>
        <v>260</v>
      </c>
      <c r="F77" s="23"/>
      <c r="G77" s="23"/>
    </row>
    <row r="78" spans="2:7" x14ac:dyDescent="0.2">
      <c r="B78" s="1" t="s">
        <v>297</v>
      </c>
      <c r="C78" s="23"/>
      <c r="D78" s="23"/>
      <c r="E78" s="23">
        <f>+D10</f>
        <v>281</v>
      </c>
      <c r="F78" s="23"/>
      <c r="G78" s="23"/>
    </row>
    <row r="79" spans="2:7" ht="12.75" thickBot="1" x14ac:dyDescent="0.25">
      <c r="B79" s="1" t="s">
        <v>298</v>
      </c>
      <c r="C79" s="23"/>
      <c r="D79" s="23"/>
      <c r="E79" s="24">
        <f>+E78-E77</f>
        <v>21</v>
      </c>
      <c r="F79" s="23"/>
      <c r="G79" s="23"/>
    </row>
    <row r="80" spans="2:7" ht="12.75" thickTop="1" x14ac:dyDescent="0.2">
      <c r="C80" s="23"/>
      <c r="D80" s="23"/>
      <c r="E80" s="23"/>
      <c r="F80" s="23"/>
      <c r="G80" s="23"/>
    </row>
    <row r="81" spans="2:7" x14ac:dyDescent="0.2">
      <c r="B81" s="1" t="s">
        <v>225</v>
      </c>
      <c r="C81" s="23"/>
      <c r="D81" s="23"/>
      <c r="E81" s="23"/>
      <c r="F81" s="23"/>
      <c r="G81" s="23"/>
    </row>
    <row r="82" spans="2:7" x14ac:dyDescent="0.2">
      <c r="B82" s="1" t="s">
        <v>299</v>
      </c>
      <c r="C82" s="23"/>
      <c r="D82" s="23"/>
      <c r="E82" s="23">
        <v>22</v>
      </c>
      <c r="F82" s="23"/>
      <c r="G82" s="23"/>
    </row>
    <row r="83" spans="2:7" x14ac:dyDescent="0.2">
      <c r="B83" s="1" t="s">
        <v>262</v>
      </c>
      <c r="C83" s="23"/>
      <c r="D83" s="23"/>
      <c r="E83" s="23">
        <v>9</v>
      </c>
      <c r="F83" s="23"/>
      <c r="G83" s="23"/>
    </row>
    <row r="84" spans="2:7" ht="12.75" thickBot="1" x14ac:dyDescent="0.25">
      <c r="B84" s="1" t="s">
        <v>240</v>
      </c>
      <c r="C84" s="23"/>
      <c r="D84" s="23"/>
      <c r="E84" s="24">
        <f>SUM(E82:E83)</f>
        <v>31</v>
      </c>
      <c r="F84" s="23"/>
      <c r="G84" s="23"/>
    </row>
    <row r="85" spans="2:7" ht="12.75" thickTop="1" x14ac:dyDescent="0.2">
      <c r="C85" s="23"/>
      <c r="D85" s="23"/>
      <c r="E85" s="23"/>
      <c r="F85" s="23"/>
      <c r="G85" s="23"/>
    </row>
    <row r="86" spans="2:7" x14ac:dyDescent="0.2">
      <c r="C86" s="23"/>
      <c r="D86" s="23"/>
      <c r="E86" s="23"/>
      <c r="F86" s="23"/>
      <c r="G86" s="23"/>
    </row>
    <row r="87" spans="2:7" x14ac:dyDescent="0.2">
      <c r="B87" s="1" t="s">
        <v>135</v>
      </c>
      <c r="C87" s="23"/>
      <c r="D87" s="23"/>
      <c r="E87" s="23"/>
      <c r="F87" s="23"/>
      <c r="G87" s="23"/>
    </row>
    <row r="88" spans="2:7" x14ac:dyDescent="0.2">
      <c r="B88" s="1" t="s">
        <v>300</v>
      </c>
      <c r="C88" s="23"/>
      <c r="D88" s="23"/>
      <c r="E88" s="23">
        <v>0</v>
      </c>
      <c r="F88" s="23"/>
      <c r="G88" s="23"/>
    </row>
    <row r="89" spans="2:7" x14ac:dyDescent="0.2">
      <c r="B89" s="1" t="s">
        <v>132</v>
      </c>
      <c r="C89" s="23"/>
      <c r="D89" s="23"/>
      <c r="E89" s="23">
        <f>+D37</f>
        <v>684</v>
      </c>
      <c r="F89" s="23"/>
      <c r="G89" s="23"/>
    </row>
    <row r="90" spans="2:7" x14ac:dyDescent="0.2">
      <c r="C90" s="23"/>
      <c r="D90" s="23"/>
      <c r="E90" s="23">
        <f>SUM(E88:E89)</f>
        <v>684</v>
      </c>
      <c r="F90" s="23"/>
      <c r="G90" s="23"/>
    </row>
    <row r="91" spans="2:7" x14ac:dyDescent="0.2">
      <c r="B91" s="1" t="s">
        <v>301</v>
      </c>
      <c r="C91" s="23"/>
      <c r="D91" s="23"/>
      <c r="E91" s="23">
        <v>0</v>
      </c>
      <c r="F91" s="23"/>
      <c r="G91" s="23"/>
    </row>
    <row r="92" spans="2:7" ht="12.75" thickBot="1" x14ac:dyDescent="0.25">
      <c r="B92" s="1" t="s">
        <v>302</v>
      </c>
      <c r="C92" s="23"/>
      <c r="D92" s="23"/>
      <c r="E92" s="24">
        <f>+E91-E90</f>
        <v>-684</v>
      </c>
      <c r="F92" s="23"/>
      <c r="G92" s="23"/>
    </row>
    <row r="93" spans="2:7" ht="12.75" thickTop="1" x14ac:dyDescent="0.2">
      <c r="C93" s="23"/>
      <c r="D93" s="23"/>
      <c r="E93" s="23"/>
      <c r="F93" s="23"/>
      <c r="G93" s="23"/>
    </row>
    <row r="94" spans="2:7" x14ac:dyDescent="0.2">
      <c r="C94" s="23"/>
      <c r="D94" s="23"/>
      <c r="E94" s="23"/>
      <c r="F94" s="23"/>
      <c r="G94" s="23"/>
    </row>
    <row r="95" spans="2:7" x14ac:dyDescent="0.2">
      <c r="C95" s="23"/>
      <c r="D95" s="23"/>
      <c r="E95" s="23"/>
      <c r="F95" s="23"/>
      <c r="G95" s="23"/>
    </row>
    <row r="96" spans="2:7" x14ac:dyDescent="0.2">
      <c r="B96" s="1" t="s">
        <v>303</v>
      </c>
      <c r="C96" s="23"/>
      <c r="D96" s="23"/>
      <c r="E96" s="23"/>
      <c r="F96" s="23"/>
      <c r="G96" s="23"/>
    </row>
    <row r="97" spans="2:7" x14ac:dyDescent="0.2">
      <c r="B97" s="1" t="s">
        <v>195</v>
      </c>
      <c r="C97" s="23"/>
      <c r="D97" s="23"/>
      <c r="E97" s="23">
        <f>+E25</f>
        <v>2998</v>
      </c>
      <c r="F97" s="23"/>
      <c r="G97" s="23"/>
    </row>
    <row r="98" spans="2:7" x14ac:dyDescent="0.2">
      <c r="B98" s="1" t="s">
        <v>304</v>
      </c>
      <c r="C98" s="23"/>
      <c r="D98" s="23"/>
      <c r="E98" s="23">
        <f>+D25</f>
        <v>1380</v>
      </c>
      <c r="F98" s="23"/>
      <c r="G98" s="23"/>
    </row>
    <row r="99" spans="2:7" ht="12.75" thickBot="1" x14ac:dyDescent="0.25">
      <c r="B99" s="1" t="s">
        <v>303</v>
      </c>
      <c r="C99" s="23"/>
      <c r="D99" s="23"/>
      <c r="E99" s="24">
        <f>+E98-E97</f>
        <v>-1618</v>
      </c>
      <c r="F99" s="23"/>
      <c r="G99" s="23"/>
    </row>
    <row r="100" spans="2:7" ht="12.75" thickTop="1" x14ac:dyDescent="0.2">
      <c r="C100" s="23"/>
      <c r="D100" s="23"/>
      <c r="E100" s="23"/>
      <c r="F100" s="23"/>
      <c r="G100" s="23"/>
    </row>
    <row r="101" spans="2:7" x14ac:dyDescent="0.2">
      <c r="B101" s="1" t="s">
        <v>243</v>
      </c>
      <c r="C101" s="23"/>
      <c r="D101" s="23"/>
      <c r="E101" s="23"/>
      <c r="F101" s="23"/>
      <c r="G101" s="23"/>
    </row>
    <row r="102" spans="2:7" x14ac:dyDescent="0.2">
      <c r="B102" s="1" t="s">
        <v>143</v>
      </c>
      <c r="C102" s="23"/>
      <c r="D102" s="23"/>
      <c r="E102" s="23">
        <f>+E20</f>
        <v>20980</v>
      </c>
      <c r="F102" s="23"/>
      <c r="G102" s="23"/>
    </row>
    <row r="103" spans="2:7" x14ac:dyDescent="0.2">
      <c r="B103" s="1" t="s">
        <v>305</v>
      </c>
      <c r="C103" s="23"/>
      <c r="D103" s="23"/>
      <c r="E103" s="23">
        <f>+D41</f>
        <v>5493</v>
      </c>
      <c r="F103" s="23"/>
      <c r="G103" s="23"/>
    </row>
    <row r="104" spans="2:7" x14ac:dyDescent="0.2">
      <c r="B104" s="1" t="s">
        <v>306</v>
      </c>
      <c r="C104" s="23"/>
      <c r="D104" s="23"/>
      <c r="E104" s="23">
        <f>+E21-D21</f>
        <v>70</v>
      </c>
      <c r="F104" s="23"/>
      <c r="G104" s="23"/>
    </row>
    <row r="105" spans="2:7" x14ac:dyDescent="0.2">
      <c r="C105" s="23"/>
      <c r="D105" s="23"/>
      <c r="E105" s="23">
        <f>SUM(E102:E104)</f>
        <v>26543</v>
      </c>
      <c r="F105" s="23"/>
      <c r="G105" s="23"/>
    </row>
    <row r="106" spans="2:7" x14ac:dyDescent="0.2">
      <c r="B106" s="1" t="s">
        <v>307</v>
      </c>
      <c r="C106" s="23"/>
      <c r="D106" s="23"/>
      <c r="E106" s="23">
        <f>+D20</f>
        <v>25171</v>
      </c>
      <c r="F106" s="23"/>
      <c r="G106" s="23"/>
    </row>
    <row r="107" spans="2:7" x14ac:dyDescent="0.2">
      <c r="B107" s="1" t="s">
        <v>147</v>
      </c>
      <c r="C107" s="23"/>
      <c r="D107" s="23"/>
      <c r="E107" s="23">
        <f>+E106-E105</f>
        <v>-1372</v>
      </c>
      <c r="F107" s="23"/>
      <c r="G107" s="23"/>
    </row>
    <row r="108" spans="2:7" x14ac:dyDescent="0.2">
      <c r="C108" s="23"/>
      <c r="D108" s="23"/>
      <c r="E108" s="23"/>
      <c r="F108" s="23"/>
      <c r="G108" s="23"/>
    </row>
    <row r="109" spans="2:7" x14ac:dyDescent="0.2">
      <c r="C109" s="23"/>
      <c r="D109" s="23"/>
      <c r="E109" s="23"/>
      <c r="F109" s="23"/>
      <c r="G109" s="23"/>
    </row>
    <row r="110" spans="2:7" x14ac:dyDescent="0.2">
      <c r="B110" s="1" t="s">
        <v>308</v>
      </c>
      <c r="C110" s="23"/>
      <c r="D110" s="23"/>
      <c r="E110" s="23"/>
      <c r="F110" s="23"/>
      <c r="G110" s="23"/>
    </row>
    <row r="111" spans="2:7" x14ac:dyDescent="0.2">
      <c r="B111" s="1" t="s">
        <v>309</v>
      </c>
      <c r="C111" s="23"/>
      <c r="D111" s="23"/>
      <c r="E111" s="23"/>
      <c r="F111" s="23"/>
      <c r="G111" s="23"/>
    </row>
    <row r="112" spans="2:7" x14ac:dyDescent="0.2">
      <c r="B112" s="1" t="s">
        <v>310</v>
      </c>
      <c r="C112" s="23"/>
      <c r="D112" s="23"/>
      <c r="E112" s="23"/>
      <c r="F112" s="23"/>
      <c r="G112" s="23"/>
    </row>
    <row r="113" spans="2:7" x14ac:dyDescent="0.2">
      <c r="C113" s="23"/>
      <c r="D113" s="23"/>
      <c r="E113" s="23"/>
      <c r="F113" s="23" t="s">
        <v>148</v>
      </c>
      <c r="G113" s="23" t="s">
        <v>148</v>
      </c>
    </row>
    <row r="114" spans="2:7" x14ac:dyDescent="0.2">
      <c r="B114" s="1" t="s">
        <v>236</v>
      </c>
      <c r="C114" s="23"/>
      <c r="D114" s="23"/>
      <c r="E114" s="23"/>
      <c r="F114" s="23"/>
      <c r="G114" s="23"/>
    </row>
    <row r="115" spans="2:7" x14ac:dyDescent="0.2">
      <c r="B115" s="1" t="s">
        <v>311</v>
      </c>
      <c r="C115" s="23"/>
      <c r="D115" s="23"/>
      <c r="E115" s="23"/>
      <c r="F115" s="23">
        <f>+D39</f>
        <v>6881</v>
      </c>
      <c r="G115" s="23"/>
    </row>
    <row r="116" spans="2:7" x14ac:dyDescent="0.2">
      <c r="B116" s="1" t="s">
        <v>312</v>
      </c>
      <c r="C116" s="23"/>
      <c r="D116" s="23"/>
      <c r="E116" s="23"/>
      <c r="F116" s="23"/>
      <c r="G116" s="23"/>
    </row>
    <row r="117" spans="2:7" x14ac:dyDescent="0.2">
      <c r="B117" s="1" t="s">
        <v>313</v>
      </c>
      <c r="C117" s="23"/>
      <c r="D117" s="23"/>
      <c r="E117" s="23"/>
      <c r="F117" s="23">
        <f>-+E66</f>
        <v>1091</v>
      </c>
      <c r="G117" s="23"/>
    </row>
    <row r="118" spans="2:7" x14ac:dyDescent="0.2">
      <c r="B118" s="1" t="s">
        <v>314</v>
      </c>
      <c r="C118" s="23"/>
      <c r="D118" s="23"/>
      <c r="E118" s="23"/>
      <c r="F118" s="23">
        <f>-E83</f>
        <v>-9</v>
      </c>
      <c r="G118" s="23"/>
    </row>
    <row r="119" spans="2:7" x14ac:dyDescent="0.2">
      <c r="B119" s="1" t="s">
        <v>132</v>
      </c>
      <c r="C119" s="23"/>
      <c r="D119" s="23"/>
      <c r="E119" s="23"/>
      <c r="F119" s="23">
        <f>-D37</f>
        <v>-684</v>
      </c>
      <c r="G119" s="23"/>
    </row>
    <row r="120" spans="2:7" x14ac:dyDescent="0.2">
      <c r="B120" s="1" t="s">
        <v>268</v>
      </c>
      <c r="C120" s="23"/>
      <c r="D120" s="23"/>
      <c r="E120" s="23"/>
      <c r="F120" s="23">
        <f>-D38</f>
        <v>150</v>
      </c>
      <c r="G120" s="23"/>
    </row>
    <row r="121" spans="2:7" x14ac:dyDescent="0.2">
      <c r="C121" s="23"/>
      <c r="D121" s="23"/>
      <c r="E121" s="23"/>
      <c r="F121" s="23">
        <f>SUM(F115:F120)</f>
        <v>7429</v>
      </c>
      <c r="G121" s="23"/>
    </row>
    <row r="122" spans="2:7" x14ac:dyDescent="0.2">
      <c r="B122" s="1" t="s">
        <v>256</v>
      </c>
      <c r="C122" s="23"/>
      <c r="D122" s="23"/>
      <c r="E122" s="23"/>
      <c r="F122" s="23">
        <f>-C48</f>
        <v>-2846</v>
      </c>
      <c r="G122" s="23"/>
    </row>
    <row r="123" spans="2:7" x14ac:dyDescent="0.2">
      <c r="B123" s="1" t="s">
        <v>315</v>
      </c>
      <c r="C123" s="23"/>
      <c r="D123" s="23"/>
      <c r="E123" s="23"/>
      <c r="F123" s="23">
        <f>-D48</f>
        <v>-540</v>
      </c>
      <c r="G123" s="23"/>
    </row>
    <row r="124" spans="2:7" x14ac:dyDescent="0.2">
      <c r="B124" s="1" t="s">
        <v>316</v>
      </c>
      <c r="C124" s="23"/>
      <c r="D124" s="23"/>
      <c r="E124" s="23"/>
      <c r="F124" s="23">
        <f>+E48</f>
        <v>-436</v>
      </c>
      <c r="G124" s="23"/>
    </row>
    <row r="125" spans="2:7" x14ac:dyDescent="0.2">
      <c r="B125" s="1" t="s">
        <v>80</v>
      </c>
      <c r="C125" s="23"/>
      <c r="D125" s="23"/>
      <c r="E125" s="23"/>
      <c r="F125" s="23">
        <f>SUM(F121:F124)</f>
        <v>3607</v>
      </c>
      <c r="G125" s="23"/>
    </row>
    <row r="126" spans="2:7" x14ac:dyDescent="0.2">
      <c r="B126" s="1" t="s">
        <v>215</v>
      </c>
      <c r="C126" s="23"/>
      <c r="D126" s="23"/>
      <c r="E126" s="23"/>
      <c r="F126" s="23">
        <f>+E55</f>
        <v>-142</v>
      </c>
      <c r="G126" s="23"/>
    </row>
    <row r="127" spans="2:7" x14ac:dyDescent="0.2">
      <c r="B127" s="1" t="s">
        <v>117</v>
      </c>
      <c r="C127" s="23"/>
      <c r="D127" s="23"/>
      <c r="E127" s="23"/>
      <c r="F127" s="23">
        <f>+E62</f>
        <v>-1715</v>
      </c>
      <c r="G127" s="23"/>
    </row>
    <row r="128" spans="2:7" x14ac:dyDescent="0.2">
      <c r="B128" s="1" t="s">
        <v>317</v>
      </c>
      <c r="C128" s="23"/>
      <c r="D128" s="23"/>
      <c r="E128" s="23"/>
      <c r="F128" s="23"/>
      <c r="G128" s="23">
        <f>SUM(F125:F127)</f>
        <v>1750</v>
      </c>
    </row>
    <row r="129" spans="2:7" x14ac:dyDescent="0.2">
      <c r="C129" s="23"/>
      <c r="D129" s="23"/>
      <c r="E129" s="23"/>
      <c r="F129" s="23"/>
      <c r="G129" s="23"/>
    </row>
    <row r="130" spans="2:7" x14ac:dyDescent="0.2">
      <c r="B130" s="1" t="s">
        <v>318</v>
      </c>
      <c r="C130" s="23"/>
      <c r="D130" s="23"/>
      <c r="E130" s="23"/>
      <c r="F130" s="23"/>
      <c r="G130" s="23"/>
    </row>
    <row r="131" spans="2:7" x14ac:dyDescent="0.2">
      <c r="B131" s="1" t="s">
        <v>319</v>
      </c>
      <c r="C131" s="23"/>
      <c r="D131" s="23"/>
      <c r="E131" s="23"/>
      <c r="F131" s="23">
        <f>-E71</f>
        <v>-1740</v>
      </c>
      <c r="G131" s="23"/>
    </row>
    <row r="132" spans="2:7" x14ac:dyDescent="0.2">
      <c r="B132" s="1" t="s">
        <v>320</v>
      </c>
      <c r="C132" s="23"/>
      <c r="D132" s="23"/>
      <c r="E132" s="23"/>
      <c r="F132" s="23">
        <f>+E84</f>
        <v>31</v>
      </c>
      <c r="G132" s="23"/>
    </row>
    <row r="133" spans="2:7" x14ac:dyDescent="0.2">
      <c r="B133" s="1" t="s">
        <v>321</v>
      </c>
      <c r="C133" s="23"/>
      <c r="D133" s="23"/>
      <c r="E133" s="23"/>
      <c r="F133" s="23">
        <f>-E79</f>
        <v>-21</v>
      </c>
      <c r="G133" s="23"/>
    </row>
    <row r="134" spans="2:7" x14ac:dyDescent="0.2">
      <c r="B134" s="1" t="s">
        <v>135</v>
      </c>
      <c r="C134" s="23"/>
      <c r="D134" s="23"/>
      <c r="E134" s="23"/>
      <c r="F134" s="23">
        <v>684</v>
      </c>
      <c r="G134" s="23"/>
    </row>
    <row r="135" spans="2:7" x14ac:dyDescent="0.2">
      <c r="B135" s="1" t="s">
        <v>322</v>
      </c>
      <c r="C135" s="23"/>
      <c r="D135" s="23"/>
      <c r="E135" s="23"/>
      <c r="F135" s="23"/>
      <c r="G135" s="23">
        <f>SUM(F131:F134)</f>
        <v>-1046</v>
      </c>
    </row>
    <row r="136" spans="2:7" x14ac:dyDescent="0.2">
      <c r="C136" s="23"/>
      <c r="D136" s="23"/>
      <c r="E136" s="23"/>
      <c r="F136" s="23"/>
      <c r="G136" s="23"/>
    </row>
    <row r="137" spans="2:7" x14ac:dyDescent="0.2">
      <c r="B137" s="1" t="s">
        <v>199</v>
      </c>
      <c r="C137" s="23"/>
      <c r="D137" s="23"/>
      <c r="E137" s="23"/>
      <c r="F137" s="23"/>
      <c r="G137" s="23"/>
    </row>
    <row r="138" spans="2:7" x14ac:dyDescent="0.2">
      <c r="B138" s="1" t="s">
        <v>323</v>
      </c>
      <c r="C138" s="23"/>
      <c r="D138" s="23"/>
      <c r="E138" s="23"/>
      <c r="F138" s="23">
        <f>+E99</f>
        <v>-1618</v>
      </c>
      <c r="G138" s="23"/>
    </row>
    <row r="139" spans="2:7" x14ac:dyDescent="0.2">
      <c r="B139" s="1" t="s">
        <v>147</v>
      </c>
      <c r="C139" s="23"/>
      <c r="D139" s="23"/>
      <c r="E139" s="23"/>
      <c r="F139" s="23">
        <v>-1372</v>
      </c>
      <c r="G139" s="23"/>
    </row>
    <row r="140" spans="2:7" x14ac:dyDescent="0.2">
      <c r="B140" s="1" t="s">
        <v>322</v>
      </c>
      <c r="C140" s="23"/>
      <c r="D140" s="23"/>
      <c r="E140" s="23"/>
      <c r="F140" s="23"/>
      <c r="G140" s="23">
        <f>SUM(F138:F139)</f>
        <v>-2990</v>
      </c>
    </row>
    <row r="141" spans="2:7" x14ac:dyDescent="0.2">
      <c r="C141" s="23"/>
      <c r="D141" s="23"/>
      <c r="E141" s="23"/>
      <c r="F141" s="23"/>
      <c r="G141" s="23"/>
    </row>
    <row r="142" spans="2:7" x14ac:dyDescent="0.2">
      <c r="B142" s="1" t="s">
        <v>324</v>
      </c>
      <c r="C142" s="23"/>
      <c r="D142" s="23"/>
      <c r="E142" s="23"/>
      <c r="F142" s="23"/>
      <c r="G142" s="23">
        <v>-2286</v>
      </c>
    </row>
    <row r="143" spans="2:7" x14ac:dyDescent="0.2">
      <c r="B143" s="1" t="s">
        <v>325</v>
      </c>
      <c r="C143" s="23"/>
      <c r="D143" s="23"/>
      <c r="E143" s="23"/>
      <c r="F143" s="23"/>
      <c r="G143" s="23">
        <f>+E15</f>
        <v>10028</v>
      </c>
    </row>
    <row r="144" spans="2:7" x14ac:dyDescent="0.2">
      <c r="B144" s="1" t="s">
        <v>326</v>
      </c>
      <c r="C144" s="23"/>
      <c r="D144" s="23"/>
      <c r="E144" s="23"/>
      <c r="F144" s="23"/>
      <c r="G144" s="23">
        <f>+D15</f>
        <v>7742</v>
      </c>
    </row>
    <row r="145" spans="3:7" x14ac:dyDescent="0.2">
      <c r="C145" s="23"/>
      <c r="D145" s="23"/>
      <c r="E145" s="23"/>
      <c r="F145" s="23"/>
      <c r="G145" s="23"/>
    </row>
    <row r="146" spans="3:7" x14ac:dyDescent="0.2">
      <c r="C146" s="23"/>
      <c r="D146" s="23"/>
      <c r="E146" s="23"/>
      <c r="F146" s="23">
        <v>0</v>
      </c>
      <c r="G146" s="23"/>
    </row>
  </sheetData>
  <hyperlinks>
    <hyperlink ref="A1" location="Main!A1" display="Main" xr:uid="{F3BAC1A7-FAC2-4261-A029-4D70B223E53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6626B-13D8-42F2-9E1D-93AC0364944E}">
  <sheetPr codeName="Sheet6">
    <tabColor rgb="FFFFFF00"/>
  </sheetPr>
  <dimension ref="A1:G125"/>
  <sheetViews>
    <sheetView topLeftCell="A19" workbookViewId="0">
      <selection activeCell="E27" sqref="E27"/>
    </sheetView>
  </sheetViews>
  <sheetFormatPr defaultRowHeight="12" x14ac:dyDescent="0.2"/>
  <cols>
    <col min="1" max="16384" width="9.140625" style="1"/>
  </cols>
  <sheetData>
    <row r="1" spans="1:5" ht="15" x14ac:dyDescent="0.25">
      <c r="A1" s="2" t="s">
        <v>0</v>
      </c>
    </row>
    <row r="2" spans="1:5" x14ac:dyDescent="0.2">
      <c r="B2" s="1" t="s">
        <v>327</v>
      </c>
    </row>
    <row r="5" spans="1:5" x14ac:dyDescent="0.2">
      <c r="D5" s="19" t="s">
        <v>148</v>
      </c>
      <c r="E5" s="19" t="s">
        <v>148</v>
      </c>
    </row>
    <row r="6" spans="1:5" x14ac:dyDescent="0.2">
      <c r="D6" s="1">
        <v>2023</v>
      </c>
      <c r="E6" s="1">
        <v>2022</v>
      </c>
    </row>
    <row r="8" spans="1:5" x14ac:dyDescent="0.2">
      <c r="B8" s="1" t="s">
        <v>287</v>
      </c>
      <c r="D8" s="23">
        <v>2700</v>
      </c>
      <c r="E8" s="23">
        <v>2500</v>
      </c>
    </row>
    <row r="9" spans="1:5" x14ac:dyDescent="0.2">
      <c r="B9" s="1" t="s">
        <v>286</v>
      </c>
      <c r="D9" s="23">
        <v>610</v>
      </c>
      <c r="E9" s="23">
        <v>700</v>
      </c>
    </row>
    <row r="10" spans="1:5" x14ac:dyDescent="0.2">
      <c r="D10" s="23">
        <f>SUM(D8:D9)</f>
        <v>3310</v>
      </c>
      <c r="E10" s="23">
        <f>SUM(E8:E9)</f>
        <v>3200</v>
      </c>
    </row>
    <row r="11" spans="1:5" x14ac:dyDescent="0.2">
      <c r="D11" s="23"/>
      <c r="E11" s="23"/>
    </row>
    <row r="12" spans="1:5" x14ac:dyDescent="0.2">
      <c r="B12" s="1" t="s">
        <v>95</v>
      </c>
      <c r="D12" s="23">
        <v>620</v>
      </c>
      <c r="E12" s="23">
        <v>510</v>
      </c>
    </row>
    <row r="13" spans="1:5" x14ac:dyDescent="0.2">
      <c r="B13" s="1" t="s">
        <v>94</v>
      </c>
      <c r="D13" s="23">
        <v>500</v>
      </c>
      <c r="E13" s="23">
        <v>520</v>
      </c>
    </row>
    <row r="14" spans="1:5" x14ac:dyDescent="0.2">
      <c r="B14" s="1" t="s">
        <v>93</v>
      </c>
      <c r="D14" s="23">
        <v>100</v>
      </c>
      <c r="E14" s="23">
        <v>0</v>
      </c>
    </row>
    <row r="15" spans="1:5" x14ac:dyDescent="0.2">
      <c r="D15" s="23">
        <f>SUM(D12:D14)</f>
        <v>1220</v>
      </c>
      <c r="E15" s="23">
        <f>SUM(E12:E14)</f>
        <v>1030</v>
      </c>
    </row>
    <row r="16" spans="1:5" x14ac:dyDescent="0.2">
      <c r="B16" s="1" t="s">
        <v>285</v>
      </c>
      <c r="D16" s="23">
        <f>+D15+D10</f>
        <v>4530</v>
      </c>
      <c r="E16" s="23">
        <f>+E15+E10</f>
        <v>4230</v>
      </c>
    </row>
    <row r="17" spans="2:5" x14ac:dyDescent="0.2">
      <c r="D17" s="23"/>
      <c r="E17" s="23"/>
    </row>
    <row r="18" spans="2:5" x14ac:dyDescent="0.2">
      <c r="D18" s="23"/>
      <c r="E18" s="23"/>
    </row>
    <row r="19" spans="2:5" x14ac:dyDescent="0.2">
      <c r="B19" s="1" t="s">
        <v>284</v>
      </c>
      <c r="D19" s="23">
        <v>1400</v>
      </c>
      <c r="E19" s="23">
        <v>1300</v>
      </c>
    </row>
    <row r="20" spans="2:5" x14ac:dyDescent="0.2">
      <c r="B20" s="1" t="s">
        <v>128</v>
      </c>
      <c r="D20" s="23">
        <v>800</v>
      </c>
      <c r="E20" s="23">
        <v>700</v>
      </c>
    </row>
    <row r="21" spans="2:5" x14ac:dyDescent="0.2">
      <c r="B21" s="1" t="s">
        <v>281</v>
      </c>
      <c r="D21" s="23">
        <v>10</v>
      </c>
      <c r="E21" s="23">
        <v>0</v>
      </c>
    </row>
    <row r="22" spans="2:5" x14ac:dyDescent="0.2">
      <c r="B22" s="1" t="s">
        <v>283</v>
      </c>
      <c r="D22" s="23">
        <v>1500</v>
      </c>
      <c r="E22" s="23">
        <v>1410</v>
      </c>
    </row>
    <row r="23" spans="2:5" x14ac:dyDescent="0.2">
      <c r="B23" s="1" t="s">
        <v>280</v>
      </c>
      <c r="D23" s="23">
        <f>SUM(D19:D22)</f>
        <v>3710</v>
      </c>
      <c r="E23" s="23">
        <f>SUM(E19:E22)</f>
        <v>3410</v>
      </c>
    </row>
    <row r="24" spans="2:5" x14ac:dyDescent="0.2">
      <c r="D24" s="23"/>
      <c r="E24" s="23"/>
    </row>
    <row r="25" spans="2:5" x14ac:dyDescent="0.2">
      <c r="B25" s="1" t="s">
        <v>330</v>
      </c>
      <c r="D25" s="23">
        <v>200</v>
      </c>
      <c r="E25" s="23">
        <v>150</v>
      </c>
    </row>
    <row r="26" spans="2:5" x14ac:dyDescent="0.2">
      <c r="B26" s="1" t="s">
        <v>329</v>
      </c>
      <c r="D26" s="23">
        <v>100</v>
      </c>
      <c r="E26" s="23">
        <v>60</v>
      </c>
    </row>
    <row r="27" spans="2:5" x14ac:dyDescent="0.2">
      <c r="B27" s="1" t="s">
        <v>276</v>
      </c>
      <c r="D27" s="23">
        <f>SUM(D25:D26)</f>
        <v>300</v>
      </c>
      <c r="E27" s="23">
        <f>SUM(E25:E26)</f>
        <v>210</v>
      </c>
    </row>
    <row r="28" spans="2:5" x14ac:dyDescent="0.2">
      <c r="D28" s="23"/>
      <c r="E28" s="23"/>
    </row>
    <row r="29" spans="2:5" x14ac:dyDescent="0.2">
      <c r="B29" s="1" t="s">
        <v>328</v>
      </c>
      <c r="D29" s="23">
        <v>0</v>
      </c>
      <c r="E29" s="23">
        <v>10</v>
      </c>
    </row>
    <row r="30" spans="2:5" x14ac:dyDescent="0.2">
      <c r="B30" s="1" t="s">
        <v>92</v>
      </c>
      <c r="D30" s="23">
        <v>400</v>
      </c>
      <c r="E30" s="23">
        <v>500</v>
      </c>
    </row>
    <row r="31" spans="2:5" x14ac:dyDescent="0.2">
      <c r="B31" s="1" t="s">
        <v>275</v>
      </c>
      <c r="D31" s="23">
        <v>120</v>
      </c>
      <c r="E31" s="23">
        <v>100</v>
      </c>
    </row>
    <row r="32" spans="2:5" x14ac:dyDescent="0.2">
      <c r="B32" s="1" t="s">
        <v>276</v>
      </c>
      <c r="D32" s="23">
        <f>SUM(D29:D31)</f>
        <v>520</v>
      </c>
      <c r="E32" s="23">
        <f>SUM(E29:E31)</f>
        <v>610</v>
      </c>
    </row>
    <row r="33" spans="2:5" x14ac:dyDescent="0.2">
      <c r="B33" s="1" t="s">
        <v>273</v>
      </c>
      <c r="D33" s="23">
        <f>+D32+D27</f>
        <v>820</v>
      </c>
      <c r="E33" s="23">
        <f>+E32+E27</f>
        <v>820</v>
      </c>
    </row>
    <row r="34" spans="2:5" x14ac:dyDescent="0.2">
      <c r="B34" s="1" t="s">
        <v>272</v>
      </c>
      <c r="D34" s="23">
        <f>+D33+D23</f>
        <v>4530</v>
      </c>
      <c r="E34" s="23">
        <f>+E33+E23</f>
        <v>4230</v>
      </c>
    </row>
    <row r="37" spans="2:5" x14ac:dyDescent="0.2">
      <c r="B37" s="1" t="s">
        <v>331</v>
      </c>
      <c r="D37" s="1">
        <v>8100</v>
      </c>
    </row>
    <row r="38" spans="2:5" x14ac:dyDescent="0.2">
      <c r="B38" s="1" t="s">
        <v>332</v>
      </c>
      <c r="D38" s="1">
        <v>-6500</v>
      </c>
    </row>
    <row r="39" spans="2:5" x14ac:dyDescent="0.2">
      <c r="B39" s="1" t="s">
        <v>88</v>
      </c>
      <c r="D39" s="1">
        <f>SUM(D37:D38)</f>
        <v>1600</v>
      </c>
    </row>
    <row r="40" spans="2:5" x14ac:dyDescent="0.2">
      <c r="B40" s="1" t="s">
        <v>333</v>
      </c>
      <c r="D40" s="1">
        <v>-1240</v>
      </c>
    </row>
    <row r="41" spans="2:5" x14ac:dyDescent="0.2">
      <c r="B41" s="1" t="s">
        <v>271</v>
      </c>
      <c r="D41" s="1">
        <v>30</v>
      </c>
    </row>
    <row r="42" spans="2:5" x14ac:dyDescent="0.2">
      <c r="B42" s="1" t="s">
        <v>334</v>
      </c>
      <c r="D42" s="1">
        <v>-20</v>
      </c>
    </row>
    <row r="43" spans="2:5" x14ac:dyDescent="0.2">
      <c r="B43" s="1" t="s">
        <v>66</v>
      </c>
      <c r="D43" s="1">
        <f>SUM(D39:D42)</f>
        <v>370</v>
      </c>
    </row>
    <row r="44" spans="2:5" x14ac:dyDescent="0.2">
      <c r="B44" s="1" t="s">
        <v>335</v>
      </c>
      <c r="D44" s="1">
        <v>-160</v>
      </c>
    </row>
    <row r="45" spans="2:5" x14ac:dyDescent="0.2">
      <c r="B45" s="1" t="s">
        <v>269</v>
      </c>
      <c r="D45" s="1">
        <f>SUM(D43:D44)</f>
        <v>210</v>
      </c>
    </row>
    <row r="47" spans="2:5" x14ac:dyDescent="0.2">
      <c r="B47" s="1" t="s">
        <v>336</v>
      </c>
    </row>
    <row r="62" spans="2:5" x14ac:dyDescent="0.2">
      <c r="B62" s="1" t="s">
        <v>337</v>
      </c>
      <c r="D62" s="23">
        <f>+D14</f>
        <v>100</v>
      </c>
      <c r="E62" s="23">
        <f>+E14</f>
        <v>0</v>
      </c>
    </row>
    <row r="63" spans="2:5" x14ac:dyDescent="0.2">
      <c r="B63" s="1" t="s">
        <v>338</v>
      </c>
      <c r="D63" s="23">
        <f>-+D29</f>
        <v>0</v>
      </c>
      <c r="E63" s="23">
        <f>-+E29</f>
        <v>-10</v>
      </c>
    </row>
    <row r="64" spans="2:5" ht="12.75" thickBot="1" x14ac:dyDescent="0.25">
      <c r="D64" s="24">
        <f>SUM(D62:D63)</f>
        <v>100</v>
      </c>
      <c r="E64" s="24">
        <f>SUM(E62:E63)</f>
        <v>-10</v>
      </c>
    </row>
    <row r="65" spans="2:7" ht="12.75" thickTop="1" x14ac:dyDescent="0.2"/>
    <row r="66" spans="2:7" x14ac:dyDescent="0.2">
      <c r="B66" s="1" t="s">
        <v>103</v>
      </c>
      <c r="D66" s="1" t="s">
        <v>95</v>
      </c>
      <c r="E66" s="1" t="s">
        <v>94</v>
      </c>
      <c r="F66" s="1" t="s">
        <v>92</v>
      </c>
    </row>
    <row r="67" spans="2:7" x14ac:dyDescent="0.2">
      <c r="B67" s="1" t="s">
        <v>290</v>
      </c>
      <c r="D67" s="23">
        <f>+E12</f>
        <v>510</v>
      </c>
      <c r="E67" s="23">
        <f>+E13</f>
        <v>520</v>
      </c>
      <c r="F67" s="23">
        <f>+E30</f>
        <v>500</v>
      </c>
    </row>
    <row r="68" spans="2:7" x14ac:dyDescent="0.2">
      <c r="B68" s="1" t="s">
        <v>339</v>
      </c>
    </row>
    <row r="69" spans="2:7" x14ac:dyDescent="0.2">
      <c r="B69" s="1" t="s">
        <v>340</v>
      </c>
      <c r="D69" s="23">
        <f>+D12</f>
        <v>620</v>
      </c>
      <c r="E69" s="23">
        <f>+D13</f>
        <v>500</v>
      </c>
      <c r="F69" s="23">
        <f>+D30</f>
        <v>400</v>
      </c>
    </row>
    <row r="70" spans="2:7" x14ac:dyDescent="0.2">
      <c r="B70" s="1" t="s">
        <v>341</v>
      </c>
      <c r="D70" s="23">
        <f>+D69-D67</f>
        <v>110</v>
      </c>
      <c r="E70" s="23">
        <f t="shared" ref="E70:F70" si="0">+E69-E67</f>
        <v>-20</v>
      </c>
      <c r="F70" s="23">
        <f t="shared" si="0"/>
        <v>-100</v>
      </c>
    </row>
    <row r="71" spans="2:7" ht="12.75" thickBot="1" x14ac:dyDescent="0.25">
      <c r="B71" s="1" t="s">
        <v>80</v>
      </c>
      <c r="G71" s="24">
        <f>SUM(D70:F70)</f>
        <v>-10</v>
      </c>
    </row>
    <row r="72" spans="2:7" ht="12.75" thickTop="1" x14ac:dyDescent="0.2"/>
    <row r="73" spans="2:7" x14ac:dyDescent="0.2">
      <c r="B73" s="1" t="s">
        <v>70</v>
      </c>
    </row>
    <row r="74" spans="2:7" x14ac:dyDescent="0.2">
      <c r="B74" s="1" t="s">
        <v>342</v>
      </c>
    </row>
    <row r="75" spans="2:7" x14ac:dyDescent="0.2">
      <c r="B75" s="1" t="s">
        <v>70</v>
      </c>
      <c r="D75" s="1">
        <f>-D42</f>
        <v>20</v>
      </c>
    </row>
    <row r="76" spans="2:7" x14ac:dyDescent="0.2">
      <c r="B76" s="1" t="s">
        <v>343</v>
      </c>
    </row>
    <row r="77" spans="2:7" ht="12.75" thickBot="1" x14ac:dyDescent="0.25">
      <c r="B77" s="1" t="s">
        <v>215</v>
      </c>
      <c r="D77" s="3"/>
    </row>
    <row r="78" spans="2:7" ht="12.75" thickTop="1" x14ac:dyDescent="0.2"/>
    <row r="80" spans="2:7" x14ac:dyDescent="0.2">
      <c r="B80" s="1" t="s">
        <v>117</v>
      </c>
    </row>
    <row r="81" spans="2:4" x14ac:dyDescent="0.2">
      <c r="B81" s="1" t="s">
        <v>218</v>
      </c>
      <c r="D81" s="23">
        <f>+E31</f>
        <v>100</v>
      </c>
    </row>
    <row r="82" spans="2:4" x14ac:dyDescent="0.2">
      <c r="B82" s="1" t="s">
        <v>344</v>
      </c>
      <c r="D82" s="1">
        <f>+D44</f>
        <v>-160</v>
      </c>
    </row>
    <row r="83" spans="2:4" x14ac:dyDescent="0.2">
      <c r="B83" s="1" t="s">
        <v>220</v>
      </c>
      <c r="D83" s="23">
        <f>+D31</f>
        <v>120</v>
      </c>
    </row>
    <row r="84" spans="2:4" ht="12.75" thickBot="1" x14ac:dyDescent="0.25">
      <c r="B84" s="1" t="s">
        <v>117</v>
      </c>
      <c r="D84" s="24">
        <f>+D83-D81+D82</f>
        <v>-140</v>
      </c>
    </row>
    <row r="85" spans="2:4" ht="12.75" thickTop="1" x14ac:dyDescent="0.2"/>
    <row r="86" spans="2:4" x14ac:dyDescent="0.2">
      <c r="B86" s="1" t="s">
        <v>221</v>
      </c>
    </row>
    <row r="87" spans="2:4" x14ac:dyDescent="0.2">
      <c r="B87" s="1" t="s">
        <v>151</v>
      </c>
      <c r="D87" s="23">
        <f>+E8</f>
        <v>2500</v>
      </c>
    </row>
    <row r="88" spans="2:4" x14ac:dyDescent="0.2">
      <c r="B88" s="1" t="s">
        <v>345</v>
      </c>
      <c r="D88" s="1">
        <v>-100</v>
      </c>
    </row>
    <row r="89" spans="2:4" x14ac:dyDescent="0.2">
      <c r="B89" s="1" t="s">
        <v>346</v>
      </c>
      <c r="D89" s="23">
        <f>+D8</f>
        <v>2700</v>
      </c>
    </row>
    <row r="90" spans="2:4" ht="12.75" thickBot="1" x14ac:dyDescent="0.25">
      <c r="B90" s="1" t="s">
        <v>221</v>
      </c>
      <c r="D90" s="24">
        <f>+D89-D87+D88</f>
        <v>100</v>
      </c>
    </row>
    <row r="91" spans="2:4" ht="12.75" thickTop="1" x14ac:dyDescent="0.2"/>
    <row r="92" spans="2:4" x14ac:dyDescent="0.2">
      <c r="B92" s="1" t="s">
        <v>225</v>
      </c>
      <c r="D92" s="1">
        <v>300</v>
      </c>
    </row>
    <row r="94" spans="2:4" x14ac:dyDescent="0.2">
      <c r="B94" s="1" t="s">
        <v>135</v>
      </c>
    </row>
    <row r="95" spans="2:4" x14ac:dyDescent="0.2">
      <c r="B95" s="1" t="s">
        <v>348</v>
      </c>
    </row>
    <row r="96" spans="2:4" x14ac:dyDescent="0.2">
      <c r="B96" s="1" t="s">
        <v>132</v>
      </c>
      <c r="D96" s="1">
        <f>+D41</f>
        <v>30</v>
      </c>
    </row>
    <row r="97" spans="2:5" x14ac:dyDescent="0.2">
      <c r="B97" s="1" t="s">
        <v>301</v>
      </c>
    </row>
    <row r="98" spans="2:5" x14ac:dyDescent="0.2">
      <c r="B98" s="1" t="s">
        <v>135</v>
      </c>
    </row>
    <row r="100" spans="2:5" x14ac:dyDescent="0.2">
      <c r="B100" s="1" t="s">
        <v>147</v>
      </c>
    </row>
    <row r="101" spans="2:5" x14ac:dyDescent="0.2">
      <c r="B101" s="1" t="s">
        <v>232</v>
      </c>
      <c r="D101" s="23">
        <f>+E22</f>
        <v>1410</v>
      </c>
    </row>
    <row r="102" spans="2:5" x14ac:dyDescent="0.2">
      <c r="B102" s="1" t="s">
        <v>305</v>
      </c>
      <c r="D102" s="1">
        <f>+D45</f>
        <v>210</v>
      </c>
    </row>
    <row r="103" spans="2:5" x14ac:dyDescent="0.2">
      <c r="B103" s="1" t="s">
        <v>349</v>
      </c>
    </row>
    <row r="104" spans="2:5" x14ac:dyDescent="0.2">
      <c r="B104" s="1" t="s">
        <v>350</v>
      </c>
      <c r="D104" s="23">
        <f>+D21</f>
        <v>10</v>
      </c>
    </row>
    <row r="105" spans="2:5" x14ac:dyDescent="0.2">
      <c r="B105" s="1" t="s">
        <v>307</v>
      </c>
      <c r="D105" s="23">
        <f>+D22</f>
        <v>1500</v>
      </c>
    </row>
    <row r="106" spans="2:5" ht="12.75" thickBot="1" x14ac:dyDescent="0.25">
      <c r="B106" s="1" t="s">
        <v>147</v>
      </c>
      <c r="D106" s="24">
        <f>+D101+D102+D104-D105</f>
        <v>130</v>
      </c>
    </row>
    <row r="107" spans="2:5" ht="12.75" thickTop="1" x14ac:dyDescent="0.2"/>
    <row r="108" spans="2:5" x14ac:dyDescent="0.2">
      <c r="B108" s="1" t="s">
        <v>351</v>
      </c>
    </row>
    <row r="109" spans="2:5" x14ac:dyDescent="0.2">
      <c r="B109" s="1" t="s">
        <v>182</v>
      </c>
      <c r="D109" s="23">
        <f>+E19+E20</f>
        <v>2000</v>
      </c>
    </row>
    <row r="110" spans="2:5" x14ac:dyDescent="0.2">
      <c r="B110" s="1" t="s">
        <v>349</v>
      </c>
      <c r="D110" s="1">
        <f>2.1*100-10</f>
        <v>200</v>
      </c>
      <c r="E110" s="1" t="str">
        <f ca="1">_xlfn.FORMULATEXT(D110)</f>
        <v>=2.1*100-10</v>
      </c>
    </row>
    <row r="111" spans="2:5" x14ac:dyDescent="0.2">
      <c r="B111" s="1" t="s">
        <v>184</v>
      </c>
      <c r="D111" s="23">
        <f>+D19+D20</f>
        <v>2200</v>
      </c>
    </row>
    <row r="112" spans="2:5" x14ac:dyDescent="0.2">
      <c r="B112" s="1" t="s">
        <v>351</v>
      </c>
      <c r="D112" s="23">
        <f>+D109+D110-D111</f>
        <v>0</v>
      </c>
    </row>
    <row r="114" spans="2:4" x14ac:dyDescent="0.2">
      <c r="B114" s="1" t="s">
        <v>229</v>
      </c>
    </row>
    <row r="115" spans="2:4" x14ac:dyDescent="0.2">
      <c r="B115" s="1" t="s">
        <v>230</v>
      </c>
      <c r="D115" s="23">
        <f>+E25</f>
        <v>150</v>
      </c>
    </row>
    <row r="116" spans="2:4" x14ac:dyDescent="0.2">
      <c r="B116" s="1" t="s">
        <v>352</v>
      </c>
      <c r="D116" s="1">
        <v>-20</v>
      </c>
    </row>
    <row r="117" spans="2:4" x14ac:dyDescent="0.2">
      <c r="B117" s="1" t="s">
        <v>353</v>
      </c>
      <c r="D117" s="23">
        <f>+D25</f>
        <v>200</v>
      </c>
    </row>
    <row r="118" spans="2:4" x14ac:dyDescent="0.2">
      <c r="B118" s="1" t="s">
        <v>229</v>
      </c>
      <c r="D118" s="23">
        <f>+D115+D116-D117</f>
        <v>-70</v>
      </c>
    </row>
    <row r="120" spans="2:4" x14ac:dyDescent="0.2">
      <c r="B120" s="1" t="s">
        <v>354</v>
      </c>
    </row>
    <row r="121" spans="2:4" x14ac:dyDescent="0.2">
      <c r="B121" s="1" t="s">
        <v>295</v>
      </c>
      <c r="D121" s="23">
        <f>+E9</f>
        <v>700</v>
      </c>
    </row>
    <row r="122" spans="2:4" x14ac:dyDescent="0.2">
      <c r="B122" s="1" t="s">
        <v>355</v>
      </c>
      <c r="D122" s="1">
        <v>10</v>
      </c>
    </row>
    <row r="123" spans="2:4" x14ac:dyDescent="0.2">
      <c r="B123" s="1" t="s">
        <v>297</v>
      </c>
      <c r="D123" s="23">
        <f>+D9</f>
        <v>610</v>
      </c>
    </row>
    <row r="124" spans="2:4" ht="12.75" thickBot="1" x14ac:dyDescent="0.25">
      <c r="B124" s="1" t="s">
        <v>354</v>
      </c>
      <c r="D124" s="24">
        <f>+D123-D121+D122</f>
        <v>-80</v>
      </c>
    </row>
    <row r="125" spans="2:4" ht="12.75" thickTop="1" x14ac:dyDescent="0.2"/>
  </sheetData>
  <hyperlinks>
    <hyperlink ref="A1" location="Main!A1" display="Main" xr:uid="{A645A812-301E-4316-93FD-B709D7B0AFAE}"/>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EE864-97B6-4A56-A4A0-602CD858AC1E}">
  <sheetPr codeName="Sheet7"/>
  <dimension ref="A1:O262"/>
  <sheetViews>
    <sheetView workbookViewId="0">
      <selection activeCell="F17" sqref="E17:F17"/>
    </sheetView>
  </sheetViews>
  <sheetFormatPr defaultRowHeight="12" x14ac:dyDescent="0.2"/>
  <cols>
    <col min="1" max="16384" width="9.140625" style="1"/>
  </cols>
  <sheetData>
    <row r="1" spans="1:15" ht="15" x14ac:dyDescent="0.25">
      <c r="A1" s="2" t="s">
        <v>0</v>
      </c>
    </row>
    <row r="2" spans="1:15" ht="15.75" x14ac:dyDescent="0.25">
      <c r="A2" s="2"/>
      <c r="B2" s="29" t="s">
        <v>308</v>
      </c>
      <c r="C2" s="30"/>
      <c r="D2" s="30"/>
      <c r="E2" s="31"/>
      <c r="F2" s="31"/>
      <c r="G2" s="31"/>
      <c r="H2" s="32"/>
      <c r="I2" s="32"/>
      <c r="J2" s="26" t="s">
        <v>113</v>
      </c>
      <c r="K2" s="26" t="s">
        <v>129</v>
      </c>
      <c r="L2" s="31"/>
      <c r="M2" s="31"/>
      <c r="N2" s="31"/>
      <c r="O2" s="31"/>
    </row>
    <row r="3" spans="1:15" ht="15.75" x14ac:dyDescent="0.25">
      <c r="A3" s="2"/>
      <c r="B3" s="33" t="s">
        <v>309</v>
      </c>
      <c r="C3" s="30"/>
      <c r="D3" s="30"/>
      <c r="E3" s="31"/>
      <c r="F3" s="31"/>
      <c r="G3" s="31"/>
      <c r="H3" s="34" t="s">
        <v>337</v>
      </c>
      <c r="I3" s="32"/>
      <c r="J3" s="27" t="s">
        <v>148</v>
      </c>
      <c r="K3" s="27" t="s">
        <v>148</v>
      </c>
      <c r="L3" s="31"/>
      <c r="M3" s="31"/>
      <c r="N3" s="31"/>
      <c r="O3" s="31"/>
    </row>
    <row r="4" spans="1:15" ht="16.5" thickBot="1" x14ac:dyDescent="0.3">
      <c r="A4" s="2"/>
      <c r="B4" s="35" t="s">
        <v>422</v>
      </c>
      <c r="C4" s="30"/>
      <c r="D4" s="30"/>
      <c r="E4" s="31"/>
      <c r="F4" s="31"/>
      <c r="G4" s="31"/>
      <c r="H4" s="32" t="s">
        <v>363</v>
      </c>
      <c r="I4" s="32"/>
      <c r="J4" s="36">
        <v>950</v>
      </c>
      <c r="K4" s="36">
        <v>500</v>
      </c>
      <c r="L4" s="31"/>
      <c r="M4" s="31"/>
      <c r="N4" s="31"/>
      <c r="O4" s="31"/>
    </row>
    <row r="5" spans="1:15" ht="15.75" x14ac:dyDescent="0.25">
      <c r="A5" s="2"/>
      <c r="B5" s="37"/>
      <c r="C5" s="38" t="s">
        <v>148</v>
      </c>
      <c r="D5" s="38" t="s">
        <v>148</v>
      </c>
      <c r="E5" s="31"/>
      <c r="F5" s="31"/>
      <c r="G5" s="31"/>
      <c r="H5" s="32" t="s">
        <v>364</v>
      </c>
      <c r="I5" s="32"/>
      <c r="J5" s="36">
        <v>-750</v>
      </c>
      <c r="K5" s="36">
        <v>-400</v>
      </c>
      <c r="L5" s="31"/>
      <c r="M5" s="31"/>
      <c r="N5" s="31"/>
      <c r="O5" s="31"/>
    </row>
    <row r="6" spans="1:15" ht="16.5" thickBot="1" x14ac:dyDescent="0.3">
      <c r="A6" s="2"/>
      <c r="B6" s="33" t="s">
        <v>236</v>
      </c>
      <c r="C6" s="39"/>
      <c r="D6" s="39"/>
      <c r="E6" s="31"/>
      <c r="F6" s="31"/>
      <c r="G6" s="31"/>
      <c r="H6" s="32"/>
      <c r="I6" s="32"/>
      <c r="J6" s="40">
        <f>SUM(J4:J5)</f>
        <v>200</v>
      </c>
      <c r="K6" s="40">
        <f>SUM(K4:K5)</f>
        <v>100</v>
      </c>
      <c r="L6" s="31"/>
      <c r="M6" s="31"/>
      <c r="N6" s="31"/>
      <c r="O6" s="31"/>
    </row>
    <row r="7" spans="1:15" ht="15.75" thickTop="1" x14ac:dyDescent="0.25">
      <c r="A7" s="2"/>
      <c r="B7" s="37" t="s">
        <v>423</v>
      </c>
      <c r="C7" s="41">
        <v>1148</v>
      </c>
      <c r="D7" s="42"/>
      <c r="E7" s="31"/>
      <c r="F7" s="31"/>
      <c r="G7" s="31"/>
      <c r="H7" s="31"/>
      <c r="I7" s="31"/>
      <c r="J7" s="31"/>
      <c r="K7" s="31"/>
      <c r="L7" s="31"/>
      <c r="M7" s="31"/>
      <c r="N7" s="31"/>
      <c r="O7" s="31"/>
    </row>
    <row r="8" spans="1:15" ht="15" x14ac:dyDescent="0.25">
      <c r="A8" s="2"/>
      <c r="B8" s="37" t="s">
        <v>312</v>
      </c>
      <c r="C8" s="43"/>
      <c r="D8" s="42"/>
      <c r="E8" s="31"/>
      <c r="F8" s="31"/>
      <c r="G8" s="31"/>
      <c r="H8" s="34" t="s">
        <v>103</v>
      </c>
      <c r="I8" s="32"/>
      <c r="J8" s="32"/>
      <c r="K8" s="32"/>
      <c r="L8" s="32"/>
      <c r="M8" s="32"/>
      <c r="N8" s="31"/>
      <c r="O8" s="31"/>
    </row>
    <row r="9" spans="1:15" ht="15" x14ac:dyDescent="0.25">
      <c r="A9" s="2"/>
      <c r="B9" s="44" t="s">
        <v>313</v>
      </c>
      <c r="C9" s="45">
        <v>300</v>
      </c>
      <c r="D9" s="42"/>
      <c r="E9" s="31"/>
      <c r="F9" s="31"/>
      <c r="G9" s="31"/>
      <c r="H9" s="32"/>
      <c r="I9" s="32" t="s">
        <v>95</v>
      </c>
      <c r="J9" s="32" t="s">
        <v>365</v>
      </c>
      <c r="K9" s="32" t="s">
        <v>366</v>
      </c>
      <c r="L9" s="32" t="s">
        <v>367</v>
      </c>
      <c r="M9" s="32"/>
      <c r="N9" s="31"/>
      <c r="O9" s="31"/>
    </row>
    <row r="10" spans="1:15" ht="15" x14ac:dyDescent="0.25">
      <c r="A10" s="2"/>
      <c r="B10" s="44" t="s">
        <v>368</v>
      </c>
      <c r="C10" s="45"/>
      <c r="D10" s="42"/>
      <c r="E10" s="31"/>
      <c r="F10" s="31"/>
      <c r="G10" s="31"/>
      <c r="H10" s="32"/>
      <c r="I10" s="27" t="s">
        <v>148</v>
      </c>
      <c r="J10" s="27" t="s">
        <v>148</v>
      </c>
      <c r="K10" s="27" t="s">
        <v>148</v>
      </c>
      <c r="L10" s="27" t="s">
        <v>148</v>
      </c>
      <c r="M10" s="32"/>
      <c r="N10" s="31"/>
      <c r="O10" s="31"/>
    </row>
    <row r="11" spans="1:15" ht="15" x14ac:dyDescent="0.25">
      <c r="A11" s="2"/>
      <c r="B11" s="44" t="s">
        <v>314</v>
      </c>
      <c r="C11" s="45">
        <v>0</v>
      </c>
      <c r="D11" s="42"/>
      <c r="E11" s="31"/>
      <c r="F11" s="31"/>
      <c r="G11" s="31"/>
      <c r="H11" s="32" t="s">
        <v>290</v>
      </c>
      <c r="I11" s="46">
        <v>900</v>
      </c>
      <c r="J11" s="46">
        <v>540</v>
      </c>
      <c r="K11" s="46">
        <v>500</v>
      </c>
      <c r="L11" s="36"/>
      <c r="M11" s="32"/>
      <c r="N11" s="31"/>
      <c r="O11" s="31"/>
    </row>
    <row r="12" spans="1:15" ht="15" x14ac:dyDescent="0.25">
      <c r="A12" s="2"/>
      <c r="B12" s="44" t="s">
        <v>369</v>
      </c>
      <c r="C12" s="45"/>
      <c r="D12" s="42"/>
      <c r="E12" s="31"/>
      <c r="F12" s="31"/>
      <c r="G12" s="31"/>
      <c r="H12" s="32" t="s">
        <v>339</v>
      </c>
      <c r="I12" s="46"/>
      <c r="J12" s="46"/>
      <c r="K12" s="46"/>
      <c r="L12" s="36"/>
      <c r="M12" s="32"/>
      <c r="N12" s="31"/>
      <c r="O12" s="31"/>
    </row>
    <row r="13" spans="1:15" ht="15" x14ac:dyDescent="0.25">
      <c r="A13" s="2"/>
      <c r="B13" s="44" t="s">
        <v>370</v>
      </c>
      <c r="C13" s="45">
        <v>0</v>
      </c>
      <c r="D13" s="42"/>
      <c r="E13" s="31"/>
      <c r="F13" s="31"/>
      <c r="G13" s="31"/>
      <c r="H13" s="32" t="s">
        <v>340</v>
      </c>
      <c r="I13" s="46">
        <v>1000</v>
      </c>
      <c r="J13" s="46">
        <v>550</v>
      </c>
      <c r="K13" s="46">
        <v>450</v>
      </c>
      <c r="L13" s="36"/>
      <c r="M13" s="32"/>
      <c r="N13" s="31"/>
      <c r="O13" s="31"/>
    </row>
    <row r="14" spans="1:15" ht="15.75" thickBot="1" x14ac:dyDescent="0.3">
      <c r="A14" s="2"/>
      <c r="B14" s="44" t="s">
        <v>371</v>
      </c>
      <c r="C14" s="45"/>
      <c r="D14" s="42"/>
      <c r="E14" s="31"/>
      <c r="F14" s="31"/>
      <c r="G14" s="31"/>
      <c r="H14" s="32" t="s">
        <v>341</v>
      </c>
      <c r="I14" s="40">
        <f>I13-I11-I12</f>
        <v>100</v>
      </c>
      <c r="J14" s="40">
        <f>J13-J11-J12</f>
        <v>10</v>
      </c>
      <c r="K14" s="40">
        <f>K13-K11-K12</f>
        <v>-50</v>
      </c>
      <c r="L14" s="40">
        <f>L13-L11-L12</f>
        <v>0</v>
      </c>
      <c r="M14" s="32"/>
      <c r="N14" s="31"/>
      <c r="O14" s="31"/>
    </row>
    <row r="15" spans="1:15" ht="15.75" thickTop="1" x14ac:dyDescent="0.25">
      <c r="A15" s="2"/>
      <c r="B15" s="44" t="s">
        <v>373</v>
      </c>
      <c r="C15" s="45"/>
      <c r="D15" s="42"/>
      <c r="E15" s="31"/>
      <c r="F15" s="31"/>
      <c r="G15" s="31"/>
      <c r="H15" s="34" t="s">
        <v>372</v>
      </c>
      <c r="I15" s="47"/>
      <c r="J15" s="47"/>
      <c r="K15" s="48"/>
      <c r="L15" s="49">
        <f>-(I14+J14+K14+L14)</f>
        <v>-60</v>
      </c>
      <c r="M15" s="32"/>
      <c r="N15" s="31"/>
      <c r="O15" s="31"/>
    </row>
    <row r="16" spans="1:15" ht="15" x14ac:dyDescent="0.25">
      <c r="A16" s="2"/>
      <c r="B16" s="44" t="s">
        <v>374</v>
      </c>
      <c r="C16" s="45"/>
      <c r="D16" s="42"/>
      <c r="E16" s="31"/>
      <c r="F16" s="31"/>
      <c r="G16" s="31"/>
      <c r="H16" s="32"/>
      <c r="I16" s="32"/>
      <c r="J16" s="32"/>
      <c r="K16" s="32"/>
      <c r="L16" s="32"/>
      <c r="M16" s="32"/>
      <c r="N16" s="31"/>
      <c r="O16" s="31"/>
    </row>
    <row r="17" spans="1:15" ht="15" x14ac:dyDescent="0.25">
      <c r="A17" s="2"/>
      <c r="B17" s="44" t="s">
        <v>375</v>
      </c>
      <c r="C17" s="45"/>
      <c r="D17" s="42"/>
      <c r="E17" s="31"/>
      <c r="F17" s="31"/>
      <c r="G17" s="31"/>
      <c r="H17" s="32"/>
      <c r="I17" s="32"/>
      <c r="J17" s="32"/>
      <c r="K17" s="32"/>
      <c r="L17" s="32"/>
      <c r="M17" s="32"/>
      <c r="N17" s="31"/>
      <c r="O17" s="31"/>
    </row>
    <row r="18" spans="1:15" ht="15" x14ac:dyDescent="0.25">
      <c r="A18" s="2"/>
      <c r="B18" s="44" t="s">
        <v>132</v>
      </c>
      <c r="C18" s="45">
        <v>0</v>
      </c>
      <c r="D18" s="42"/>
      <c r="E18" s="31"/>
      <c r="F18" s="31"/>
      <c r="G18" s="31"/>
      <c r="H18" s="32" t="s">
        <v>376</v>
      </c>
      <c r="I18" s="32"/>
      <c r="J18" s="32"/>
      <c r="K18" s="32"/>
      <c r="L18" s="32"/>
      <c r="M18" s="32"/>
      <c r="N18" s="31"/>
      <c r="O18" s="31"/>
    </row>
    <row r="19" spans="1:15" ht="15" x14ac:dyDescent="0.25">
      <c r="A19" s="2"/>
      <c r="B19" s="44" t="s">
        <v>268</v>
      </c>
      <c r="C19" s="50">
        <v>245</v>
      </c>
      <c r="D19" s="42"/>
      <c r="E19" s="31"/>
      <c r="F19" s="31"/>
      <c r="G19" s="31"/>
      <c r="H19" s="31"/>
      <c r="I19" s="31"/>
      <c r="J19" s="31"/>
      <c r="K19" s="31"/>
      <c r="L19" s="31"/>
      <c r="M19" s="31"/>
      <c r="N19" s="31"/>
      <c r="O19" s="31"/>
    </row>
    <row r="20" spans="1:15" ht="15" x14ac:dyDescent="0.25">
      <c r="A20" s="2"/>
      <c r="B20" s="44"/>
      <c r="C20" s="51">
        <f>SUM(C7:C19)</f>
        <v>1693</v>
      </c>
      <c r="D20" s="42"/>
      <c r="E20" s="31"/>
      <c r="F20" s="31"/>
      <c r="G20" s="31"/>
      <c r="H20" s="34" t="s">
        <v>215</v>
      </c>
      <c r="I20" s="32"/>
      <c r="J20" s="32"/>
      <c r="K20" s="52"/>
      <c r="L20" s="31"/>
      <c r="M20" s="31"/>
      <c r="N20" s="31"/>
      <c r="O20" s="31"/>
    </row>
    <row r="21" spans="1:15" ht="15" x14ac:dyDescent="0.25">
      <c r="A21" s="2"/>
      <c r="B21" s="44" t="str">
        <f>IF(C21&lt;0,"Increase in inventories","Decrease in inventories")</f>
        <v>Increase in inventories</v>
      </c>
      <c r="C21" s="53">
        <f>-I14</f>
        <v>-100</v>
      </c>
      <c r="D21" s="42"/>
      <c r="E21" s="31"/>
      <c r="F21" s="31"/>
      <c r="G21" s="31"/>
      <c r="H21" s="32" t="s">
        <v>377</v>
      </c>
      <c r="I21" s="32"/>
      <c r="J21" s="54"/>
      <c r="K21" s="46"/>
      <c r="L21" s="31" t="str">
        <f ca="1">IFERROR(_xlfn.FORMULATEXT(K21)," ")</f>
        <v xml:space="preserve"> </v>
      </c>
      <c r="M21" s="31"/>
      <c r="N21" s="31"/>
      <c r="O21" s="31"/>
    </row>
    <row r="22" spans="1:15" ht="15" x14ac:dyDescent="0.25">
      <c r="A22" s="2"/>
      <c r="B22" s="44" t="str">
        <f>IF(C22&lt;0,"Increase in trade and other receivables","Decrease in trade and other receivables")</f>
        <v>Increase in trade and other receivables</v>
      </c>
      <c r="C22" s="53">
        <f>-J14</f>
        <v>-10</v>
      </c>
      <c r="D22" s="42"/>
      <c r="E22" s="31"/>
      <c r="F22" s="31"/>
      <c r="G22" s="31"/>
      <c r="H22" s="32" t="s">
        <v>268</v>
      </c>
      <c r="I22" s="32"/>
      <c r="J22" s="54"/>
      <c r="K22" s="46">
        <v>0</v>
      </c>
      <c r="L22" s="31" t="str">
        <f t="shared" ref="L22:L79" ca="1" si="0">IFERROR(_xlfn.FORMULATEXT(K22)," ")</f>
        <v xml:space="preserve"> </v>
      </c>
      <c r="M22" s="31"/>
      <c r="N22" s="31"/>
      <c r="O22" s="31"/>
    </row>
    <row r="23" spans="1:15" ht="15" x14ac:dyDescent="0.25">
      <c r="A23" s="2"/>
      <c r="B23" s="44" t="str">
        <f>IF(C23&gt;0,"Increase in trade and other payables","Decrease in trade and other payables")</f>
        <v>Decrease in trade and other payables</v>
      </c>
      <c r="C23" s="41">
        <f>K14</f>
        <v>-50</v>
      </c>
      <c r="D23" s="42"/>
      <c r="E23" s="31"/>
      <c r="F23" s="31"/>
      <c r="G23" s="31"/>
      <c r="H23" s="32" t="s">
        <v>378</v>
      </c>
      <c r="I23" s="32"/>
      <c r="J23" s="54"/>
      <c r="K23" s="46">
        <v>0</v>
      </c>
      <c r="L23" s="31" t="str">
        <f t="shared" ca="1" si="0"/>
        <v xml:space="preserve"> </v>
      </c>
      <c r="M23" s="31"/>
      <c r="N23" s="31"/>
      <c r="O23" s="31"/>
    </row>
    <row r="24" spans="1:15" ht="15" x14ac:dyDescent="0.25">
      <c r="A24" s="2"/>
      <c r="B24" s="44" t="str">
        <f>IF(C24&gt;0,"Increase in provisions","Decrease in provisions")</f>
        <v>Decrease in provisions</v>
      </c>
      <c r="C24" s="41">
        <f>L14</f>
        <v>0</v>
      </c>
      <c r="D24" s="42"/>
      <c r="E24" s="31"/>
      <c r="F24" s="31"/>
      <c r="G24" s="31"/>
      <c r="H24" s="32" t="s">
        <v>362</v>
      </c>
      <c r="I24" s="32"/>
      <c r="J24" s="54"/>
      <c r="K24" s="46">
        <f>10%*1250</f>
        <v>125</v>
      </c>
      <c r="L24" s="31"/>
      <c r="M24" s="31"/>
      <c r="N24" s="31"/>
      <c r="O24" s="31"/>
    </row>
    <row r="25" spans="1:15" ht="15" x14ac:dyDescent="0.25">
      <c r="A25" s="2"/>
      <c r="B25" s="37" t="s">
        <v>80</v>
      </c>
      <c r="C25" s="55">
        <f>SUM(C20:C24)</f>
        <v>1533</v>
      </c>
      <c r="D25" s="42"/>
      <c r="E25" s="31"/>
      <c r="F25" s="31"/>
      <c r="G25" s="31"/>
      <c r="H25" s="32" t="s">
        <v>379</v>
      </c>
      <c r="I25" s="32"/>
      <c r="J25" s="54"/>
      <c r="K25" s="46">
        <v>120</v>
      </c>
      <c r="L25" s="31"/>
      <c r="M25" s="31"/>
      <c r="N25" s="31"/>
      <c r="O25" s="31"/>
    </row>
    <row r="26" spans="1:15" ht="15" x14ac:dyDescent="0.25">
      <c r="A26" s="2"/>
      <c r="B26" s="37" t="s">
        <v>215</v>
      </c>
      <c r="C26" s="41">
        <f>-K29</f>
        <v>-245</v>
      </c>
      <c r="D26" s="42"/>
      <c r="E26" s="31"/>
      <c r="F26" s="31"/>
      <c r="G26" s="31"/>
      <c r="H26" s="32" t="s">
        <v>380</v>
      </c>
      <c r="I26" s="32"/>
      <c r="J26" s="54"/>
      <c r="K26" s="46"/>
      <c r="L26" s="31" t="str">
        <f t="shared" ca="1" si="0"/>
        <v xml:space="preserve"> </v>
      </c>
      <c r="M26" s="31"/>
      <c r="N26" s="31"/>
      <c r="O26" s="31"/>
    </row>
    <row r="27" spans="1:15" ht="15" x14ac:dyDescent="0.25">
      <c r="A27" s="2"/>
      <c r="B27" s="37" t="s">
        <v>117</v>
      </c>
      <c r="C27" s="56">
        <f>-K38</f>
        <v>0</v>
      </c>
      <c r="D27" s="42"/>
      <c r="E27" s="31"/>
      <c r="F27" s="31"/>
      <c r="G27" s="31"/>
      <c r="H27" s="32"/>
      <c r="I27" s="32"/>
      <c r="J27" s="54"/>
      <c r="K27" s="57">
        <f>K21+K22-K26+K23+K24+K25</f>
        <v>245</v>
      </c>
      <c r="L27" s="31"/>
      <c r="M27" s="31"/>
      <c r="N27" s="31"/>
      <c r="O27" s="31"/>
    </row>
    <row r="28" spans="1:15" ht="15" x14ac:dyDescent="0.25">
      <c r="A28" s="2"/>
      <c r="B28" s="58" t="s">
        <v>424</v>
      </c>
      <c r="C28" s="59"/>
      <c r="D28" s="60">
        <f>SUM(C25:C27)</f>
        <v>1288</v>
      </c>
      <c r="E28" s="31"/>
      <c r="F28" s="31"/>
      <c r="G28" s="31"/>
      <c r="H28" s="32" t="s">
        <v>288</v>
      </c>
      <c r="I28" s="32"/>
      <c r="J28" s="54"/>
      <c r="K28" s="46">
        <v>0</v>
      </c>
      <c r="L28" s="31" t="str">
        <f t="shared" ca="1" si="0"/>
        <v xml:space="preserve"> </v>
      </c>
      <c r="M28" s="31"/>
      <c r="N28" s="31"/>
      <c r="O28" s="31"/>
    </row>
    <row r="29" spans="1:15" ht="15.75" thickBot="1" x14ac:dyDescent="0.3">
      <c r="A29" s="2"/>
      <c r="B29" s="37"/>
      <c r="C29" s="42"/>
      <c r="D29" s="42"/>
      <c r="E29" s="31"/>
      <c r="F29" s="31"/>
      <c r="G29" s="31"/>
      <c r="H29" s="32" t="s">
        <v>215</v>
      </c>
      <c r="I29" s="32"/>
      <c r="J29" s="54"/>
      <c r="K29" s="61">
        <f>K27-K28</f>
        <v>245</v>
      </c>
      <c r="L29" s="31"/>
      <c r="M29" s="31"/>
      <c r="N29" s="31"/>
      <c r="O29" s="31"/>
    </row>
    <row r="30" spans="1:15" ht="16.5" thickTop="1" x14ac:dyDescent="0.25">
      <c r="A30" s="2"/>
      <c r="B30" s="33" t="s">
        <v>318</v>
      </c>
      <c r="C30" s="42"/>
      <c r="D30" s="42"/>
      <c r="E30" s="31"/>
      <c r="F30" s="31"/>
      <c r="G30" s="31"/>
      <c r="H30" s="32"/>
      <c r="I30" s="32"/>
      <c r="J30" s="54"/>
      <c r="K30" s="54"/>
      <c r="L30" s="31" t="str">
        <f t="shared" ca="1" si="0"/>
        <v xml:space="preserve"> </v>
      </c>
      <c r="M30" s="31"/>
      <c r="N30" s="31"/>
      <c r="O30" s="31"/>
    </row>
    <row r="31" spans="1:15" ht="15" x14ac:dyDescent="0.25">
      <c r="A31" s="2"/>
      <c r="B31" s="37" t="s">
        <v>381</v>
      </c>
      <c r="C31" s="41"/>
      <c r="D31" s="42"/>
      <c r="E31" s="31"/>
      <c r="F31" s="31"/>
      <c r="G31" s="31"/>
      <c r="H31" s="34" t="s">
        <v>117</v>
      </c>
      <c r="I31" s="32"/>
      <c r="J31" s="54"/>
      <c r="K31" s="54"/>
      <c r="L31" s="31" t="str">
        <f t="shared" ca="1" si="0"/>
        <v xml:space="preserve"> </v>
      </c>
      <c r="M31" s="31"/>
      <c r="N31" s="31"/>
      <c r="O31" s="31"/>
    </row>
    <row r="32" spans="1:15" ht="15" x14ac:dyDescent="0.25">
      <c r="A32" s="2"/>
      <c r="B32" s="37" t="s">
        <v>382</v>
      </c>
      <c r="C32" s="41"/>
      <c r="D32" s="42"/>
      <c r="E32" s="31"/>
      <c r="F32" s="31"/>
      <c r="G32" s="31"/>
      <c r="H32" s="32" t="s">
        <v>218</v>
      </c>
      <c r="I32" s="32"/>
      <c r="J32" s="46">
        <v>0</v>
      </c>
      <c r="K32" s="62"/>
      <c r="L32" s="31" t="str">
        <f t="shared" ca="1" si="0"/>
        <v xml:space="preserve"> </v>
      </c>
      <c r="M32" s="31"/>
      <c r="N32" s="31"/>
      <c r="O32" s="31"/>
    </row>
    <row r="33" spans="1:15" ht="15" x14ac:dyDescent="0.25">
      <c r="A33" s="2"/>
      <c r="B33" s="37" t="s">
        <v>319</v>
      </c>
      <c r="C33" s="41">
        <f>-K48</f>
        <v>-2099.6999999999998</v>
      </c>
      <c r="D33" s="42"/>
      <c r="E33" s="31"/>
      <c r="F33" s="31"/>
      <c r="G33" s="31"/>
      <c r="H33" s="32" t="s">
        <v>383</v>
      </c>
      <c r="I33" s="32"/>
      <c r="J33" s="46">
        <v>0</v>
      </c>
      <c r="K33" s="62">
        <f>J33+J32</f>
        <v>0</v>
      </c>
      <c r="L33" s="31"/>
      <c r="M33" s="31"/>
      <c r="N33" s="31"/>
      <c r="O33" s="31"/>
    </row>
    <row r="34" spans="1:15" ht="15" x14ac:dyDescent="0.25">
      <c r="A34" s="2"/>
      <c r="B34" s="37" t="s">
        <v>320</v>
      </c>
      <c r="C34" s="41">
        <f>K53</f>
        <v>0</v>
      </c>
      <c r="D34" s="42"/>
      <c r="E34" s="31"/>
      <c r="F34" s="31"/>
      <c r="G34" s="31"/>
      <c r="H34" s="32" t="s">
        <v>344</v>
      </c>
      <c r="I34" s="32"/>
      <c r="J34" s="62"/>
      <c r="K34" s="46">
        <v>0</v>
      </c>
      <c r="L34" s="31" t="str">
        <f t="shared" ca="1" si="0"/>
        <v xml:space="preserve"> </v>
      </c>
      <c r="M34" s="31"/>
      <c r="N34" s="31"/>
      <c r="O34" s="31"/>
    </row>
    <row r="35" spans="1:15" ht="15" x14ac:dyDescent="0.25">
      <c r="A35" s="2"/>
      <c r="B35" s="37" t="s">
        <v>321</v>
      </c>
      <c r="C35" s="41">
        <f>-K94</f>
        <v>-90</v>
      </c>
      <c r="D35" s="42"/>
      <c r="E35" s="31"/>
      <c r="F35" s="31"/>
      <c r="G35" s="31"/>
      <c r="H35" s="32"/>
      <c r="I35" s="32"/>
      <c r="J35" s="62"/>
      <c r="K35" s="62">
        <f>K33+K34</f>
        <v>0</v>
      </c>
      <c r="L35" s="31"/>
      <c r="M35" s="31"/>
      <c r="N35" s="31"/>
      <c r="O35" s="31"/>
    </row>
    <row r="36" spans="1:15" ht="15" x14ac:dyDescent="0.25">
      <c r="A36" s="2"/>
      <c r="B36" s="37" t="s">
        <v>384</v>
      </c>
      <c r="C36" s="41"/>
      <c r="D36" s="42"/>
      <c r="E36" s="31"/>
      <c r="F36" s="31"/>
      <c r="G36" s="31"/>
      <c r="H36" s="32" t="s">
        <v>220</v>
      </c>
      <c r="I36" s="32"/>
      <c r="J36" s="46">
        <v>0</v>
      </c>
      <c r="K36" s="62"/>
      <c r="L36" s="31" t="str">
        <f t="shared" ca="1" si="0"/>
        <v xml:space="preserve"> </v>
      </c>
      <c r="M36" s="31"/>
      <c r="N36" s="31"/>
      <c r="O36" s="31"/>
    </row>
    <row r="37" spans="1:15" ht="15" x14ac:dyDescent="0.25">
      <c r="A37" s="2"/>
      <c r="B37" s="37" t="s">
        <v>135</v>
      </c>
      <c r="C37" s="41">
        <f>K63</f>
        <v>0</v>
      </c>
      <c r="D37" s="42"/>
      <c r="E37" s="31"/>
      <c r="F37" s="31"/>
      <c r="G37" s="31"/>
      <c r="H37" s="32" t="s">
        <v>385</v>
      </c>
      <c r="I37" s="32"/>
      <c r="J37" s="46"/>
      <c r="K37" s="62">
        <f>J37+J36</f>
        <v>0</v>
      </c>
      <c r="L37" s="31"/>
      <c r="M37" s="31"/>
      <c r="N37" s="31"/>
      <c r="O37" s="31"/>
    </row>
    <row r="38" spans="1:15" ht="15.75" thickBot="1" x14ac:dyDescent="0.3">
      <c r="A38" s="2"/>
      <c r="B38" s="37" t="s">
        <v>386</v>
      </c>
      <c r="C38" s="56">
        <f>K74</f>
        <v>0</v>
      </c>
      <c r="D38" s="42"/>
      <c r="E38" s="31"/>
      <c r="F38" s="31"/>
      <c r="G38" s="31"/>
      <c r="H38" s="32" t="s">
        <v>117</v>
      </c>
      <c r="I38" s="32"/>
      <c r="J38" s="62"/>
      <c r="K38" s="61">
        <f>K35-K37</f>
        <v>0</v>
      </c>
      <c r="L38" s="31"/>
      <c r="M38" s="31"/>
      <c r="N38" s="31"/>
      <c r="O38" s="31"/>
    </row>
    <row r="39" spans="1:15" ht="15.75" thickTop="1" x14ac:dyDescent="0.25">
      <c r="A39" s="2"/>
      <c r="B39" s="58" t="s">
        <v>425</v>
      </c>
      <c r="C39" s="59"/>
      <c r="D39" s="60">
        <f>SUM(C31:C38)</f>
        <v>-2189.6999999999998</v>
      </c>
      <c r="E39" s="31"/>
      <c r="F39" s="31"/>
      <c r="G39" s="31"/>
      <c r="H39" s="32"/>
      <c r="I39" s="32"/>
      <c r="J39" s="54"/>
      <c r="K39" s="54"/>
      <c r="L39" s="31" t="str">
        <f t="shared" ca="1" si="0"/>
        <v xml:space="preserve"> </v>
      </c>
      <c r="M39" s="31"/>
      <c r="N39" s="31"/>
      <c r="O39" s="31"/>
    </row>
    <row r="40" spans="1:15" ht="15" x14ac:dyDescent="0.25">
      <c r="A40" s="2"/>
      <c r="B40" s="37"/>
      <c r="C40" s="42"/>
      <c r="D40" s="42"/>
      <c r="E40" s="31"/>
      <c r="F40" s="31"/>
      <c r="G40" s="31"/>
      <c r="H40" s="34" t="s">
        <v>221</v>
      </c>
      <c r="I40" s="32"/>
      <c r="J40" s="54"/>
      <c r="K40" s="54"/>
      <c r="L40" s="31" t="str">
        <f t="shared" ca="1" si="0"/>
        <v xml:space="preserve"> </v>
      </c>
      <c r="M40" s="31"/>
      <c r="N40" s="31"/>
      <c r="O40" s="31"/>
    </row>
    <row r="41" spans="1:15" ht="15.75" x14ac:dyDescent="0.25">
      <c r="A41" s="2"/>
      <c r="B41" s="33" t="s">
        <v>199</v>
      </c>
      <c r="C41" s="42"/>
      <c r="D41" s="42"/>
      <c r="E41" s="31"/>
      <c r="F41" s="31"/>
      <c r="G41" s="31"/>
      <c r="H41" s="32" t="s">
        <v>151</v>
      </c>
      <c r="I41" s="32"/>
      <c r="J41" s="54"/>
      <c r="K41" s="46">
        <v>3000</v>
      </c>
      <c r="L41" s="31" t="str">
        <f t="shared" ca="1" si="0"/>
        <v xml:space="preserve"> </v>
      </c>
      <c r="M41" s="31"/>
      <c r="N41" s="31"/>
      <c r="O41" s="31"/>
    </row>
    <row r="42" spans="1:15" ht="15" x14ac:dyDescent="0.25">
      <c r="A42" s="2"/>
      <c r="B42" s="37" t="s">
        <v>181</v>
      </c>
      <c r="C42" s="41">
        <f>K80</f>
        <v>350</v>
      </c>
      <c r="D42" s="42"/>
      <c r="E42" s="31"/>
      <c r="F42" s="31"/>
      <c r="G42" s="31"/>
      <c r="H42" s="32" t="s">
        <v>387</v>
      </c>
      <c r="I42" s="32"/>
      <c r="J42" s="54"/>
      <c r="K42" s="46">
        <f>120.3+25</f>
        <v>145.30000000000001</v>
      </c>
      <c r="L42" s="31" t="str">
        <f t="shared" ca="1" si="0"/>
        <v>=120.3+25</v>
      </c>
      <c r="M42" s="31"/>
      <c r="N42" s="31"/>
      <c r="O42" s="31"/>
    </row>
    <row r="43" spans="1:15" ht="15" x14ac:dyDescent="0.25">
      <c r="A43" s="2"/>
      <c r="B43" s="37" t="s">
        <v>389</v>
      </c>
      <c r="C43" s="41"/>
      <c r="D43" s="42"/>
      <c r="E43" s="31"/>
      <c r="F43" s="31"/>
      <c r="G43" s="31"/>
      <c r="H43" s="32" t="s">
        <v>388</v>
      </c>
      <c r="I43" s="32"/>
      <c r="J43" s="54"/>
      <c r="K43" s="46">
        <v>300</v>
      </c>
      <c r="L43" s="31" t="str">
        <f t="shared" ca="1" si="0"/>
        <v xml:space="preserve"> </v>
      </c>
      <c r="M43" s="31"/>
      <c r="N43" s="31"/>
      <c r="O43" s="31"/>
    </row>
    <row r="44" spans="1:15" ht="15" x14ac:dyDescent="0.25">
      <c r="A44" s="2"/>
      <c r="B44" s="37" t="s">
        <v>391</v>
      </c>
      <c r="C44" s="41">
        <f>+K85</f>
        <v>250</v>
      </c>
      <c r="D44" s="42"/>
      <c r="E44" s="31"/>
      <c r="F44" s="31"/>
      <c r="G44" s="31"/>
      <c r="H44" s="32" t="s">
        <v>390</v>
      </c>
      <c r="I44" s="32"/>
      <c r="J44" s="54"/>
      <c r="K44" s="46">
        <v>0</v>
      </c>
      <c r="L44" s="31" t="str">
        <f t="shared" ca="1" si="0"/>
        <v xml:space="preserve"> </v>
      </c>
      <c r="M44" s="31"/>
      <c r="N44" s="31"/>
      <c r="O44" s="31"/>
    </row>
    <row r="45" spans="1:15" ht="15" x14ac:dyDescent="0.25">
      <c r="A45" s="2"/>
      <c r="B45" s="37" t="s">
        <v>194</v>
      </c>
      <c r="C45" s="41">
        <f>K87</f>
        <v>450</v>
      </c>
      <c r="D45" s="42"/>
      <c r="E45" s="31"/>
      <c r="F45" s="31"/>
      <c r="G45" s="31"/>
      <c r="H45" s="32" t="s">
        <v>392</v>
      </c>
      <c r="I45" s="32"/>
      <c r="J45" s="54"/>
      <c r="K45" s="46">
        <v>55</v>
      </c>
      <c r="L45" s="31" t="str">
        <f t="shared" ca="1" si="0"/>
        <v xml:space="preserve"> </v>
      </c>
      <c r="M45" s="31"/>
      <c r="N45" s="31"/>
      <c r="O45" s="31"/>
    </row>
    <row r="46" spans="1:15" ht="15" x14ac:dyDescent="0.25">
      <c r="A46" s="2"/>
      <c r="B46" s="37" t="s">
        <v>323</v>
      </c>
      <c r="C46" s="41">
        <f>-K112</f>
        <v>0</v>
      </c>
      <c r="D46" s="42"/>
      <c r="E46" s="31"/>
      <c r="F46" s="31"/>
      <c r="G46" s="31"/>
      <c r="H46" s="32"/>
      <c r="I46" s="32"/>
      <c r="J46" s="54"/>
      <c r="K46" s="57">
        <f>K41-K43+K42-K44+K45</f>
        <v>2900.3</v>
      </c>
      <c r="L46" s="31"/>
      <c r="M46" s="31"/>
      <c r="N46" s="31"/>
      <c r="O46" s="31"/>
    </row>
    <row r="47" spans="1:15" ht="15" x14ac:dyDescent="0.25">
      <c r="A47" s="2"/>
      <c r="B47" s="37" t="s">
        <v>393</v>
      </c>
      <c r="C47" s="41">
        <f>-K120</f>
        <v>0</v>
      </c>
      <c r="D47" s="42"/>
      <c r="E47" s="31"/>
      <c r="F47" s="31"/>
      <c r="G47" s="31"/>
      <c r="H47" s="32" t="s">
        <v>156</v>
      </c>
      <c r="I47" s="32"/>
      <c r="J47" s="54"/>
      <c r="K47" s="46">
        <v>5000</v>
      </c>
      <c r="L47" s="31"/>
      <c r="M47" s="31"/>
      <c r="N47" s="31"/>
      <c r="O47" s="31"/>
    </row>
    <row r="48" spans="1:15" ht="15.75" thickBot="1" x14ac:dyDescent="0.3">
      <c r="A48" s="2"/>
      <c r="B48" s="37" t="s">
        <v>394</v>
      </c>
      <c r="C48" s="41"/>
      <c r="D48" s="42"/>
      <c r="E48" s="31"/>
      <c r="F48" s="31"/>
      <c r="G48" s="31"/>
      <c r="H48" s="32" t="s">
        <v>221</v>
      </c>
      <c r="I48" s="32"/>
      <c r="J48" s="54"/>
      <c r="K48" s="63">
        <f>K47-K46</f>
        <v>2099.6999999999998</v>
      </c>
      <c r="L48" s="31"/>
      <c r="M48" s="31"/>
      <c r="N48" s="31"/>
      <c r="O48" s="31"/>
    </row>
    <row r="49" spans="1:15" ht="15.75" thickTop="1" x14ac:dyDescent="0.25">
      <c r="A49" s="2"/>
      <c r="B49" s="37" t="s">
        <v>395</v>
      </c>
      <c r="C49" s="41"/>
      <c r="D49" s="42"/>
      <c r="E49" s="31"/>
      <c r="F49" s="31"/>
      <c r="G49" s="31"/>
      <c r="H49" s="32"/>
      <c r="I49" s="32"/>
      <c r="J49" s="54"/>
      <c r="K49" s="54"/>
      <c r="L49" s="31" t="str">
        <f t="shared" ca="1" si="0"/>
        <v xml:space="preserve"> </v>
      </c>
      <c r="M49" s="31"/>
      <c r="N49" s="31"/>
      <c r="O49" s="31"/>
    </row>
    <row r="50" spans="1:15" ht="15" x14ac:dyDescent="0.25">
      <c r="A50" s="2"/>
      <c r="B50" s="37" t="s">
        <v>147</v>
      </c>
      <c r="C50" s="56">
        <f>-K72</f>
        <v>-48</v>
      </c>
      <c r="D50" s="42"/>
      <c r="E50" s="31"/>
      <c r="F50" s="31"/>
      <c r="G50" s="31"/>
      <c r="H50" s="34" t="s">
        <v>225</v>
      </c>
      <c r="I50" s="64"/>
      <c r="J50" s="65"/>
      <c r="K50" s="65"/>
      <c r="L50" s="31" t="str">
        <f t="shared" ca="1" si="0"/>
        <v xml:space="preserve"> </v>
      </c>
      <c r="M50" s="31"/>
      <c r="N50" s="31"/>
      <c r="O50" s="31"/>
    </row>
    <row r="51" spans="1:15" ht="15" x14ac:dyDescent="0.25">
      <c r="A51" s="2"/>
      <c r="B51" s="58" t="s">
        <v>426</v>
      </c>
      <c r="C51" s="59"/>
      <c r="D51" s="66">
        <f>SUM(C42:C50)</f>
        <v>1002</v>
      </c>
      <c r="E51" s="31"/>
      <c r="F51" s="31"/>
      <c r="G51" s="31"/>
      <c r="H51" s="32" t="s">
        <v>226</v>
      </c>
      <c r="I51" s="64"/>
      <c r="J51" s="65"/>
      <c r="K51" s="67">
        <v>0</v>
      </c>
      <c r="L51" s="31" t="str">
        <f t="shared" ca="1" si="0"/>
        <v xml:space="preserve"> </v>
      </c>
      <c r="M51" s="31"/>
      <c r="N51" s="31"/>
      <c r="O51" s="31"/>
    </row>
    <row r="52" spans="1:15" ht="15" x14ac:dyDescent="0.25">
      <c r="A52" s="2"/>
      <c r="B52" s="37"/>
      <c r="C52" s="42"/>
      <c r="D52" s="59"/>
      <c r="E52" s="31"/>
      <c r="F52" s="31"/>
      <c r="G52" s="31"/>
      <c r="H52" s="32" t="s">
        <v>347</v>
      </c>
      <c r="I52" s="64"/>
      <c r="J52" s="65"/>
      <c r="K52" s="67"/>
      <c r="L52" s="31" t="str">
        <f t="shared" ca="1" si="0"/>
        <v xml:space="preserve"> </v>
      </c>
      <c r="M52" s="31"/>
      <c r="N52" s="31"/>
      <c r="O52" s="31"/>
    </row>
    <row r="53" spans="1:15" ht="16.5" thickBot="1" x14ac:dyDescent="0.3">
      <c r="A53" s="2"/>
      <c r="B53" s="33" t="s">
        <v>324</v>
      </c>
      <c r="C53" s="42"/>
      <c r="D53" s="60">
        <f>SUM(D28,D39,D51)</f>
        <v>100.30000000000018</v>
      </c>
      <c r="E53" s="31"/>
      <c r="F53" s="31"/>
      <c r="G53" s="31"/>
      <c r="H53" s="32" t="s">
        <v>225</v>
      </c>
      <c r="I53" s="64"/>
      <c r="J53" s="65"/>
      <c r="K53" s="63">
        <f>K51-K52</f>
        <v>0</v>
      </c>
      <c r="L53" s="31"/>
      <c r="M53" s="31"/>
      <c r="N53" s="31"/>
      <c r="O53" s="31"/>
    </row>
    <row r="54" spans="1:15" ht="16.5" thickTop="1" x14ac:dyDescent="0.25">
      <c r="A54" s="2"/>
      <c r="B54" s="68" t="s">
        <v>427</v>
      </c>
      <c r="C54" s="42"/>
      <c r="D54" s="56">
        <f>K6</f>
        <v>100</v>
      </c>
      <c r="E54" s="31"/>
      <c r="F54" s="31"/>
      <c r="G54" s="31"/>
      <c r="H54" s="64"/>
      <c r="I54" s="64"/>
      <c r="J54" s="65"/>
      <c r="K54" s="65"/>
      <c r="L54" s="31" t="str">
        <f t="shared" ca="1" si="0"/>
        <v xml:space="preserve"> </v>
      </c>
      <c r="M54" s="31"/>
      <c r="N54" s="31"/>
      <c r="O54" s="31"/>
    </row>
    <row r="55" spans="1:15" ht="16.5" thickBot="1" x14ac:dyDescent="0.3">
      <c r="A55" s="2"/>
      <c r="B55" s="33" t="s">
        <v>428</v>
      </c>
      <c r="C55" s="42"/>
      <c r="D55" s="69">
        <f>J6</f>
        <v>200</v>
      </c>
      <c r="E55" s="31"/>
      <c r="F55" s="31"/>
      <c r="G55" s="31"/>
      <c r="H55" s="64"/>
      <c r="I55" s="64"/>
      <c r="J55" s="65"/>
      <c r="K55" s="65"/>
      <c r="L55" s="31" t="str">
        <f t="shared" ca="1" si="0"/>
        <v xml:space="preserve"> </v>
      </c>
      <c r="M55" s="31"/>
      <c r="N55" s="31"/>
      <c r="O55" s="31"/>
    </row>
    <row r="56" spans="1:15" ht="15" x14ac:dyDescent="0.25">
      <c r="A56" s="2"/>
      <c r="B56" s="31"/>
      <c r="C56" s="70"/>
      <c r="D56" s="70"/>
      <c r="E56" s="31"/>
      <c r="F56" s="31"/>
      <c r="G56" s="31"/>
      <c r="H56" s="34" t="s">
        <v>135</v>
      </c>
      <c r="I56" s="32"/>
      <c r="J56" s="54"/>
      <c r="K56" s="54"/>
      <c r="L56" s="31" t="str">
        <f t="shared" ca="1" si="0"/>
        <v xml:space="preserve"> </v>
      </c>
      <c r="M56" s="31"/>
      <c r="N56" s="31"/>
      <c r="O56" s="31"/>
    </row>
    <row r="57" spans="1:15" ht="15" x14ac:dyDescent="0.25">
      <c r="A57" s="2"/>
      <c r="B57" s="31"/>
      <c r="C57" s="71">
        <f>D55-(SUM(D53:D54))</f>
        <v>-0.3000000000001819</v>
      </c>
      <c r="D57" s="72"/>
      <c r="E57" s="31"/>
      <c r="F57" s="31"/>
      <c r="G57" s="31"/>
      <c r="H57" s="32" t="s">
        <v>300</v>
      </c>
      <c r="I57" s="32"/>
      <c r="J57" s="54"/>
      <c r="K57" s="36">
        <v>0</v>
      </c>
      <c r="L57" s="31" t="str">
        <f t="shared" ca="1" si="0"/>
        <v xml:space="preserve"> </v>
      </c>
      <c r="M57" s="31"/>
      <c r="N57" s="31"/>
      <c r="O57" s="31"/>
    </row>
    <row r="58" spans="1:15" ht="15" x14ac:dyDescent="0.25">
      <c r="A58" s="2"/>
      <c r="B58" s="31"/>
      <c r="C58" s="70"/>
      <c r="D58" s="70"/>
      <c r="E58" s="31"/>
      <c r="F58" s="31"/>
      <c r="G58" s="31"/>
      <c r="H58" s="32" t="s">
        <v>132</v>
      </c>
      <c r="I58" s="32"/>
      <c r="J58" s="54"/>
      <c r="K58" s="46">
        <v>0</v>
      </c>
      <c r="L58" s="31" t="str">
        <f t="shared" ca="1" si="0"/>
        <v xml:space="preserve"> </v>
      </c>
      <c r="M58" s="31"/>
      <c r="N58" s="31"/>
      <c r="O58" s="31"/>
    </row>
    <row r="59" spans="1:15" ht="15" x14ac:dyDescent="0.25">
      <c r="A59" s="2"/>
      <c r="B59" s="31"/>
      <c r="C59" s="70"/>
      <c r="D59" s="70"/>
      <c r="E59" s="31"/>
      <c r="F59" s="31"/>
      <c r="G59" s="31"/>
      <c r="H59" s="32" t="s">
        <v>396</v>
      </c>
      <c r="I59" s="32"/>
      <c r="J59" s="54"/>
      <c r="K59" s="46"/>
      <c r="L59" s="31" t="str">
        <f t="shared" ca="1" si="0"/>
        <v xml:space="preserve"> </v>
      </c>
      <c r="M59" s="31"/>
      <c r="N59" s="31"/>
      <c r="O59" s="31"/>
    </row>
    <row r="60" spans="1:15" ht="15" x14ac:dyDescent="0.25">
      <c r="A60" s="2"/>
      <c r="B60" s="31"/>
      <c r="C60" s="70"/>
      <c r="D60" s="70"/>
      <c r="E60" s="31"/>
      <c r="F60" s="31"/>
      <c r="G60" s="31"/>
      <c r="H60" s="32" t="s">
        <v>397</v>
      </c>
      <c r="I60" s="32"/>
      <c r="J60" s="54"/>
      <c r="K60" s="46"/>
      <c r="L60" s="31" t="str">
        <f t="shared" ca="1" si="0"/>
        <v xml:space="preserve"> </v>
      </c>
      <c r="M60" s="31"/>
      <c r="N60" s="31"/>
      <c r="O60" s="31"/>
    </row>
    <row r="61" spans="1:15" ht="15" x14ac:dyDescent="0.25">
      <c r="A61" s="2"/>
      <c r="B61" s="31"/>
      <c r="C61" s="70"/>
      <c r="D61" s="70"/>
      <c r="E61" s="31"/>
      <c r="F61" s="31"/>
      <c r="G61" s="31"/>
      <c r="H61" s="32"/>
      <c r="I61" s="32"/>
      <c r="J61" s="54"/>
      <c r="K61" s="73">
        <f>K57+K58+K60-K59</f>
        <v>0</v>
      </c>
      <c r="L61" s="31"/>
      <c r="M61" s="31"/>
      <c r="N61" s="31"/>
      <c r="O61" s="31"/>
    </row>
    <row r="62" spans="1:15" ht="15" x14ac:dyDescent="0.25">
      <c r="A62" s="2"/>
      <c r="B62" s="31"/>
      <c r="C62" s="70"/>
      <c r="D62" s="70"/>
      <c r="E62" s="31"/>
      <c r="F62" s="31"/>
      <c r="G62" s="31"/>
      <c r="H62" s="32" t="s">
        <v>301</v>
      </c>
      <c r="I62" s="32"/>
      <c r="J62" s="54"/>
      <c r="K62" s="36">
        <v>0</v>
      </c>
      <c r="L62" s="31" t="str">
        <f t="shared" ca="1" si="0"/>
        <v xml:space="preserve"> </v>
      </c>
      <c r="M62" s="31"/>
      <c r="N62" s="31"/>
      <c r="O62" s="31"/>
    </row>
    <row r="63" spans="1:15" ht="15.75" thickBot="1" x14ac:dyDescent="0.3">
      <c r="A63" s="2"/>
      <c r="B63" s="31"/>
      <c r="C63" s="70"/>
      <c r="D63" s="70"/>
      <c r="E63" s="31"/>
      <c r="F63" s="31"/>
      <c r="G63" s="31"/>
      <c r="H63" s="32" t="s">
        <v>135</v>
      </c>
      <c r="I63" s="32"/>
      <c r="J63" s="54"/>
      <c r="K63" s="63">
        <f>K61-K62</f>
        <v>0</v>
      </c>
      <c r="L63" s="31"/>
      <c r="M63" s="31"/>
      <c r="N63" s="31"/>
      <c r="O63" s="31"/>
    </row>
    <row r="64" spans="1:15" ht="15.75" thickTop="1" x14ac:dyDescent="0.25">
      <c r="A64" s="2"/>
      <c r="B64" s="31"/>
      <c r="C64" s="70"/>
      <c r="D64" s="70"/>
      <c r="E64" s="31"/>
      <c r="F64" s="31"/>
      <c r="G64" s="31"/>
      <c r="H64" s="32"/>
      <c r="I64" s="32"/>
      <c r="J64" s="54"/>
      <c r="K64" s="54"/>
      <c r="L64" s="31" t="str">
        <f t="shared" ca="1" si="0"/>
        <v xml:space="preserve"> </v>
      </c>
      <c r="M64" s="31"/>
      <c r="N64" s="31"/>
      <c r="O64" s="31"/>
    </row>
    <row r="65" spans="1:15" ht="15" x14ac:dyDescent="0.25">
      <c r="A65" s="2"/>
      <c r="B65" s="31"/>
      <c r="C65" s="70"/>
      <c r="D65" s="70"/>
      <c r="E65" s="31"/>
      <c r="F65" s="31"/>
      <c r="G65" s="31"/>
      <c r="H65" s="34" t="s">
        <v>147</v>
      </c>
      <c r="I65" s="32"/>
      <c r="J65" s="54"/>
      <c r="K65" s="54"/>
      <c r="L65" s="31" t="str">
        <f t="shared" ca="1" si="0"/>
        <v xml:space="preserve"> </v>
      </c>
      <c r="M65" s="31"/>
      <c r="N65" s="31"/>
      <c r="O65" s="31"/>
    </row>
    <row r="66" spans="1:15" ht="15" x14ac:dyDescent="0.25">
      <c r="A66" s="2"/>
      <c r="B66" s="31"/>
      <c r="C66" s="70"/>
      <c r="D66" s="70"/>
      <c r="E66" s="31"/>
      <c r="F66" s="31"/>
      <c r="G66" s="31"/>
      <c r="H66" s="32" t="s">
        <v>143</v>
      </c>
      <c r="I66" s="32"/>
      <c r="J66" s="54"/>
      <c r="K66" s="74">
        <v>150</v>
      </c>
      <c r="L66" s="31" t="str">
        <f t="shared" ca="1" si="0"/>
        <v xml:space="preserve"> </v>
      </c>
      <c r="M66" s="31"/>
      <c r="N66" s="31"/>
      <c r="O66" s="31"/>
    </row>
    <row r="67" spans="1:15" ht="15" x14ac:dyDescent="0.25">
      <c r="A67" s="2"/>
      <c r="B67" s="31"/>
      <c r="C67" s="70"/>
      <c r="D67" s="70"/>
      <c r="E67" s="31"/>
      <c r="F67" s="31"/>
      <c r="G67" s="31"/>
      <c r="H67" s="32" t="s">
        <v>305</v>
      </c>
      <c r="I67" s="32"/>
      <c r="J67" s="54"/>
      <c r="K67" s="74">
        <v>1148</v>
      </c>
      <c r="L67" s="31" t="str">
        <f t="shared" ca="1" si="0"/>
        <v xml:space="preserve"> </v>
      </c>
      <c r="M67" s="31"/>
      <c r="N67" s="31"/>
      <c r="O67" s="31"/>
    </row>
    <row r="68" spans="1:15" ht="15" x14ac:dyDescent="0.25">
      <c r="A68" s="2"/>
      <c r="B68" s="31"/>
      <c r="C68" s="70"/>
      <c r="D68" s="70"/>
      <c r="E68" s="31"/>
      <c r="F68" s="31"/>
      <c r="G68" s="31"/>
      <c r="H68" s="32" t="s">
        <v>349</v>
      </c>
      <c r="I68" s="32"/>
      <c r="J68" s="54"/>
      <c r="K68" s="75"/>
      <c r="L68" s="31" t="str">
        <f ca="1">IFERROR(_xlfn.FORMULATEXT(K69)," ")</f>
        <v xml:space="preserve"> </v>
      </c>
      <c r="M68" s="31"/>
      <c r="N68" s="31"/>
      <c r="O68" s="31"/>
    </row>
    <row r="69" spans="1:15" ht="15" x14ac:dyDescent="0.25">
      <c r="A69" s="2"/>
      <c r="B69" s="31"/>
      <c r="C69" s="70"/>
      <c r="D69" s="70"/>
      <c r="E69" s="31"/>
      <c r="F69" s="31"/>
      <c r="G69" s="31"/>
      <c r="H69" s="32" t="s">
        <v>398</v>
      </c>
      <c r="I69" s="32"/>
      <c r="J69" s="54"/>
      <c r="K69" s="74"/>
      <c r="L69" s="31"/>
      <c r="M69" s="31"/>
      <c r="N69" s="31"/>
      <c r="O69" s="31"/>
    </row>
    <row r="70" spans="1:15" ht="15" x14ac:dyDescent="0.25">
      <c r="A70" s="2"/>
      <c r="B70" s="31"/>
      <c r="C70" s="70"/>
      <c r="D70" s="70"/>
      <c r="E70" s="31"/>
      <c r="F70" s="31"/>
      <c r="G70" s="31"/>
      <c r="H70" s="32"/>
      <c r="I70" s="32"/>
      <c r="J70" s="54"/>
      <c r="K70" s="57">
        <f>K66+K67+K69-K68</f>
        <v>1298</v>
      </c>
      <c r="L70" s="31" t="str">
        <f ca="1">IFERROR(_xlfn.FORMULATEXT(K71)," ")</f>
        <v xml:space="preserve"> </v>
      </c>
      <c r="M70" s="31"/>
      <c r="N70" s="31"/>
      <c r="O70" s="31"/>
    </row>
    <row r="71" spans="1:15" ht="15" x14ac:dyDescent="0.25">
      <c r="A71" s="2"/>
      <c r="B71" s="31"/>
      <c r="C71" s="76"/>
      <c r="D71" s="76"/>
      <c r="E71" s="31"/>
      <c r="F71" s="31"/>
      <c r="G71" s="31"/>
      <c r="H71" s="32" t="s">
        <v>233</v>
      </c>
      <c r="I71" s="32"/>
      <c r="J71" s="54"/>
      <c r="K71" s="74">
        <v>1250</v>
      </c>
      <c r="L71" s="31"/>
      <c r="M71" s="31"/>
      <c r="N71" s="31"/>
      <c r="O71" s="31"/>
    </row>
    <row r="72" spans="1:15" ht="15.75" thickBot="1" x14ac:dyDescent="0.3">
      <c r="A72" s="2"/>
      <c r="B72" s="31"/>
      <c r="C72" s="76"/>
      <c r="D72" s="76"/>
      <c r="E72" s="31"/>
      <c r="F72" s="31"/>
      <c r="G72" s="31"/>
      <c r="H72" s="32" t="s">
        <v>147</v>
      </c>
      <c r="I72" s="32"/>
      <c r="J72" s="54"/>
      <c r="K72" s="77">
        <f>-(K71-K70)</f>
        <v>48</v>
      </c>
      <c r="L72" s="31" t="str">
        <f ca="1">IFERROR(_xlfn.FORMULATEXT(#REF!)," ")</f>
        <v xml:space="preserve"> </v>
      </c>
      <c r="M72" s="31"/>
      <c r="N72" s="31"/>
      <c r="O72" s="31"/>
    </row>
    <row r="73" spans="1:15" ht="15.75" thickTop="1" x14ac:dyDescent="0.25">
      <c r="A73" s="2"/>
      <c r="B73" s="31"/>
      <c r="C73" s="76"/>
      <c r="D73" s="76"/>
      <c r="E73" s="31"/>
      <c r="F73" s="31"/>
      <c r="G73" s="31"/>
      <c r="H73" s="32"/>
      <c r="I73" s="32"/>
      <c r="J73" s="32"/>
      <c r="K73" s="78"/>
      <c r="L73" s="31" t="str">
        <f t="shared" ca="1" si="0"/>
        <v xml:space="preserve"> </v>
      </c>
      <c r="M73" s="31"/>
      <c r="N73" s="31"/>
      <c r="O73" s="31"/>
    </row>
    <row r="74" spans="1:15" ht="15" x14ac:dyDescent="0.25">
      <c r="A74" s="2"/>
      <c r="B74" s="31"/>
      <c r="C74" s="76"/>
      <c r="D74" s="76"/>
      <c r="E74" s="31"/>
      <c r="F74" s="31"/>
      <c r="G74" s="31"/>
      <c r="H74" s="34" t="s">
        <v>386</v>
      </c>
      <c r="I74" s="32"/>
      <c r="J74" s="32"/>
      <c r="K74" s="36"/>
      <c r="L74" s="31" t="str">
        <f t="shared" ca="1" si="0"/>
        <v xml:space="preserve"> </v>
      </c>
      <c r="M74" s="31"/>
      <c r="N74" s="31"/>
      <c r="O74" s="31"/>
    </row>
    <row r="75" spans="1:15" ht="15" x14ac:dyDescent="0.25">
      <c r="A75" s="2"/>
      <c r="B75" s="31"/>
      <c r="C75" s="76"/>
      <c r="D75" s="76"/>
      <c r="E75" s="31"/>
      <c r="F75" s="31"/>
      <c r="G75" s="31"/>
      <c r="H75" s="32"/>
      <c r="I75" s="32"/>
      <c r="J75" s="32"/>
      <c r="K75" s="54"/>
      <c r="L75" s="31" t="str">
        <f t="shared" ca="1" si="0"/>
        <v xml:space="preserve"> </v>
      </c>
      <c r="M75" s="31"/>
      <c r="N75" s="31"/>
      <c r="O75" s="31"/>
    </row>
    <row r="76" spans="1:15" ht="15" x14ac:dyDescent="0.25">
      <c r="A76" s="2"/>
      <c r="B76" s="31"/>
      <c r="C76" s="76"/>
      <c r="D76" s="76"/>
      <c r="E76" s="31"/>
      <c r="F76" s="31"/>
      <c r="G76" s="31"/>
      <c r="H76" s="32"/>
      <c r="I76" s="32"/>
      <c r="J76" s="32"/>
      <c r="K76" s="54"/>
      <c r="L76" s="31" t="str">
        <f t="shared" ca="1" si="0"/>
        <v xml:space="preserve"> </v>
      </c>
      <c r="M76" s="31"/>
      <c r="N76" s="31"/>
      <c r="O76" s="31"/>
    </row>
    <row r="77" spans="1:15" ht="15" x14ac:dyDescent="0.25">
      <c r="A77" s="2"/>
      <c r="B77" s="31"/>
      <c r="C77" s="76"/>
      <c r="D77" s="76"/>
      <c r="E77" s="31"/>
      <c r="F77" s="31"/>
      <c r="G77" s="31"/>
      <c r="H77" s="34" t="s">
        <v>399</v>
      </c>
      <c r="I77" s="64"/>
      <c r="J77" s="64"/>
      <c r="K77" s="65"/>
      <c r="L77" s="31" t="str">
        <f t="shared" ca="1" si="0"/>
        <v xml:space="preserve"> </v>
      </c>
      <c r="M77" s="31"/>
      <c r="N77" s="31"/>
      <c r="O77" s="31"/>
    </row>
    <row r="78" spans="1:15" ht="15" x14ac:dyDescent="0.25">
      <c r="A78" s="2"/>
      <c r="B78" s="31"/>
      <c r="C78" s="76"/>
      <c r="D78" s="76"/>
      <c r="E78" s="31"/>
      <c r="F78" s="31"/>
      <c r="G78" s="31"/>
      <c r="H78" s="32" t="s">
        <v>400</v>
      </c>
      <c r="I78" s="64"/>
      <c r="J78" s="64"/>
      <c r="K78" s="67">
        <f>200*2</f>
        <v>400</v>
      </c>
      <c r="L78" s="28" t="str">
        <f t="shared" ca="1" si="0"/>
        <v>=200*2</v>
      </c>
      <c r="M78" s="31"/>
      <c r="N78" s="31"/>
      <c r="O78" s="31"/>
    </row>
    <row r="79" spans="1:15" ht="15" x14ac:dyDescent="0.25">
      <c r="A79" s="2"/>
      <c r="B79" s="31"/>
      <c r="C79" s="76"/>
      <c r="D79" s="76"/>
      <c r="E79" s="31"/>
      <c r="F79" s="31"/>
      <c r="G79" s="31"/>
      <c r="H79" s="32" t="s">
        <v>401</v>
      </c>
      <c r="I79" s="64"/>
      <c r="J79" s="64"/>
      <c r="K79" s="67">
        <v>-50</v>
      </c>
      <c r="L79" s="28" t="str">
        <f t="shared" ca="1" si="0"/>
        <v xml:space="preserve"> </v>
      </c>
      <c r="M79" s="31"/>
      <c r="N79" s="31"/>
      <c r="O79" s="31"/>
    </row>
    <row r="80" spans="1:15" ht="15.75" thickBot="1" x14ac:dyDescent="0.3">
      <c r="A80" s="2"/>
      <c r="B80" s="31"/>
      <c r="C80" s="76"/>
      <c r="D80" s="76"/>
      <c r="E80" s="31"/>
      <c r="F80" s="31"/>
      <c r="G80" s="31"/>
      <c r="H80" s="32" t="s">
        <v>399</v>
      </c>
      <c r="I80" s="64"/>
      <c r="J80" s="64"/>
      <c r="K80" s="77">
        <f>SUM(K78:K79)</f>
        <v>350</v>
      </c>
      <c r="L80" s="28"/>
      <c r="M80" s="31"/>
      <c r="N80" s="31"/>
      <c r="O80" s="31"/>
    </row>
    <row r="81" spans="1:15" ht="15.75" thickTop="1" x14ac:dyDescent="0.25">
      <c r="A81" s="2"/>
      <c r="B81" s="31"/>
      <c r="C81" s="76"/>
      <c r="D81" s="76"/>
      <c r="E81" s="31"/>
      <c r="F81" s="31"/>
      <c r="G81" s="31"/>
      <c r="H81" s="64"/>
      <c r="I81" s="64"/>
      <c r="J81" s="64"/>
      <c r="K81" s="65"/>
      <c r="L81" s="28" t="str">
        <f ca="1">IFERROR(_xlfn.FORMULATEXT(#REF!)," ")</f>
        <v xml:space="preserve"> </v>
      </c>
      <c r="M81" s="31"/>
      <c r="N81" s="31"/>
      <c r="O81" s="31"/>
    </row>
    <row r="82" spans="1:15" ht="15" x14ac:dyDescent="0.25">
      <c r="A82" s="2"/>
      <c r="B82" s="31"/>
      <c r="C82" s="76"/>
      <c r="D82" s="76"/>
      <c r="E82" s="31"/>
      <c r="F82" s="31"/>
      <c r="G82" s="31"/>
      <c r="H82" s="34" t="s">
        <v>402</v>
      </c>
      <c r="I82" s="64"/>
      <c r="J82" s="64"/>
      <c r="K82" s="65"/>
      <c r="L82" s="31"/>
      <c r="M82" s="31"/>
      <c r="N82" s="31"/>
      <c r="O82" s="31"/>
    </row>
    <row r="83" spans="1:15" ht="15" x14ac:dyDescent="0.25">
      <c r="A83" s="2"/>
      <c r="B83" s="31"/>
      <c r="C83" s="76"/>
      <c r="D83" s="76"/>
      <c r="E83" s="31"/>
      <c r="F83" s="31"/>
      <c r="G83" s="31"/>
      <c r="H83" s="32" t="s">
        <v>230</v>
      </c>
      <c r="I83" s="64"/>
      <c r="J83" s="64"/>
      <c r="K83" s="67">
        <f>1600+100</f>
        <v>1700</v>
      </c>
      <c r="L83" s="31" t="str">
        <f ca="1">IFERROR(_xlfn.FORMULATEXT(K81)," ")</f>
        <v xml:space="preserve"> </v>
      </c>
      <c r="M83" s="31"/>
      <c r="N83" s="31"/>
      <c r="O83" s="31"/>
    </row>
    <row r="84" spans="1:15" ht="15" x14ac:dyDescent="0.25">
      <c r="A84" s="2"/>
      <c r="B84" s="31"/>
      <c r="C84" s="76"/>
      <c r="D84" s="76"/>
      <c r="E84" s="31"/>
      <c r="F84" s="31"/>
      <c r="G84" s="31"/>
      <c r="H84" s="32" t="s">
        <v>403</v>
      </c>
      <c r="I84" s="32"/>
      <c r="J84" s="32"/>
      <c r="K84" s="67">
        <v>0</v>
      </c>
      <c r="L84" s="31" t="str">
        <f ca="1">IFERROR(_xlfn.FORMULATEXT(K82)," ")</f>
        <v xml:space="preserve"> </v>
      </c>
      <c r="M84" s="31"/>
      <c r="N84" s="31"/>
      <c r="O84" s="31"/>
    </row>
    <row r="85" spans="1:15" ht="15" x14ac:dyDescent="0.25">
      <c r="A85" s="2"/>
      <c r="B85" s="31"/>
      <c r="C85" s="76"/>
      <c r="D85" s="76"/>
      <c r="E85" s="31"/>
      <c r="F85" s="31"/>
      <c r="G85" s="31"/>
      <c r="H85" s="32" t="s">
        <v>391</v>
      </c>
      <c r="I85" s="32"/>
      <c r="J85" s="32"/>
      <c r="K85" s="67">
        <v>250</v>
      </c>
      <c r="L85" s="31"/>
      <c r="M85" s="31"/>
      <c r="N85" s="31"/>
      <c r="O85" s="31"/>
    </row>
    <row r="86" spans="1:15" ht="15" x14ac:dyDescent="0.25">
      <c r="A86" s="2"/>
      <c r="B86" s="31"/>
      <c r="C86" s="76"/>
      <c r="D86" s="76"/>
      <c r="E86" s="31"/>
      <c r="F86" s="31"/>
      <c r="G86" s="31"/>
      <c r="H86" s="32" t="s">
        <v>353</v>
      </c>
      <c r="I86" s="64"/>
      <c r="J86" s="64"/>
      <c r="K86" s="67">
        <f>1950+200</f>
        <v>2150</v>
      </c>
      <c r="L86" s="31" t="str">
        <f ca="1">IFERROR(_xlfn.FORMULATEXT(K83)," ")</f>
        <v>=1600+100</v>
      </c>
      <c r="M86" s="31"/>
      <c r="N86" s="31"/>
      <c r="O86" s="31"/>
    </row>
    <row r="87" spans="1:15" ht="15.75" thickBot="1" x14ac:dyDescent="0.3">
      <c r="A87" s="2"/>
      <c r="B87" s="31"/>
      <c r="C87" s="76"/>
      <c r="D87" s="76"/>
      <c r="E87" s="31"/>
      <c r="F87" s="31"/>
      <c r="G87" s="31"/>
      <c r="H87" s="32" t="s">
        <v>404</v>
      </c>
      <c r="I87" s="64"/>
      <c r="J87" s="64"/>
      <c r="K87" s="63">
        <f>K86-K83+K84</f>
        <v>450</v>
      </c>
      <c r="L87" s="31" t="str">
        <f ca="1">IFERROR(_xlfn.FORMULATEXT(K86)," ")</f>
        <v>=1950+200</v>
      </c>
      <c r="M87" s="31"/>
      <c r="N87" s="31"/>
      <c r="O87" s="31"/>
    </row>
    <row r="88" spans="1:15" ht="15.75" thickTop="1" x14ac:dyDescent="0.25">
      <c r="A88" s="2"/>
      <c r="B88" s="31"/>
      <c r="C88" s="76"/>
      <c r="D88" s="76"/>
      <c r="E88" s="31"/>
      <c r="F88" s="31"/>
      <c r="G88" s="31"/>
      <c r="H88" s="64"/>
      <c r="I88" s="64"/>
      <c r="J88" s="64"/>
      <c r="K88" s="65"/>
      <c r="L88" s="31"/>
      <c r="M88" s="31"/>
      <c r="N88" s="31"/>
      <c r="O88" s="31"/>
    </row>
    <row r="89" spans="1:15" ht="15" x14ac:dyDescent="0.25">
      <c r="A89" s="2"/>
      <c r="B89" s="31"/>
      <c r="C89" s="76"/>
      <c r="D89" s="76"/>
      <c r="E89" s="31"/>
      <c r="F89" s="31"/>
      <c r="G89" s="31"/>
      <c r="H89" s="79" t="s">
        <v>354</v>
      </c>
      <c r="I89" s="64"/>
      <c r="J89" s="64"/>
      <c r="K89" s="65"/>
      <c r="L89" s="31" t="str">
        <f ca="1">IFERROR(_xlfn.FORMULATEXT(K88)," ")</f>
        <v xml:space="preserve"> </v>
      </c>
      <c r="M89" s="31"/>
      <c r="N89" s="31"/>
      <c r="O89" s="31"/>
    </row>
    <row r="90" spans="1:15" ht="15" x14ac:dyDescent="0.25">
      <c r="A90" s="2"/>
      <c r="B90" s="31"/>
      <c r="C90" s="76"/>
      <c r="D90" s="76"/>
      <c r="E90" s="31"/>
      <c r="F90" s="31"/>
      <c r="G90" s="31"/>
      <c r="H90" s="80" t="s">
        <v>405</v>
      </c>
      <c r="I90" s="64"/>
      <c r="J90" s="64"/>
      <c r="K90" s="75">
        <v>60</v>
      </c>
      <c r="L90" s="31" t="str">
        <f ca="1">IFERROR(_xlfn.FORMULATEXT(K89)," ")</f>
        <v xml:space="preserve"> </v>
      </c>
      <c r="M90" s="31"/>
      <c r="N90" s="31"/>
      <c r="O90" s="31"/>
    </row>
    <row r="91" spans="1:15" ht="15" x14ac:dyDescent="0.25">
      <c r="A91" s="2"/>
      <c r="B91" s="31"/>
      <c r="C91" s="76"/>
      <c r="D91" s="76"/>
      <c r="E91" s="31"/>
      <c r="F91" s="31"/>
      <c r="G91" s="31"/>
      <c r="H91" s="80" t="s">
        <v>406</v>
      </c>
      <c r="I91" s="64"/>
      <c r="J91" s="64"/>
      <c r="K91" s="75">
        <v>0</v>
      </c>
      <c r="L91" s="31" t="str">
        <f ca="1">IFERROR(_xlfn.FORMULATEXT(#REF!)," ")</f>
        <v xml:space="preserve"> </v>
      </c>
      <c r="M91" s="31"/>
      <c r="N91" s="31"/>
      <c r="O91" s="31"/>
    </row>
    <row r="92" spans="1:15" ht="15" x14ac:dyDescent="0.25">
      <c r="A92" s="2"/>
      <c r="B92" s="31"/>
      <c r="C92" s="76"/>
      <c r="D92" s="76"/>
      <c r="E92" s="31"/>
      <c r="F92" s="31"/>
      <c r="G92" s="31"/>
      <c r="H92" s="80"/>
      <c r="I92" s="64"/>
      <c r="J92" s="64"/>
      <c r="K92" s="81">
        <f>SUM(K90:K91)</f>
        <v>60</v>
      </c>
      <c r="L92" s="31" t="str">
        <f ca="1">IFERROR(_xlfn.FORMULATEXT(K90)," ")</f>
        <v xml:space="preserve"> </v>
      </c>
      <c r="M92" s="31"/>
      <c r="N92" s="31"/>
      <c r="O92" s="31"/>
    </row>
    <row r="93" spans="1:15" ht="15" x14ac:dyDescent="0.25">
      <c r="A93" s="2"/>
      <c r="B93" s="31"/>
      <c r="C93" s="76"/>
      <c r="D93" s="76"/>
      <c r="E93" s="31"/>
      <c r="F93" s="31"/>
      <c r="G93" s="31"/>
      <c r="H93" s="80" t="s">
        <v>297</v>
      </c>
      <c r="I93" s="64"/>
      <c r="J93" s="64"/>
      <c r="K93" s="75">
        <v>150</v>
      </c>
      <c r="L93" s="31"/>
      <c r="M93" s="31"/>
      <c r="N93" s="31"/>
      <c r="O93" s="31"/>
    </row>
    <row r="94" spans="1:15" ht="15.75" thickBot="1" x14ac:dyDescent="0.3">
      <c r="A94" s="2"/>
      <c r="B94" s="31"/>
      <c r="C94" s="76"/>
      <c r="D94" s="76"/>
      <c r="E94" s="31"/>
      <c r="F94" s="31"/>
      <c r="G94" s="31"/>
      <c r="H94" s="80" t="s">
        <v>354</v>
      </c>
      <c r="I94" s="64"/>
      <c r="J94" s="64"/>
      <c r="K94" s="82">
        <f>K93-K92</f>
        <v>90</v>
      </c>
      <c r="L94" s="31" t="str">
        <f ca="1">IFERROR(_xlfn.FORMULATEXT(K93)," ")</f>
        <v xml:space="preserve"> </v>
      </c>
      <c r="M94" s="31"/>
      <c r="N94" s="31"/>
      <c r="O94" s="31"/>
    </row>
    <row r="95" spans="1:15" ht="15.75" thickTop="1" x14ac:dyDescent="0.25">
      <c r="A95" s="2"/>
      <c r="B95" s="31"/>
      <c r="C95" s="76"/>
      <c r="D95" s="76"/>
      <c r="E95" s="31"/>
      <c r="F95" s="31"/>
      <c r="G95" s="31"/>
      <c r="H95" s="80"/>
      <c r="I95" s="64"/>
      <c r="J95" s="64"/>
      <c r="K95" s="83"/>
      <c r="L95" s="31"/>
      <c r="M95" s="28" t="s">
        <v>407</v>
      </c>
      <c r="N95" s="31"/>
      <c r="O95" s="31"/>
    </row>
    <row r="96" spans="1:15" ht="15" x14ac:dyDescent="0.25">
      <c r="A96" s="2"/>
      <c r="B96" s="31"/>
      <c r="C96" s="76"/>
      <c r="D96" s="76"/>
      <c r="E96" s="31"/>
      <c r="F96" s="31"/>
      <c r="G96" s="31"/>
      <c r="H96" s="79" t="s">
        <v>408</v>
      </c>
      <c r="I96" s="64"/>
      <c r="J96" s="64"/>
      <c r="K96" s="65"/>
      <c r="L96" s="31" t="str">
        <f ca="1">IFERROR(_xlfn.FORMULATEXT(K105)," ")</f>
        <v xml:space="preserve"> </v>
      </c>
      <c r="M96" s="31"/>
      <c r="N96" s="31"/>
      <c r="O96" s="31"/>
    </row>
    <row r="97" spans="1:15" ht="15" x14ac:dyDescent="0.25">
      <c r="A97" s="2"/>
      <c r="B97" s="31"/>
      <c r="C97" s="76"/>
      <c r="D97" s="76"/>
      <c r="E97" s="31"/>
      <c r="F97" s="31"/>
      <c r="G97" s="31"/>
      <c r="H97" s="80" t="s">
        <v>405</v>
      </c>
      <c r="I97" s="64"/>
      <c r="J97" s="64"/>
      <c r="K97" s="75">
        <v>60</v>
      </c>
      <c r="L97" s="31" t="str">
        <f ca="1">IFERROR(_xlfn.FORMULATEXT(K106)," ")</f>
        <v xml:space="preserve"> </v>
      </c>
      <c r="M97" s="31"/>
      <c r="N97" s="31"/>
      <c r="O97" s="31"/>
    </row>
    <row r="98" spans="1:15" ht="15" x14ac:dyDescent="0.25">
      <c r="A98" s="2"/>
      <c r="B98" s="31"/>
      <c r="C98" s="76"/>
      <c r="D98" s="76"/>
      <c r="E98" s="31"/>
      <c r="F98" s="31"/>
      <c r="G98" s="31"/>
      <c r="H98" s="80" t="s">
        <v>409</v>
      </c>
      <c r="I98" s="64"/>
      <c r="J98" s="64"/>
      <c r="K98" s="84">
        <v>0</v>
      </c>
      <c r="L98" s="31" t="str">
        <f ca="1">IFERROR(_xlfn.FORMULATEXT(K107)," ")</f>
        <v xml:space="preserve"> </v>
      </c>
      <c r="M98" s="31"/>
      <c r="N98" s="31"/>
      <c r="O98" s="31"/>
    </row>
    <row r="99" spans="1:15" ht="15" x14ac:dyDescent="0.25">
      <c r="A99" s="2"/>
      <c r="B99" s="31"/>
      <c r="C99" s="76"/>
      <c r="D99" s="76"/>
      <c r="E99" s="31"/>
      <c r="F99" s="31"/>
      <c r="G99" s="31"/>
      <c r="H99" s="80"/>
      <c r="I99" s="64"/>
      <c r="J99" s="64"/>
      <c r="K99" s="83">
        <f>SUM(K97:K98)</f>
        <v>60</v>
      </c>
      <c r="L99" s="31" t="str">
        <f ca="1">IFERROR(_xlfn.FORMULATEXT(K108)," ")</f>
        <v xml:space="preserve"> </v>
      </c>
      <c r="M99" s="28" t="s">
        <v>410</v>
      </c>
      <c r="N99" s="31"/>
      <c r="O99" s="31"/>
    </row>
    <row r="100" spans="1:15" ht="15" x14ac:dyDescent="0.25">
      <c r="A100" s="2"/>
      <c r="B100" s="31"/>
      <c r="C100" s="76"/>
      <c r="D100" s="76"/>
      <c r="E100" s="31"/>
      <c r="F100" s="31"/>
      <c r="G100" s="31"/>
      <c r="H100" s="80" t="s">
        <v>297</v>
      </c>
      <c r="I100" s="64"/>
      <c r="J100" s="64"/>
      <c r="K100" s="85">
        <v>150</v>
      </c>
      <c r="L100" s="31" t="str">
        <f ca="1">IFERROR(_xlfn.FORMULATEXT(K109)," ")</f>
        <v xml:space="preserve"> </v>
      </c>
      <c r="M100" s="28" t="s">
        <v>411</v>
      </c>
      <c r="N100" s="31"/>
      <c r="O100" s="31"/>
    </row>
    <row r="101" spans="1:15" ht="15" x14ac:dyDescent="0.25">
      <c r="A101" s="2"/>
      <c r="B101" s="31"/>
      <c r="C101" s="76"/>
      <c r="D101" s="76"/>
      <c r="E101" s="31"/>
      <c r="F101" s="31"/>
      <c r="G101" s="31"/>
      <c r="H101" s="80" t="s">
        <v>412</v>
      </c>
      <c r="I101" s="64"/>
      <c r="J101" s="64"/>
      <c r="K101" s="75">
        <f>+K99-K100</f>
        <v>-90</v>
      </c>
      <c r="L101" s="31"/>
      <c r="M101" s="31"/>
      <c r="N101" s="31"/>
      <c r="O101" s="31"/>
    </row>
    <row r="102" spans="1:15" ht="15" x14ac:dyDescent="0.25">
      <c r="A102" s="2"/>
      <c r="B102" s="31"/>
      <c r="C102" s="76"/>
      <c r="D102" s="76"/>
      <c r="E102" s="31"/>
      <c r="F102" s="31"/>
      <c r="G102" s="31"/>
      <c r="H102" s="80" t="s">
        <v>413</v>
      </c>
      <c r="I102" s="64"/>
      <c r="J102" s="64"/>
      <c r="K102" s="75">
        <v>0</v>
      </c>
      <c r="L102" s="31" t="str">
        <f ca="1">IFERROR(_xlfn.FORMULATEXT(K111)," ")</f>
        <v xml:space="preserve"> </v>
      </c>
      <c r="M102" s="31"/>
      <c r="N102" s="31"/>
      <c r="O102" s="31"/>
    </row>
    <row r="103" spans="1:15" ht="15.75" thickBot="1" x14ac:dyDescent="0.3">
      <c r="A103" s="2"/>
      <c r="B103" s="31"/>
      <c r="C103" s="76"/>
      <c r="D103" s="76"/>
      <c r="E103" s="31"/>
      <c r="F103" s="31"/>
      <c r="G103" s="31"/>
      <c r="H103" s="80" t="s">
        <v>408</v>
      </c>
      <c r="I103" s="64"/>
      <c r="J103" s="64"/>
      <c r="K103" s="82">
        <f>+K101+K102</f>
        <v>-90</v>
      </c>
      <c r="L103" s="31"/>
      <c r="M103" s="31"/>
      <c r="N103" s="31"/>
      <c r="O103" s="31"/>
    </row>
    <row r="104" spans="1:15" ht="15.75" thickTop="1" x14ac:dyDescent="0.25">
      <c r="A104" s="2"/>
      <c r="B104" s="31"/>
      <c r="C104" s="76"/>
      <c r="D104" s="76"/>
      <c r="E104" s="31"/>
      <c r="F104" s="31"/>
      <c r="G104" s="31"/>
      <c r="H104" s="64"/>
      <c r="I104" s="64"/>
      <c r="J104" s="64"/>
      <c r="K104" s="83"/>
      <c r="L104" s="31"/>
      <c r="M104" s="31"/>
      <c r="N104" s="31"/>
      <c r="O104" s="31"/>
    </row>
    <row r="105" spans="1:15" ht="15" x14ac:dyDescent="0.25">
      <c r="A105" s="2"/>
      <c r="B105" s="31"/>
      <c r="C105" s="76"/>
      <c r="D105" s="76"/>
      <c r="E105" s="31"/>
      <c r="F105" s="31"/>
      <c r="G105" s="31"/>
      <c r="H105" s="64"/>
      <c r="I105" s="64"/>
      <c r="J105" s="64"/>
      <c r="K105" s="65"/>
      <c r="L105" s="31"/>
      <c r="M105" s="31"/>
      <c r="N105" s="31"/>
      <c r="O105" s="31"/>
    </row>
    <row r="106" spans="1:15" ht="15" x14ac:dyDescent="0.25">
      <c r="A106" s="2"/>
      <c r="B106" s="31"/>
      <c r="C106" s="76"/>
      <c r="D106" s="76"/>
      <c r="E106" s="31"/>
      <c r="F106" s="31"/>
      <c r="G106" s="31"/>
      <c r="H106" s="64"/>
      <c r="I106" s="64"/>
      <c r="J106" s="64"/>
      <c r="K106" s="65"/>
      <c r="L106" s="31"/>
      <c r="M106" s="31"/>
      <c r="N106" s="31"/>
      <c r="O106" s="31"/>
    </row>
    <row r="107" spans="1:15" ht="15" x14ac:dyDescent="0.25">
      <c r="A107" s="2"/>
      <c r="B107" s="31"/>
      <c r="C107" s="76"/>
      <c r="D107" s="76"/>
      <c r="E107" s="31"/>
      <c r="F107" s="31"/>
      <c r="G107" s="31"/>
      <c r="H107" s="34" t="s">
        <v>414</v>
      </c>
      <c r="I107" s="64"/>
      <c r="J107" s="64"/>
      <c r="K107" s="65"/>
      <c r="L107" s="31"/>
      <c r="M107" s="31"/>
      <c r="N107" s="31"/>
      <c r="O107" s="31"/>
    </row>
    <row r="108" spans="1:15" ht="15" x14ac:dyDescent="0.25">
      <c r="A108" s="2"/>
      <c r="B108" s="31"/>
      <c r="C108" s="76"/>
      <c r="D108" s="76"/>
      <c r="E108" s="31"/>
      <c r="F108" s="31"/>
      <c r="G108" s="31"/>
      <c r="H108" s="64" t="s">
        <v>195</v>
      </c>
      <c r="I108" s="64"/>
      <c r="J108" s="64"/>
      <c r="K108" s="46"/>
      <c r="L108" s="31"/>
      <c r="M108" s="31"/>
      <c r="N108" s="31"/>
      <c r="O108" s="31"/>
    </row>
    <row r="109" spans="1:15" ht="15" x14ac:dyDescent="0.25">
      <c r="A109" s="2"/>
      <c r="B109" s="31"/>
      <c r="C109" s="76"/>
      <c r="D109" s="76"/>
      <c r="E109" s="31"/>
      <c r="F109" s="31"/>
      <c r="G109" s="31"/>
      <c r="H109" s="64" t="s">
        <v>415</v>
      </c>
      <c r="I109" s="64"/>
      <c r="J109" s="64"/>
      <c r="K109" s="67"/>
      <c r="L109" s="31"/>
      <c r="M109" s="31"/>
      <c r="N109" s="31"/>
      <c r="O109" s="31"/>
    </row>
    <row r="110" spans="1:15" ht="15" x14ac:dyDescent="0.25">
      <c r="A110" s="2"/>
      <c r="B110" s="31"/>
      <c r="C110" s="76"/>
      <c r="D110" s="76"/>
      <c r="E110" s="31"/>
      <c r="F110" s="31"/>
      <c r="G110" s="31"/>
      <c r="H110" s="64"/>
      <c r="I110" s="64"/>
      <c r="J110" s="64"/>
      <c r="K110" s="86">
        <f>SUM(K108:K109)</f>
        <v>0</v>
      </c>
      <c r="L110" s="31"/>
      <c r="M110" s="31"/>
      <c r="N110" s="31"/>
      <c r="O110" s="31"/>
    </row>
    <row r="111" spans="1:15" ht="15" x14ac:dyDescent="0.25">
      <c r="A111" s="2"/>
      <c r="B111" s="31"/>
      <c r="C111" s="76"/>
      <c r="D111" s="76"/>
      <c r="E111" s="31"/>
      <c r="F111" s="31"/>
      <c r="G111" s="31"/>
      <c r="H111" s="64" t="s">
        <v>304</v>
      </c>
      <c r="I111" s="64"/>
      <c r="J111" s="64"/>
      <c r="K111" s="46"/>
      <c r="L111" s="31"/>
      <c r="M111" s="31"/>
      <c r="N111" s="31"/>
      <c r="O111" s="31"/>
    </row>
    <row r="112" spans="1:15" ht="15.75" thickBot="1" x14ac:dyDescent="0.3">
      <c r="A112" s="2"/>
      <c r="B112" s="31"/>
      <c r="C112" s="76"/>
      <c r="D112" s="76"/>
      <c r="E112" s="31"/>
      <c r="F112" s="31"/>
      <c r="G112" s="31"/>
      <c r="H112" s="64" t="s">
        <v>414</v>
      </c>
      <c r="I112" s="64"/>
      <c r="J112" s="64"/>
      <c r="K112" s="87">
        <f>K110-K111</f>
        <v>0</v>
      </c>
      <c r="L112" s="31"/>
      <c r="M112" s="31"/>
      <c r="N112" s="31"/>
      <c r="O112" s="31"/>
    </row>
    <row r="113" spans="1:15" ht="15.75" thickTop="1" x14ac:dyDescent="0.25">
      <c r="A113" s="2"/>
      <c r="B113" s="31"/>
      <c r="C113" s="76"/>
      <c r="D113" s="76"/>
      <c r="E113" s="31"/>
      <c r="F113" s="31"/>
      <c r="G113" s="31"/>
      <c r="H113" s="64"/>
      <c r="I113" s="64"/>
      <c r="J113" s="64"/>
      <c r="K113" s="65"/>
      <c r="L113" s="31"/>
      <c r="M113" s="31"/>
      <c r="N113" s="31"/>
      <c r="O113" s="31"/>
    </row>
    <row r="114" spans="1:15" ht="15" x14ac:dyDescent="0.25">
      <c r="A114" s="2"/>
      <c r="B114" s="31"/>
      <c r="C114" s="76"/>
      <c r="D114" s="76"/>
      <c r="E114" s="31"/>
      <c r="F114" s="31"/>
      <c r="G114" s="31"/>
      <c r="H114" s="64"/>
      <c r="I114" s="64"/>
      <c r="J114" s="64"/>
      <c r="K114" s="65"/>
      <c r="L114" s="31"/>
      <c r="M114" s="31"/>
      <c r="N114" s="31"/>
      <c r="O114" s="31"/>
    </row>
    <row r="115" spans="1:15" ht="15" x14ac:dyDescent="0.25">
      <c r="A115" s="2"/>
      <c r="B115" s="31"/>
      <c r="C115" s="76"/>
      <c r="D115" s="76"/>
      <c r="E115" s="31"/>
      <c r="F115" s="31"/>
      <c r="G115" s="31"/>
      <c r="H115" s="34" t="s">
        <v>416</v>
      </c>
      <c r="I115" s="64"/>
      <c r="J115" s="64"/>
      <c r="K115" s="65"/>
      <c r="L115" s="31"/>
      <c r="M115" s="31"/>
      <c r="N115" s="31"/>
      <c r="O115" s="31"/>
    </row>
    <row r="116" spans="1:15" ht="15" x14ac:dyDescent="0.25">
      <c r="A116" s="2"/>
      <c r="B116" s="31"/>
      <c r="C116" s="76"/>
      <c r="D116" s="76"/>
      <c r="E116" s="31"/>
      <c r="F116" s="31"/>
      <c r="G116" s="31"/>
      <c r="H116" s="64" t="s">
        <v>417</v>
      </c>
      <c r="I116" s="64"/>
      <c r="J116" s="64"/>
      <c r="K116" s="67">
        <v>0</v>
      </c>
      <c r="L116" s="31"/>
      <c r="M116" s="31"/>
      <c r="N116" s="31"/>
      <c r="O116" s="31"/>
    </row>
    <row r="117" spans="1:15" ht="15" x14ac:dyDescent="0.25">
      <c r="A117" s="2"/>
      <c r="B117" s="31"/>
      <c r="C117" s="76"/>
      <c r="D117" s="76"/>
      <c r="E117" s="31"/>
      <c r="F117" s="31"/>
      <c r="G117" s="31"/>
      <c r="H117" s="64" t="s">
        <v>418</v>
      </c>
      <c r="I117" s="64"/>
      <c r="J117" s="64"/>
      <c r="K117" s="67">
        <v>55</v>
      </c>
      <c r="L117" s="31"/>
      <c r="M117" s="31"/>
      <c r="N117" s="31"/>
      <c r="O117" s="31"/>
    </row>
    <row r="118" spans="1:15" ht="15" x14ac:dyDescent="0.25">
      <c r="A118" s="2"/>
      <c r="B118" s="31"/>
      <c r="C118" s="76"/>
      <c r="D118" s="76"/>
      <c r="E118" s="31"/>
      <c r="F118" s="31"/>
      <c r="G118" s="31"/>
      <c r="H118" s="64"/>
      <c r="I118" s="64"/>
      <c r="J118" s="64"/>
      <c r="K118" s="86">
        <f>K116+K117</f>
        <v>55</v>
      </c>
      <c r="L118" s="31"/>
      <c r="M118" s="31"/>
      <c r="N118" s="31"/>
      <c r="O118" s="31"/>
    </row>
    <row r="119" spans="1:15" ht="15" x14ac:dyDescent="0.25">
      <c r="A119" s="2"/>
      <c r="B119" s="31"/>
      <c r="C119" s="76"/>
      <c r="D119" s="76"/>
      <c r="E119" s="31"/>
      <c r="F119" s="31"/>
      <c r="G119" s="31"/>
      <c r="H119" s="64" t="s">
        <v>419</v>
      </c>
      <c r="I119" s="64"/>
      <c r="J119" s="64"/>
      <c r="K119" s="67">
        <v>55</v>
      </c>
      <c r="L119" s="31"/>
      <c r="M119" s="31"/>
      <c r="N119" s="31"/>
      <c r="O119" s="31"/>
    </row>
    <row r="120" spans="1:15" ht="15.75" thickBot="1" x14ac:dyDescent="0.3">
      <c r="A120" s="2"/>
      <c r="B120" s="31"/>
      <c r="C120" s="76"/>
      <c r="D120" s="76"/>
      <c r="E120" s="31"/>
      <c r="F120" s="31"/>
      <c r="G120" s="31"/>
      <c r="H120" s="64" t="s">
        <v>393</v>
      </c>
      <c r="I120" s="64"/>
      <c r="J120" s="64"/>
      <c r="K120" s="87">
        <f>K118-K119</f>
        <v>0</v>
      </c>
      <c r="L120" s="31"/>
      <c r="M120" s="31"/>
      <c r="N120" s="31"/>
      <c r="O120" s="31"/>
    </row>
    <row r="121" spans="1:15" ht="15.75" thickTop="1" x14ac:dyDescent="0.25">
      <c r="A121" s="2"/>
      <c r="B121" s="31"/>
      <c r="C121" s="76"/>
      <c r="D121" s="76"/>
      <c r="E121" s="31"/>
      <c r="F121" s="31"/>
      <c r="G121" s="31"/>
      <c r="H121" s="64"/>
      <c r="I121" s="64"/>
      <c r="J121" s="64"/>
      <c r="K121" s="65"/>
      <c r="L121" s="31"/>
      <c r="M121" s="31"/>
      <c r="N121" s="31"/>
      <c r="O121" s="31"/>
    </row>
    <row r="122" spans="1:15" ht="15" x14ac:dyDescent="0.25">
      <c r="A122" s="2"/>
      <c r="B122" s="31"/>
      <c r="C122" s="76"/>
      <c r="D122" s="76"/>
      <c r="E122" s="31"/>
      <c r="F122" s="31"/>
      <c r="G122" s="31"/>
      <c r="H122" s="34" t="s">
        <v>420</v>
      </c>
      <c r="I122" s="32"/>
      <c r="J122" s="32"/>
      <c r="K122" s="54"/>
      <c r="L122" s="31"/>
      <c r="M122" s="31"/>
      <c r="N122" s="31"/>
      <c r="O122" s="31"/>
    </row>
    <row r="123" spans="1:15" ht="15" x14ac:dyDescent="0.25">
      <c r="A123" s="2"/>
      <c r="B123" s="31"/>
      <c r="C123" s="76"/>
      <c r="D123" s="76"/>
      <c r="E123" s="31"/>
      <c r="F123" s="31"/>
      <c r="G123" s="31"/>
      <c r="H123" s="32" t="s">
        <v>151</v>
      </c>
      <c r="I123" s="32"/>
      <c r="J123" s="32"/>
      <c r="K123" s="46"/>
      <c r="L123" s="31"/>
      <c r="M123" s="31"/>
      <c r="N123" s="31"/>
      <c r="O123" s="31"/>
    </row>
    <row r="124" spans="1:15" ht="15" x14ac:dyDescent="0.25">
      <c r="A124" s="2"/>
      <c r="B124" s="31"/>
      <c r="C124" s="76"/>
      <c r="D124" s="76"/>
      <c r="E124" s="31"/>
      <c r="F124" s="31"/>
      <c r="G124" s="31"/>
      <c r="H124" s="32" t="s">
        <v>296</v>
      </c>
      <c r="I124" s="32"/>
      <c r="J124" s="32"/>
      <c r="K124" s="46"/>
      <c r="L124" s="31"/>
      <c r="M124" s="31"/>
      <c r="N124" s="31"/>
      <c r="O124" s="31"/>
    </row>
    <row r="125" spans="1:15" ht="15" x14ac:dyDescent="0.25">
      <c r="A125" s="2"/>
      <c r="B125" s="31"/>
      <c r="C125" s="76"/>
      <c r="D125" s="76"/>
      <c r="E125" s="31"/>
      <c r="F125" s="31"/>
      <c r="G125" s="31"/>
      <c r="H125" s="32" t="s">
        <v>421</v>
      </c>
      <c r="I125" s="32"/>
      <c r="J125" s="32"/>
      <c r="K125" s="46"/>
      <c r="L125" s="31"/>
      <c r="M125" s="31"/>
      <c r="N125" s="31"/>
      <c r="O125" s="31"/>
    </row>
    <row r="126" spans="1:15" ht="15" x14ac:dyDescent="0.25">
      <c r="A126" s="2"/>
      <c r="B126" s="31"/>
      <c r="C126" s="76"/>
      <c r="D126" s="76"/>
      <c r="E126" s="31"/>
      <c r="F126" s="31"/>
      <c r="G126" s="31"/>
      <c r="H126" s="32" t="s">
        <v>390</v>
      </c>
      <c r="I126" s="32"/>
      <c r="J126" s="32"/>
      <c r="K126" s="46"/>
      <c r="L126" s="31"/>
      <c r="M126" s="31"/>
      <c r="N126" s="31"/>
      <c r="O126" s="31"/>
    </row>
    <row r="127" spans="1:15" ht="15" x14ac:dyDescent="0.25">
      <c r="A127" s="2"/>
      <c r="B127" s="31"/>
      <c r="C127" s="76"/>
      <c r="D127" s="76"/>
      <c r="E127" s="31"/>
      <c r="F127" s="31"/>
      <c r="G127" s="31"/>
      <c r="H127" s="32"/>
      <c r="I127" s="32"/>
      <c r="J127" s="32"/>
      <c r="K127" s="57">
        <f>K123-K125+K124-K126</f>
        <v>0</v>
      </c>
      <c r="L127" s="31"/>
      <c r="M127" s="31"/>
      <c r="N127" s="31"/>
      <c r="O127" s="31"/>
    </row>
    <row r="128" spans="1:15" ht="15" x14ac:dyDescent="0.25">
      <c r="A128" s="2"/>
      <c r="B128" s="31"/>
      <c r="C128" s="76"/>
      <c r="D128" s="76"/>
      <c r="E128" s="31"/>
      <c r="F128" s="31"/>
      <c r="G128" s="31"/>
      <c r="H128" s="32" t="s">
        <v>156</v>
      </c>
      <c r="I128" s="32"/>
      <c r="J128" s="32"/>
      <c r="K128" s="46">
        <v>0</v>
      </c>
      <c r="L128" s="31"/>
      <c r="M128" s="31"/>
      <c r="N128" s="31"/>
      <c r="O128" s="31"/>
    </row>
    <row r="129" spans="1:15" ht="15.75" thickBot="1" x14ac:dyDescent="0.3">
      <c r="A129" s="2"/>
      <c r="B129" s="31"/>
      <c r="C129" s="76"/>
      <c r="D129" s="76"/>
      <c r="E129" s="31"/>
      <c r="F129" s="31"/>
      <c r="G129" s="31"/>
      <c r="H129" s="32" t="s">
        <v>221</v>
      </c>
      <c r="I129" s="32"/>
      <c r="J129" s="32"/>
      <c r="K129" s="63">
        <f>K128-K127</f>
        <v>0</v>
      </c>
      <c r="L129" s="31"/>
      <c r="M129" s="31"/>
      <c r="N129" s="31"/>
      <c r="O129" s="31"/>
    </row>
    <row r="130" spans="1:15" ht="15.75" thickTop="1" x14ac:dyDescent="0.25">
      <c r="A130" s="2"/>
    </row>
    <row r="131" spans="1:15" ht="15" x14ac:dyDescent="0.25">
      <c r="A131" s="2"/>
    </row>
    <row r="132" spans="1:15" ht="15" x14ac:dyDescent="0.25">
      <c r="A132" s="2"/>
    </row>
    <row r="133" spans="1:15" ht="15" x14ac:dyDescent="0.25">
      <c r="A133" s="2"/>
    </row>
    <row r="134" spans="1:15" ht="15" x14ac:dyDescent="0.25">
      <c r="A134" s="2"/>
    </row>
    <row r="135" spans="1:15" ht="15" x14ac:dyDescent="0.25">
      <c r="A135" s="2"/>
    </row>
    <row r="136" spans="1:15" ht="15" x14ac:dyDescent="0.25">
      <c r="A136" s="2"/>
    </row>
    <row r="137" spans="1:15" ht="15" x14ac:dyDescent="0.25">
      <c r="A137" s="2"/>
    </row>
    <row r="138" spans="1:15" ht="15" x14ac:dyDescent="0.25">
      <c r="A138" s="2"/>
    </row>
    <row r="139" spans="1:15" ht="15" x14ac:dyDescent="0.25">
      <c r="A139" s="2"/>
    </row>
    <row r="140" spans="1:15" ht="15" x14ac:dyDescent="0.25">
      <c r="A140" s="2"/>
    </row>
    <row r="141" spans="1:15" ht="15" x14ac:dyDescent="0.25">
      <c r="A141" s="2"/>
    </row>
    <row r="142" spans="1:15" ht="15" x14ac:dyDescent="0.25">
      <c r="A142" s="2"/>
    </row>
    <row r="143" spans="1:15" ht="15" x14ac:dyDescent="0.25">
      <c r="A143" s="2"/>
    </row>
    <row r="144" spans="1:15" ht="15" x14ac:dyDescent="0.25">
      <c r="A144" s="2"/>
    </row>
    <row r="145" spans="1:1" ht="15" x14ac:dyDescent="0.25">
      <c r="A145" s="2"/>
    </row>
    <row r="146" spans="1:1" ht="15" x14ac:dyDescent="0.25">
      <c r="A146" s="2"/>
    </row>
    <row r="147" spans="1:1" ht="15" x14ac:dyDescent="0.25">
      <c r="A147" s="2"/>
    </row>
    <row r="148" spans="1:1" ht="15" x14ac:dyDescent="0.25">
      <c r="A148" s="2"/>
    </row>
    <row r="149" spans="1:1" ht="15" x14ac:dyDescent="0.25">
      <c r="A149" s="2"/>
    </row>
    <row r="150" spans="1:1" ht="15" x14ac:dyDescent="0.25">
      <c r="A150" s="2"/>
    </row>
    <row r="151" spans="1:1" ht="15" x14ac:dyDescent="0.25">
      <c r="A151" s="2"/>
    </row>
    <row r="152" spans="1:1" ht="15" x14ac:dyDescent="0.25">
      <c r="A152" s="2"/>
    </row>
    <row r="153" spans="1:1" ht="15" x14ac:dyDescent="0.25">
      <c r="A153" s="2"/>
    </row>
    <row r="154" spans="1:1" ht="15" x14ac:dyDescent="0.25">
      <c r="A154" s="2"/>
    </row>
    <row r="155" spans="1:1" ht="15" x14ac:dyDescent="0.25">
      <c r="A155" s="2"/>
    </row>
    <row r="156" spans="1:1" ht="15" x14ac:dyDescent="0.25">
      <c r="A156" s="2"/>
    </row>
    <row r="157" spans="1:1" ht="15" x14ac:dyDescent="0.25">
      <c r="A157" s="2"/>
    </row>
    <row r="158" spans="1:1" ht="15" x14ac:dyDescent="0.25">
      <c r="A158" s="2"/>
    </row>
    <row r="159" spans="1:1" ht="15" x14ac:dyDescent="0.25">
      <c r="A159" s="2"/>
    </row>
    <row r="160" spans="1:1" ht="15" x14ac:dyDescent="0.25">
      <c r="A160" s="2"/>
    </row>
    <row r="161" spans="1:1" ht="15" x14ac:dyDescent="0.25">
      <c r="A161" s="2"/>
    </row>
    <row r="162" spans="1:1" ht="15" x14ac:dyDescent="0.25">
      <c r="A162" s="2"/>
    </row>
    <row r="163" spans="1:1" ht="15" x14ac:dyDescent="0.25">
      <c r="A163" s="2"/>
    </row>
    <row r="164" spans="1:1" ht="15" x14ac:dyDescent="0.25">
      <c r="A164" s="2"/>
    </row>
    <row r="165" spans="1:1" ht="15" x14ac:dyDescent="0.25">
      <c r="A165" s="2"/>
    </row>
    <row r="166" spans="1:1" ht="15" x14ac:dyDescent="0.25">
      <c r="A166" s="2"/>
    </row>
    <row r="167" spans="1:1" ht="15" x14ac:dyDescent="0.25">
      <c r="A167" s="2"/>
    </row>
    <row r="168" spans="1:1" ht="15" x14ac:dyDescent="0.25">
      <c r="A168" s="2"/>
    </row>
    <row r="169" spans="1:1" ht="15" x14ac:dyDescent="0.25">
      <c r="A169" s="2"/>
    </row>
    <row r="170" spans="1:1" ht="15" x14ac:dyDescent="0.25">
      <c r="A170" s="2"/>
    </row>
    <row r="171" spans="1:1" ht="15" x14ac:dyDescent="0.25">
      <c r="A171" s="2"/>
    </row>
    <row r="172" spans="1:1" ht="15" x14ac:dyDescent="0.25">
      <c r="A172" s="2"/>
    </row>
    <row r="173" spans="1:1" ht="15" x14ac:dyDescent="0.25">
      <c r="A173" s="2"/>
    </row>
    <row r="174" spans="1:1" ht="15" x14ac:dyDescent="0.25">
      <c r="A174" s="2"/>
    </row>
    <row r="175" spans="1:1" ht="15" x14ac:dyDescent="0.25">
      <c r="A175" s="2"/>
    </row>
    <row r="176" spans="1:1" ht="15" x14ac:dyDescent="0.25">
      <c r="A176" s="2"/>
    </row>
    <row r="177" spans="1:1" ht="15" x14ac:dyDescent="0.25">
      <c r="A177" s="2"/>
    </row>
    <row r="178" spans="1:1" ht="15" x14ac:dyDescent="0.25">
      <c r="A178" s="2"/>
    </row>
    <row r="179" spans="1:1" ht="15" x14ac:dyDescent="0.25">
      <c r="A179" s="2"/>
    </row>
    <row r="180" spans="1:1" ht="15" x14ac:dyDescent="0.25">
      <c r="A180" s="2"/>
    </row>
    <row r="181" spans="1:1" ht="15" x14ac:dyDescent="0.25">
      <c r="A181" s="2"/>
    </row>
    <row r="182" spans="1:1" ht="15" x14ac:dyDescent="0.25">
      <c r="A182" s="2"/>
    </row>
    <row r="183" spans="1:1" ht="15" x14ac:dyDescent="0.25">
      <c r="A183" s="2"/>
    </row>
    <row r="184" spans="1:1" ht="15" x14ac:dyDescent="0.25">
      <c r="A184" s="2"/>
    </row>
    <row r="185" spans="1:1" ht="15" x14ac:dyDescent="0.25">
      <c r="A185" s="2"/>
    </row>
    <row r="186" spans="1:1" ht="15" x14ac:dyDescent="0.25">
      <c r="A186" s="2"/>
    </row>
    <row r="187" spans="1:1" ht="15" x14ac:dyDescent="0.25">
      <c r="A187" s="2"/>
    </row>
    <row r="188" spans="1:1" ht="15" x14ac:dyDescent="0.25">
      <c r="A188" s="2"/>
    </row>
    <row r="189" spans="1:1" ht="15" x14ac:dyDescent="0.25">
      <c r="A189" s="2"/>
    </row>
    <row r="190" spans="1:1" ht="15" x14ac:dyDescent="0.25">
      <c r="A190" s="2"/>
    </row>
    <row r="191" spans="1:1" ht="15" x14ac:dyDescent="0.25">
      <c r="A191" s="2"/>
    </row>
    <row r="192" spans="1:1" ht="15" x14ac:dyDescent="0.25">
      <c r="A192" s="2"/>
    </row>
    <row r="193" spans="1:1" ht="15" x14ac:dyDescent="0.25">
      <c r="A193" s="2"/>
    </row>
    <row r="194" spans="1:1" ht="15" x14ac:dyDescent="0.25">
      <c r="A194" s="2"/>
    </row>
    <row r="195" spans="1:1" ht="15" x14ac:dyDescent="0.25">
      <c r="A195" s="2"/>
    </row>
    <row r="196" spans="1:1" ht="15" x14ac:dyDescent="0.25">
      <c r="A196" s="2"/>
    </row>
    <row r="197" spans="1:1" ht="15" x14ac:dyDescent="0.25">
      <c r="A197" s="2"/>
    </row>
    <row r="198" spans="1:1" ht="15" x14ac:dyDescent="0.25">
      <c r="A198" s="2"/>
    </row>
    <row r="199" spans="1:1" ht="15" x14ac:dyDescent="0.25">
      <c r="A199" s="2"/>
    </row>
    <row r="200" spans="1:1" ht="15" x14ac:dyDescent="0.25">
      <c r="A200" s="2"/>
    </row>
    <row r="201" spans="1:1" ht="15" x14ac:dyDescent="0.25">
      <c r="A201" s="2"/>
    </row>
    <row r="202" spans="1:1" ht="15" x14ac:dyDescent="0.25">
      <c r="A202" s="2"/>
    </row>
    <row r="203" spans="1:1" ht="15" x14ac:dyDescent="0.25">
      <c r="A203" s="2"/>
    </row>
    <row r="204" spans="1:1" ht="15" x14ac:dyDescent="0.25">
      <c r="A204" s="2"/>
    </row>
    <row r="205" spans="1:1" ht="15" x14ac:dyDescent="0.25">
      <c r="A205" s="2"/>
    </row>
    <row r="206" spans="1:1" ht="15" x14ac:dyDescent="0.25">
      <c r="A206" s="2"/>
    </row>
    <row r="207" spans="1:1" ht="15" x14ac:dyDescent="0.25">
      <c r="A207" s="2"/>
    </row>
    <row r="208" spans="1:1" ht="15" x14ac:dyDescent="0.25">
      <c r="A208" s="2"/>
    </row>
    <row r="209" spans="1:2" ht="15" x14ac:dyDescent="0.25">
      <c r="A209" s="2"/>
    </row>
    <row r="210" spans="1:2" ht="15" x14ac:dyDescent="0.25">
      <c r="A210" s="2"/>
    </row>
    <row r="211" spans="1:2" ht="15" x14ac:dyDescent="0.25">
      <c r="A211" s="2"/>
    </row>
    <row r="212" spans="1:2" ht="15" x14ac:dyDescent="0.25">
      <c r="A212" s="2"/>
    </row>
    <row r="213" spans="1:2" ht="15" x14ac:dyDescent="0.25">
      <c r="A213" s="2"/>
    </row>
    <row r="214" spans="1:2" ht="15" x14ac:dyDescent="0.25">
      <c r="A214" s="2"/>
    </row>
    <row r="215" spans="1:2" ht="15" x14ac:dyDescent="0.25">
      <c r="A215" s="2"/>
    </row>
    <row r="216" spans="1:2" ht="15" x14ac:dyDescent="0.25">
      <c r="A216" s="2"/>
    </row>
    <row r="217" spans="1:2" ht="15" x14ac:dyDescent="0.25">
      <c r="A217" s="2"/>
    </row>
    <row r="218" spans="1:2" ht="15" x14ac:dyDescent="0.25">
      <c r="A218" s="2"/>
    </row>
    <row r="219" spans="1:2" ht="15" x14ac:dyDescent="0.25">
      <c r="A219" s="2"/>
    </row>
    <row r="220" spans="1:2" ht="15" x14ac:dyDescent="0.25">
      <c r="A220" s="2"/>
    </row>
    <row r="221" spans="1:2" ht="15" x14ac:dyDescent="0.25">
      <c r="A221" s="2"/>
    </row>
    <row r="222" spans="1:2" ht="15" x14ac:dyDescent="0.25">
      <c r="A222" s="2"/>
    </row>
    <row r="223" spans="1:2" x14ac:dyDescent="0.2">
      <c r="B223" s="1" t="s">
        <v>356</v>
      </c>
    </row>
    <row r="235" spans="2:4" x14ac:dyDescent="0.2">
      <c r="B235" s="1" t="s">
        <v>287</v>
      </c>
      <c r="C235" s="6">
        <v>5000</v>
      </c>
      <c r="D235" s="6">
        <v>3000</v>
      </c>
    </row>
    <row r="236" spans="2:4" x14ac:dyDescent="0.2">
      <c r="C236" s="6">
        <f>SUM(C235)</f>
        <v>5000</v>
      </c>
      <c r="D236" s="6">
        <f>SUM(D235)</f>
        <v>3000</v>
      </c>
    </row>
    <row r="237" spans="2:4" x14ac:dyDescent="0.2">
      <c r="C237" s="6"/>
      <c r="D237" s="6"/>
    </row>
    <row r="238" spans="2:4" x14ac:dyDescent="0.2">
      <c r="B238" s="1" t="s">
        <v>95</v>
      </c>
      <c r="C238" s="6">
        <v>1000</v>
      </c>
      <c r="D238" s="6">
        <v>900</v>
      </c>
    </row>
    <row r="239" spans="2:4" x14ac:dyDescent="0.2">
      <c r="B239" s="1" t="s">
        <v>94</v>
      </c>
      <c r="C239" s="6">
        <v>550</v>
      </c>
      <c r="D239" s="6">
        <v>540</v>
      </c>
    </row>
    <row r="240" spans="2:4" x14ac:dyDescent="0.2">
      <c r="B240" s="1" t="s">
        <v>286</v>
      </c>
      <c r="C240" s="6">
        <v>150</v>
      </c>
      <c r="D240" s="6">
        <v>60</v>
      </c>
    </row>
    <row r="241" spans="2:5" x14ac:dyDescent="0.2">
      <c r="B241" s="1" t="s">
        <v>93</v>
      </c>
      <c r="C241" s="6">
        <v>950</v>
      </c>
      <c r="D241" s="6">
        <v>500</v>
      </c>
    </row>
    <row r="242" spans="2:5" x14ac:dyDescent="0.2">
      <c r="C242" s="6">
        <f>SUM(C238:C241)</f>
        <v>2650</v>
      </c>
      <c r="D242" s="6">
        <f>SUM(D238:D241)</f>
        <v>2000</v>
      </c>
    </row>
    <row r="243" spans="2:5" x14ac:dyDescent="0.2">
      <c r="B243" s="1" t="s">
        <v>285</v>
      </c>
      <c r="C243" s="6">
        <f>+C242+C236</f>
        <v>7650</v>
      </c>
      <c r="D243" s="6">
        <f>+D242+D236</f>
        <v>5000</v>
      </c>
    </row>
    <row r="244" spans="2:5" x14ac:dyDescent="0.2">
      <c r="C244" s="6"/>
      <c r="D244" s="6"/>
    </row>
    <row r="245" spans="2:5" x14ac:dyDescent="0.2">
      <c r="B245" s="1" t="s">
        <v>284</v>
      </c>
      <c r="C245" s="6">
        <v>1200</v>
      </c>
      <c r="D245" s="6">
        <v>1000</v>
      </c>
    </row>
    <row r="246" spans="2:5" x14ac:dyDescent="0.2">
      <c r="B246" s="1" t="s">
        <v>128</v>
      </c>
      <c r="C246" s="6">
        <v>400</v>
      </c>
      <c r="D246" s="6">
        <v>250</v>
      </c>
    </row>
    <row r="247" spans="2:5" x14ac:dyDescent="0.2">
      <c r="B247" s="1" t="s">
        <v>281</v>
      </c>
      <c r="C247" s="6">
        <v>120</v>
      </c>
      <c r="D247" s="6">
        <v>0</v>
      </c>
    </row>
    <row r="248" spans="2:5" x14ac:dyDescent="0.2">
      <c r="B248" s="1" t="s">
        <v>283</v>
      </c>
      <c r="C248" s="6">
        <v>1250</v>
      </c>
      <c r="D248" s="6">
        <v>150</v>
      </c>
    </row>
    <row r="249" spans="2:5" x14ac:dyDescent="0.2">
      <c r="B249" s="1" t="s">
        <v>280</v>
      </c>
      <c r="C249" s="6">
        <f>SUM(C245:C248)</f>
        <v>2970</v>
      </c>
      <c r="D249" s="6">
        <f>SUM(D245:D248)</f>
        <v>1400</v>
      </c>
    </row>
    <row r="250" spans="2:5" x14ac:dyDescent="0.2">
      <c r="C250" s="6"/>
      <c r="D250" s="6"/>
    </row>
    <row r="251" spans="2:5" x14ac:dyDescent="0.2">
      <c r="B251" s="1" t="s">
        <v>362</v>
      </c>
      <c r="C251" s="6">
        <v>1250</v>
      </c>
      <c r="D251" s="6">
        <v>1000</v>
      </c>
      <c r="E251" s="1" t="s">
        <v>358</v>
      </c>
    </row>
    <row r="252" spans="2:5" x14ac:dyDescent="0.2">
      <c r="B252" s="1" t="s">
        <v>357</v>
      </c>
      <c r="C252" s="6">
        <v>1950</v>
      </c>
      <c r="D252" s="6">
        <v>1600</v>
      </c>
      <c r="E252" s="1" t="s">
        <v>358</v>
      </c>
    </row>
    <row r="253" spans="2:5" x14ac:dyDescent="0.2">
      <c r="B253" s="1" t="s">
        <v>361</v>
      </c>
      <c r="C253" s="6">
        <v>25</v>
      </c>
      <c r="D253" s="6">
        <v>0</v>
      </c>
      <c r="E253" s="1" t="s">
        <v>358</v>
      </c>
    </row>
    <row r="254" spans="2:5" x14ac:dyDescent="0.2">
      <c r="B254" s="1" t="s">
        <v>360</v>
      </c>
      <c r="C254" s="6">
        <v>55</v>
      </c>
      <c r="D254" s="6">
        <v>0</v>
      </c>
      <c r="E254" s="1" t="s">
        <v>358</v>
      </c>
    </row>
    <row r="255" spans="2:5" x14ac:dyDescent="0.2">
      <c r="C255" s="6">
        <f>SUM(C251:C254)</f>
        <v>3280</v>
      </c>
      <c r="D255" s="6">
        <f>SUM(D251:D254)</f>
        <v>2600</v>
      </c>
    </row>
    <row r="256" spans="2:5" x14ac:dyDescent="0.2">
      <c r="C256" s="6"/>
      <c r="D256" s="6"/>
    </row>
    <row r="257" spans="2:5" x14ac:dyDescent="0.2">
      <c r="B257" s="1" t="s">
        <v>359</v>
      </c>
      <c r="C257" s="6">
        <v>750</v>
      </c>
      <c r="D257" s="6">
        <v>400</v>
      </c>
      <c r="E257" s="1" t="s">
        <v>358</v>
      </c>
    </row>
    <row r="258" spans="2:5" x14ac:dyDescent="0.2">
      <c r="B258" s="1" t="s">
        <v>92</v>
      </c>
      <c r="C258" s="6">
        <v>450</v>
      </c>
      <c r="D258" s="6">
        <v>500</v>
      </c>
    </row>
    <row r="259" spans="2:5" x14ac:dyDescent="0.2">
      <c r="B259" s="1" t="s">
        <v>357</v>
      </c>
      <c r="C259" s="6">
        <v>200</v>
      </c>
      <c r="D259" s="6">
        <v>100</v>
      </c>
      <c r="E259" s="1" t="s">
        <v>358</v>
      </c>
    </row>
    <row r="260" spans="2:5" x14ac:dyDescent="0.2">
      <c r="B260" s="1" t="s">
        <v>274</v>
      </c>
      <c r="C260" s="6">
        <f>SUM(C257:C259)</f>
        <v>1400</v>
      </c>
      <c r="D260" s="6">
        <f>SUM(D257:D259)</f>
        <v>1000</v>
      </c>
    </row>
    <row r="261" spans="2:5" x14ac:dyDescent="0.2">
      <c r="B261" s="1" t="s">
        <v>273</v>
      </c>
      <c r="C261" s="6">
        <f>+C260+C255</f>
        <v>4680</v>
      </c>
      <c r="D261" s="6">
        <f>+D260+D255</f>
        <v>3600</v>
      </c>
    </row>
    <row r="262" spans="2:5" x14ac:dyDescent="0.2">
      <c r="B262" s="1" t="s">
        <v>272</v>
      </c>
      <c r="C262" s="6">
        <f>+C261+C249</f>
        <v>7650</v>
      </c>
      <c r="D262" s="6">
        <f>+D261+D249</f>
        <v>5000</v>
      </c>
    </row>
  </sheetData>
  <conditionalFormatting sqref="C57">
    <cfRule type="cellIs" dxfId="5" priority="1" operator="lessThan">
      <formula>0</formula>
    </cfRule>
    <cfRule type="cellIs" dxfId="4" priority="2" operator="greaterThan">
      <formula>0</formula>
    </cfRule>
  </conditionalFormatting>
  <hyperlinks>
    <hyperlink ref="A1" location="Main!A1" display="Main" xr:uid="{7D4D0258-F5F9-4F7F-BB91-083A75FBBA62}"/>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D208D-2DB4-4322-AC95-D43D2758EE9D}">
  <sheetPr codeName="Sheet8"/>
  <dimension ref="A1:Q221"/>
  <sheetViews>
    <sheetView zoomScale="85" zoomScaleNormal="85" workbookViewId="0"/>
  </sheetViews>
  <sheetFormatPr defaultRowHeight="12" x14ac:dyDescent="0.2"/>
  <cols>
    <col min="1" max="16384" width="9.140625" style="1"/>
  </cols>
  <sheetData>
    <row r="1" spans="1:5" ht="15" x14ac:dyDescent="0.25">
      <c r="A1" s="2" t="s">
        <v>0</v>
      </c>
    </row>
    <row r="2" spans="1:5" x14ac:dyDescent="0.2">
      <c r="B2" s="1" t="s">
        <v>429</v>
      </c>
    </row>
    <row r="3" spans="1:5" x14ac:dyDescent="0.2">
      <c r="B3" s="1" t="s">
        <v>261</v>
      </c>
      <c r="C3" s="22">
        <v>45230</v>
      </c>
    </row>
    <row r="4" spans="1:5" x14ac:dyDescent="0.2">
      <c r="B4" s="1" t="s">
        <v>101</v>
      </c>
    </row>
    <row r="6" spans="1:5" x14ac:dyDescent="0.2">
      <c r="D6" s="1">
        <v>2023</v>
      </c>
      <c r="E6" s="1">
        <v>2022</v>
      </c>
    </row>
    <row r="7" spans="1:5" x14ac:dyDescent="0.2">
      <c r="D7" s="19" t="s">
        <v>148</v>
      </c>
      <c r="E7" s="19" t="s">
        <v>148</v>
      </c>
    </row>
    <row r="8" spans="1:5" x14ac:dyDescent="0.2">
      <c r="B8" s="1" t="s">
        <v>287</v>
      </c>
      <c r="D8" s="6">
        <v>12845</v>
      </c>
      <c r="E8" s="6">
        <v>9567</v>
      </c>
    </row>
    <row r="9" spans="1:5" x14ac:dyDescent="0.2">
      <c r="D9" s="6">
        <f>SUM(D8)</f>
        <v>12845</v>
      </c>
      <c r="E9" s="6">
        <f>SUM(E8)</f>
        <v>9567</v>
      </c>
    </row>
    <row r="10" spans="1:5" x14ac:dyDescent="0.2">
      <c r="D10" s="6"/>
      <c r="E10" s="6"/>
    </row>
    <row r="11" spans="1:5" x14ac:dyDescent="0.2">
      <c r="B11" s="1" t="s">
        <v>95</v>
      </c>
      <c r="D11" s="6">
        <v>3345</v>
      </c>
      <c r="E11" s="6">
        <v>3621</v>
      </c>
    </row>
    <row r="12" spans="1:5" x14ac:dyDescent="0.2">
      <c r="B12" s="1" t="s">
        <v>94</v>
      </c>
      <c r="D12" s="6">
        <v>7635</v>
      </c>
      <c r="E12" s="6">
        <v>5239</v>
      </c>
    </row>
    <row r="13" spans="1:5" x14ac:dyDescent="0.2">
      <c r="B13" s="1" t="s">
        <v>286</v>
      </c>
      <c r="D13" s="6">
        <v>60</v>
      </c>
      <c r="E13" s="6">
        <v>25</v>
      </c>
    </row>
    <row r="14" spans="1:5" x14ac:dyDescent="0.2">
      <c r="B14" s="1" t="s">
        <v>93</v>
      </c>
      <c r="D14" s="6">
        <v>998</v>
      </c>
      <c r="E14" s="6">
        <v>56</v>
      </c>
    </row>
    <row r="15" spans="1:5" x14ac:dyDescent="0.2">
      <c r="D15" s="6">
        <f>SUM(D11:D14)</f>
        <v>12038</v>
      </c>
      <c r="E15" s="6">
        <f>SUM(E11:E14)</f>
        <v>8941</v>
      </c>
    </row>
    <row r="16" spans="1:5" x14ac:dyDescent="0.2">
      <c r="B16" s="1" t="s">
        <v>285</v>
      </c>
      <c r="D16" s="6">
        <f>+D15+D9</f>
        <v>24883</v>
      </c>
      <c r="E16" s="6">
        <f>+E15+E9</f>
        <v>18508</v>
      </c>
    </row>
    <row r="17" spans="2:5" x14ac:dyDescent="0.2">
      <c r="D17" s="6"/>
      <c r="E17" s="6"/>
    </row>
    <row r="18" spans="2:5" x14ac:dyDescent="0.2">
      <c r="D18" s="6"/>
      <c r="E18" s="6"/>
    </row>
    <row r="19" spans="2:5" x14ac:dyDescent="0.2">
      <c r="B19" s="1" t="s">
        <v>284</v>
      </c>
      <c r="D19" s="6">
        <v>9000</v>
      </c>
      <c r="E19" s="6">
        <v>7500</v>
      </c>
    </row>
    <row r="20" spans="2:5" x14ac:dyDescent="0.2">
      <c r="B20" s="1" t="s">
        <v>128</v>
      </c>
      <c r="D20" s="6">
        <v>1450</v>
      </c>
      <c r="E20" s="6">
        <v>0</v>
      </c>
    </row>
    <row r="21" spans="2:5" x14ac:dyDescent="0.2">
      <c r="B21" s="1" t="s">
        <v>283</v>
      </c>
      <c r="D21" s="6">
        <v>7343</v>
      </c>
      <c r="E21" s="6">
        <v>4637</v>
      </c>
    </row>
    <row r="22" spans="2:5" x14ac:dyDescent="0.2">
      <c r="B22" s="1" t="s">
        <v>280</v>
      </c>
      <c r="D22" s="6">
        <f>SUM(D19:D21)</f>
        <v>17793</v>
      </c>
      <c r="E22" s="6">
        <f>SUM(E19:E21)</f>
        <v>12137</v>
      </c>
    </row>
    <row r="23" spans="2:5" x14ac:dyDescent="0.2">
      <c r="D23" s="6"/>
      <c r="E23" s="6"/>
    </row>
    <row r="24" spans="2:5" x14ac:dyDescent="0.2">
      <c r="B24" s="1" t="s">
        <v>432</v>
      </c>
      <c r="D24" s="6">
        <v>154</v>
      </c>
      <c r="E24" s="6">
        <v>132</v>
      </c>
    </row>
    <row r="25" spans="2:5" x14ac:dyDescent="0.2">
      <c r="B25" s="1" t="s">
        <v>361</v>
      </c>
      <c r="D25" s="6">
        <v>150</v>
      </c>
      <c r="E25" s="6">
        <v>95</v>
      </c>
    </row>
    <row r="26" spans="2:5" x14ac:dyDescent="0.2">
      <c r="B26" s="1" t="s">
        <v>276</v>
      </c>
      <c r="D26" s="6">
        <f>SUM(D24:D25)</f>
        <v>304</v>
      </c>
      <c r="E26" s="6">
        <f>SUM(E24:E25)</f>
        <v>227</v>
      </c>
    </row>
    <row r="27" spans="2:5" x14ac:dyDescent="0.2">
      <c r="D27" s="6"/>
      <c r="E27" s="6"/>
    </row>
    <row r="28" spans="2:5" x14ac:dyDescent="0.2">
      <c r="B28" s="1" t="s">
        <v>359</v>
      </c>
      <c r="D28" s="6">
        <v>469</v>
      </c>
      <c r="E28" s="6">
        <v>310</v>
      </c>
    </row>
    <row r="29" spans="2:5" x14ac:dyDescent="0.2">
      <c r="B29" s="1" t="s">
        <v>92</v>
      </c>
      <c r="D29" s="6">
        <v>5187</v>
      </c>
      <c r="E29" s="6">
        <v>5019</v>
      </c>
    </row>
    <row r="30" spans="2:5" x14ac:dyDescent="0.2">
      <c r="B30" s="1" t="s">
        <v>431</v>
      </c>
      <c r="D30" s="6">
        <v>80</v>
      </c>
      <c r="E30" s="6">
        <v>65</v>
      </c>
    </row>
    <row r="31" spans="2:5" x14ac:dyDescent="0.2">
      <c r="B31" s="1" t="s">
        <v>430</v>
      </c>
      <c r="D31" s="6">
        <v>1050</v>
      </c>
      <c r="E31" s="6">
        <v>750</v>
      </c>
    </row>
    <row r="32" spans="2:5" x14ac:dyDescent="0.2">
      <c r="B32" s="1" t="s">
        <v>274</v>
      </c>
      <c r="D32" s="6">
        <f>SUM(D28:D31)</f>
        <v>6786</v>
      </c>
      <c r="E32" s="6">
        <f>SUM(E28:E31)</f>
        <v>6144</v>
      </c>
    </row>
    <row r="33" spans="2:5" x14ac:dyDescent="0.2">
      <c r="B33" s="1" t="s">
        <v>273</v>
      </c>
      <c r="D33" s="6">
        <f>+D32+D26</f>
        <v>7090</v>
      </c>
      <c r="E33" s="6">
        <f>+E32+E26</f>
        <v>6371</v>
      </c>
    </row>
    <row r="34" spans="2:5" x14ac:dyDescent="0.2">
      <c r="B34" s="1" t="s">
        <v>272</v>
      </c>
      <c r="D34" s="6">
        <f>+D33+D22</f>
        <v>24883</v>
      </c>
      <c r="E34" s="6">
        <f>+E33+E22</f>
        <v>18508</v>
      </c>
    </row>
    <row r="37" spans="2:5" x14ac:dyDescent="0.2">
      <c r="B37" s="1" t="s">
        <v>205</v>
      </c>
      <c r="D37" s="1">
        <v>45231</v>
      </c>
    </row>
    <row r="38" spans="2:5" x14ac:dyDescent="0.2">
      <c r="B38" s="1" t="s">
        <v>89</v>
      </c>
      <c r="D38" s="1">
        <v>-18762</v>
      </c>
    </row>
    <row r="39" spans="2:5" x14ac:dyDescent="0.2">
      <c r="B39" s="1" t="s">
        <v>88</v>
      </c>
      <c r="D39" s="1">
        <f>SUM(D37:D38)</f>
        <v>26469</v>
      </c>
    </row>
    <row r="40" spans="2:5" x14ac:dyDescent="0.2">
      <c r="B40" s="1" t="s">
        <v>434</v>
      </c>
      <c r="D40" s="1">
        <v>-9357</v>
      </c>
    </row>
    <row r="41" spans="2:5" x14ac:dyDescent="0.2">
      <c r="B41" s="1" t="s">
        <v>433</v>
      </c>
      <c r="D41" s="1">
        <v>-10236</v>
      </c>
    </row>
    <row r="42" spans="2:5" x14ac:dyDescent="0.2">
      <c r="B42" s="1" t="s">
        <v>271</v>
      </c>
      <c r="D42" s="1">
        <v>8</v>
      </c>
    </row>
    <row r="43" spans="2:5" x14ac:dyDescent="0.2">
      <c r="B43" s="1" t="s">
        <v>70</v>
      </c>
      <c r="D43" s="1">
        <v>-53</v>
      </c>
    </row>
    <row r="44" spans="2:5" x14ac:dyDescent="0.2">
      <c r="B44" s="1" t="s">
        <v>66</v>
      </c>
      <c r="D44" s="1">
        <f>SUM(D39:D43)</f>
        <v>6831</v>
      </c>
    </row>
    <row r="45" spans="2:5" x14ac:dyDescent="0.2">
      <c r="B45" s="1" t="s">
        <v>344</v>
      </c>
      <c r="D45" s="1">
        <v>-2125</v>
      </c>
    </row>
    <row r="46" spans="2:5" x14ac:dyDescent="0.2">
      <c r="B46" s="1" t="s">
        <v>269</v>
      </c>
      <c r="D46" s="1">
        <f>SUM(D44:D45)</f>
        <v>4706</v>
      </c>
    </row>
    <row r="65" spans="2:17" ht="15" x14ac:dyDescent="0.25">
      <c r="B65" s="94" t="s">
        <v>437</v>
      </c>
      <c r="C65" s="31"/>
      <c r="D65" s="31"/>
      <c r="E65" s="31"/>
      <c r="F65" s="31"/>
      <c r="G65" s="31"/>
      <c r="H65" s="31"/>
    </row>
    <row r="66" spans="2:17" ht="15" x14ac:dyDescent="0.25">
      <c r="B66" s="52"/>
      <c r="C66" s="52"/>
      <c r="D66" s="88" t="s">
        <v>113</v>
      </c>
      <c r="E66" s="88" t="s">
        <v>129</v>
      </c>
      <c r="F66" s="52"/>
      <c r="G66" s="96"/>
      <c r="H66" s="96"/>
      <c r="I66" s="31"/>
      <c r="J66" s="31"/>
      <c r="K66" s="31"/>
      <c r="L66" s="31"/>
      <c r="M66" s="31"/>
      <c r="N66" s="31"/>
      <c r="O66" s="31"/>
      <c r="P66" s="31"/>
      <c r="Q66" s="31"/>
    </row>
    <row r="67" spans="2:17" ht="15" x14ac:dyDescent="0.25">
      <c r="B67" s="97" t="s">
        <v>337</v>
      </c>
      <c r="C67" s="52"/>
      <c r="D67" s="89" t="s">
        <v>148</v>
      </c>
      <c r="E67" s="89" t="s">
        <v>148</v>
      </c>
      <c r="F67" s="52"/>
      <c r="G67" s="96"/>
      <c r="H67" s="96"/>
      <c r="I67" s="31"/>
      <c r="J67" s="31"/>
      <c r="K67" s="31"/>
      <c r="L67" s="31"/>
      <c r="M67" s="31"/>
      <c r="N67" s="31"/>
      <c r="O67" s="31"/>
      <c r="P67" s="31"/>
      <c r="Q67" s="31"/>
    </row>
    <row r="68" spans="2:17" ht="15" x14ac:dyDescent="0.25">
      <c r="B68" s="52" t="s">
        <v>363</v>
      </c>
      <c r="C68" s="52"/>
      <c r="D68" s="98">
        <v>998</v>
      </c>
      <c r="E68" s="98">
        <v>56</v>
      </c>
      <c r="F68" s="52"/>
      <c r="G68" s="96"/>
      <c r="H68" s="96"/>
      <c r="I68" s="31"/>
      <c r="J68" s="31"/>
      <c r="K68" s="31"/>
      <c r="L68" s="31"/>
      <c r="M68" s="31"/>
      <c r="N68" s="31"/>
      <c r="O68" s="31"/>
      <c r="P68" s="31"/>
      <c r="Q68" s="31"/>
    </row>
    <row r="69" spans="2:17" ht="15" x14ac:dyDescent="0.25">
      <c r="B69" s="52" t="s">
        <v>364</v>
      </c>
      <c r="C69" s="52"/>
      <c r="D69" s="98">
        <v>-469</v>
      </c>
      <c r="E69" s="98">
        <v>-310</v>
      </c>
      <c r="F69" s="52"/>
      <c r="G69" s="96"/>
      <c r="H69" s="96"/>
      <c r="I69" s="31"/>
      <c r="J69" s="31"/>
    </row>
    <row r="70" spans="2:17" ht="15.75" thickBot="1" x14ac:dyDescent="0.3">
      <c r="B70" s="52"/>
      <c r="C70" s="52"/>
      <c r="D70" s="99">
        <f>SUM(D68:D69)</f>
        <v>529</v>
      </c>
      <c r="E70" s="99">
        <f>SUM(E68:E69)</f>
        <v>-254</v>
      </c>
      <c r="F70" s="52"/>
      <c r="G70" s="96"/>
      <c r="H70" s="96"/>
      <c r="I70" s="31"/>
      <c r="J70" s="31"/>
    </row>
    <row r="71" spans="2:17" ht="15.75" thickTop="1" x14ac:dyDescent="0.25">
      <c r="B71" s="52"/>
      <c r="C71" s="52"/>
      <c r="D71" s="52"/>
      <c r="E71" s="52"/>
      <c r="F71" s="52"/>
      <c r="G71" s="96"/>
      <c r="H71" s="96"/>
      <c r="I71" s="31"/>
      <c r="J71" s="31"/>
    </row>
    <row r="72" spans="2:17" ht="15" x14ac:dyDescent="0.25">
      <c r="B72" s="52"/>
      <c r="C72" s="52"/>
      <c r="D72" s="52"/>
      <c r="E72" s="52"/>
      <c r="F72" s="52"/>
      <c r="G72" s="96"/>
      <c r="H72" s="96"/>
      <c r="I72" s="31"/>
      <c r="J72" s="31"/>
    </row>
    <row r="73" spans="2:17" ht="15" x14ac:dyDescent="0.25">
      <c r="B73" s="52" t="s">
        <v>103</v>
      </c>
      <c r="C73" s="52"/>
      <c r="D73" s="52"/>
      <c r="E73" s="52"/>
      <c r="F73" s="52"/>
      <c r="G73" s="96"/>
      <c r="H73" s="96"/>
      <c r="I73" s="31"/>
      <c r="J73" s="31"/>
    </row>
    <row r="74" spans="2:17" ht="15" x14ac:dyDescent="0.25">
      <c r="B74" s="52"/>
      <c r="C74" s="52" t="s">
        <v>365</v>
      </c>
      <c r="D74" s="52"/>
      <c r="E74" s="52" t="s">
        <v>366</v>
      </c>
      <c r="F74" s="52"/>
      <c r="G74" s="96"/>
      <c r="H74" s="96"/>
      <c r="I74" s="31"/>
      <c r="J74" s="31"/>
    </row>
    <row r="75" spans="2:17" ht="15" x14ac:dyDescent="0.25">
      <c r="B75" s="52"/>
      <c r="C75" s="89" t="s">
        <v>148</v>
      </c>
      <c r="D75" s="52"/>
      <c r="E75" s="89" t="s">
        <v>148</v>
      </c>
      <c r="F75" s="52"/>
      <c r="G75" s="96"/>
      <c r="H75" s="96"/>
      <c r="I75" s="31"/>
      <c r="J75" s="31"/>
    </row>
    <row r="76" spans="2:17" ht="15" x14ac:dyDescent="0.25">
      <c r="B76" s="90" t="s">
        <v>290</v>
      </c>
      <c r="C76" s="46">
        <v>5239</v>
      </c>
      <c r="D76" s="91" t="s">
        <v>290</v>
      </c>
      <c r="E76" s="46">
        <f>5019-5</f>
        <v>5014</v>
      </c>
      <c r="F76" s="52"/>
      <c r="G76" s="100" t="s">
        <v>441</v>
      </c>
      <c r="H76" s="96"/>
      <c r="I76" s="31"/>
      <c r="J76" s="31"/>
    </row>
    <row r="77" spans="2:17" ht="15" x14ac:dyDescent="0.25">
      <c r="B77" s="90" t="s">
        <v>205</v>
      </c>
      <c r="C77" s="46">
        <v>45231</v>
      </c>
      <c r="D77" s="91" t="s">
        <v>54</v>
      </c>
      <c r="E77" s="46">
        <f>18762-3621+3345</f>
        <v>18486</v>
      </c>
      <c r="F77" s="52"/>
      <c r="G77" s="100" t="s">
        <v>443</v>
      </c>
      <c r="H77" s="96"/>
      <c r="I77" s="31"/>
      <c r="J77" s="31"/>
    </row>
    <row r="78" spans="2:17" ht="15" x14ac:dyDescent="0.25">
      <c r="B78" s="90" t="s">
        <v>444</v>
      </c>
      <c r="C78" s="36"/>
      <c r="D78" s="91" t="s">
        <v>55</v>
      </c>
      <c r="E78" s="46">
        <v>9357</v>
      </c>
      <c r="F78" s="52"/>
      <c r="G78" s="96"/>
      <c r="H78" s="96"/>
      <c r="I78" s="31"/>
      <c r="J78" s="31"/>
    </row>
    <row r="79" spans="2:17" ht="15" x14ac:dyDescent="0.25">
      <c r="B79" s="92" t="s">
        <v>446</v>
      </c>
      <c r="C79" s="36"/>
      <c r="D79" s="91" t="s">
        <v>433</v>
      </c>
      <c r="E79" s="46">
        <f>10236-3224-15+10</f>
        <v>7007</v>
      </c>
      <c r="F79" s="52"/>
      <c r="G79" s="100" t="s">
        <v>447</v>
      </c>
      <c r="H79" s="96"/>
      <c r="I79" s="31"/>
      <c r="J79" s="31"/>
    </row>
    <row r="80" spans="2:17" ht="15" x14ac:dyDescent="0.25">
      <c r="B80" s="52"/>
      <c r="C80" s="101">
        <f>SUM(C76:C79)</f>
        <v>50470</v>
      </c>
      <c r="D80" s="101"/>
      <c r="E80" s="101">
        <f>SUM(E76:E79)</f>
        <v>39864</v>
      </c>
      <c r="F80" s="52"/>
      <c r="G80" s="96"/>
      <c r="H80" s="96"/>
      <c r="I80" s="31"/>
      <c r="J80" s="31"/>
    </row>
    <row r="81" spans="2:10" ht="15" x14ac:dyDescent="0.25">
      <c r="B81" s="90" t="s">
        <v>340</v>
      </c>
      <c r="C81" s="46">
        <v>7635</v>
      </c>
      <c r="D81" s="91" t="s">
        <v>340</v>
      </c>
      <c r="E81" s="46">
        <f>5187-7</f>
        <v>5180</v>
      </c>
      <c r="F81" s="52"/>
      <c r="G81" s="96"/>
      <c r="H81" s="96"/>
      <c r="I81" s="31"/>
      <c r="J81" s="31"/>
    </row>
    <row r="82" spans="2:10" ht="15.75" thickBot="1" x14ac:dyDescent="0.3">
      <c r="B82" s="90" t="s">
        <v>341</v>
      </c>
      <c r="C82" s="77">
        <f>C80-C81</f>
        <v>42835</v>
      </c>
      <c r="D82" s="78"/>
      <c r="E82" s="77">
        <f>E80-E81</f>
        <v>34684</v>
      </c>
      <c r="F82" s="52"/>
      <c r="G82" s="96"/>
      <c r="H82" s="96"/>
      <c r="I82" s="31"/>
      <c r="J82" s="31"/>
    </row>
    <row r="83" spans="2:10" ht="15.75" thickTop="1" x14ac:dyDescent="0.25">
      <c r="B83" s="52"/>
      <c r="C83" s="78"/>
      <c r="D83" s="78"/>
      <c r="E83" s="78"/>
      <c r="F83" s="52"/>
      <c r="G83" s="96"/>
      <c r="H83" s="96"/>
      <c r="I83" s="31"/>
      <c r="J83" s="31"/>
    </row>
    <row r="84" spans="2:10" ht="15" x14ac:dyDescent="0.25">
      <c r="B84" s="97" t="s">
        <v>372</v>
      </c>
      <c r="C84" s="78"/>
      <c r="D84" s="78"/>
      <c r="E84" s="102">
        <f>C82+E82</f>
        <v>77519</v>
      </c>
      <c r="F84" s="52"/>
      <c r="G84" s="96"/>
      <c r="H84" s="96"/>
      <c r="I84" s="31"/>
      <c r="J84" s="31"/>
    </row>
    <row r="85" spans="2:10" ht="15" x14ac:dyDescent="0.25">
      <c r="B85" s="52"/>
      <c r="C85" s="52"/>
      <c r="D85" s="78"/>
      <c r="E85" s="78"/>
      <c r="F85" s="52"/>
      <c r="G85" s="96"/>
      <c r="H85" s="96"/>
      <c r="I85" s="31"/>
      <c r="J85" s="31"/>
    </row>
    <row r="86" spans="2:10" ht="15" x14ac:dyDescent="0.25">
      <c r="B86" s="97" t="s">
        <v>215</v>
      </c>
      <c r="C86" s="52"/>
      <c r="D86" s="78"/>
      <c r="E86" s="78"/>
      <c r="F86" s="52"/>
      <c r="G86" s="96"/>
      <c r="H86" s="96"/>
      <c r="I86" s="31"/>
      <c r="J86" s="31"/>
    </row>
    <row r="87" spans="2:10" ht="15" x14ac:dyDescent="0.25">
      <c r="B87" s="52" t="s">
        <v>377</v>
      </c>
      <c r="C87" s="52"/>
      <c r="D87" s="78"/>
      <c r="E87" s="46">
        <v>5</v>
      </c>
      <c r="F87" s="52"/>
      <c r="G87" s="96"/>
      <c r="H87" s="96"/>
      <c r="I87" s="31"/>
      <c r="J87" s="31"/>
    </row>
    <row r="88" spans="2:10" ht="15" x14ac:dyDescent="0.25">
      <c r="B88" s="52" t="s">
        <v>268</v>
      </c>
      <c r="C88" s="52"/>
      <c r="D88" s="78"/>
      <c r="E88" s="46">
        <v>53</v>
      </c>
      <c r="F88" s="52"/>
      <c r="G88" s="96"/>
      <c r="H88" s="96"/>
      <c r="I88" s="31"/>
      <c r="J88" s="31"/>
    </row>
    <row r="89" spans="2:10" ht="15" x14ac:dyDescent="0.25">
      <c r="B89" s="52" t="s">
        <v>378</v>
      </c>
      <c r="C89" s="52"/>
      <c r="D89" s="78"/>
      <c r="E89" s="46"/>
      <c r="F89" s="52"/>
      <c r="G89" s="96"/>
      <c r="H89" s="96"/>
      <c r="I89" s="31"/>
      <c r="J89" s="31"/>
    </row>
    <row r="90" spans="2:10" ht="15" x14ac:dyDescent="0.25">
      <c r="B90" s="52" t="s">
        <v>380</v>
      </c>
      <c r="C90" s="52"/>
      <c r="D90" s="78"/>
      <c r="E90" s="46"/>
      <c r="F90" s="52"/>
      <c r="G90" s="96"/>
      <c r="H90" s="96"/>
      <c r="I90" s="31"/>
      <c r="J90" s="31"/>
    </row>
    <row r="91" spans="2:10" ht="15" x14ac:dyDescent="0.25">
      <c r="B91" s="52"/>
      <c r="C91" s="52"/>
      <c r="D91" s="78"/>
      <c r="E91" s="57">
        <f>E87+E88-E90+E89</f>
        <v>58</v>
      </c>
      <c r="F91" s="52"/>
      <c r="G91" s="96"/>
      <c r="H91" s="96"/>
      <c r="I91" s="31"/>
      <c r="J91" s="31"/>
    </row>
    <row r="92" spans="2:10" ht="15" x14ac:dyDescent="0.25">
      <c r="B92" s="52" t="s">
        <v>288</v>
      </c>
      <c r="C92" s="52"/>
      <c r="D92" s="78"/>
      <c r="E92" s="46">
        <v>7</v>
      </c>
      <c r="F92" s="52"/>
      <c r="G92" s="96"/>
      <c r="H92" s="96"/>
      <c r="I92" s="31"/>
      <c r="J92" s="31"/>
    </row>
    <row r="93" spans="2:10" ht="15.75" thickBot="1" x14ac:dyDescent="0.3">
      <c r="B93" s="52" t="s">
        <v>215</v>
      </c>
      <c r="C93" s="52"/>
      <c r="D93" s="78"/>
      <c r="E93" s="63">
        <f>E91-E92</f>
        <v>51</v>
      </c>
      <c r="F93" s="52"/>
      <c r="G93" s="96"/>
      <c r="H93" s="96"/>
      <c r="I93" s="31"/>
      <c r="J93" s="31"/>
    </row>
    <row r="94" spans="2:10" ht="15.75" thickTop="1" x14ac:dyDescent="0.25">
      <c r="B94" s="52"/>
      <c r="C94" s="52"/>
      <c r="D94" s="78"/>
      <c r="E94" s="78"/>
      <c r="F94" s="52"/>
      <c r="G94" s="96"/>
      <c r="H94" s="96"/>
      <c r="I94" s="31"/>
      <c r="J94" s="31"/>
    </row>
    <row r="95" spans="2:10" ht="15" x14ac:dyDescent="0.25">
      <c r="B95" s="97" t="s">
        <v>117</v>
      </c>
      <c r="C95" s="52"/>
      <c r="D95" s="78"/>
      <c r="E95" s="78"/>
      <c r="F95" s="52"/>
      <c r="G95" s="96"/>
      <c r="H95" s="96"/>
      <c r="I95" s="31"/>
      <c r="J95" s="31"/>
    </row>
    <row r="96" spans="2:10" ht="15" x14ac:dyDescent="0.25">
      <c r="B96" s="52" t="s">
        <v>218</v>
      </c>
      <c r="C96" s="52"/>
      <c r="D96" s="46">
        <v>750</v>
      </c>
      <c r="E96" s="101"/>
      <c r="F96" s="52"/>
      <c r="G96" s="96"/>
      <c r="H96" s="96"/>
      <c r="I96" s="31"/>
      <c r="J96" s="31"/>
    </row>
    <row r="97" spans="2:10" ht="15" x14ac:dyDescent="0.25">
      <c r="B97" s="52" t="s">
        <v>383</v>
      </c>
      <c r="C97" s="52"/>
      <c r="D97" s="46">
        <v>95</v>
      </c>
      <c r="E97" s="101">
        <f>D97+D96</f>
        <v>845</v>
      </c>
      <c r="F97" s="52"/>
      <c r="G97" s="96"/>
      <c r="H97" s="96"/>
      <c r="I97" s="31"/>
      <c r="J97" s="31"/>
    </row>
    <row r="98" spans="2:10" ht="15" x14ac:dyDescent="0.25">
      <c r="B98" s="52" t="s">
        <v>344</v>
      </c>
      <c r="C98" s="52"/>
      <c r="D98" s="101"/>
      <c r="E98" s="46">
        <v>2125</v>
      </c>
      <c r="F98" s="52"/>
      <c r="G98" s="96"/>
      <c r="H98" s="96"/>
      <c r="I98" s="31"/>
      <c r="J98" s="31"/>
    </row>
    <row r="99" spans="2:10" ht="15" x14ac:dyDescent="0.25">
      <c r="B99" s="52"/>
      <c r="C99" s="52"/>
      <c r="D99" s="101"/>
      <c r="E99" s="101">
        <f>E97+E98</f>
        <v>2970</v>
      </c>
      <c r="F99" s="52"/>
      <c r="G99" s="96"/>
      <c r="H99" s="96"/>
      <c r="I99" s="31"/>
      <c r="J99" s="31"/>
    </row>
    <row r="100" spans="2:10" ht="15" x14ac:dyDescent="0.25">
      <c r="B100" s="52" t="s">
        <v>220</v>
      </c>
      <c r="C100" s="52"/>
      <c r="D100" s="46">
        <v>1050</v>
      </c>
      <c r="E100" s="101"/>
      <c r="F100" s="52"/>
      <c r="G100" s="96"/>
      <c r="H100" s="96"/>
      <c r="I100" s="31"/>
      <c r="J100" s="31"/>
    </row>
    <row r="101" spans="2:10" ht="15" x14ac:dyDescent="0.25">
      <c r="B101" s="52" t="s">
        <v>385</v>
      </c>
      <c r="C101" s="52"/>
      <c r="D101" s="46">
        <v>150</v>
      </c>
      <c r="E101" s="101">
        <f>D101+D100</f>
        <v>1200</v>
      </c>
      <c r="F101" s="52"/>
      <c r="G101" s="96"/>
      <c r="H101" s="96"/>
      <c r="I101" s="31"/>
      <c r="J101" s="31"/>
    </row>
    <row r="102" spans="2:10" ht="15.75" thickBot="1" x14ac:dyDescent="0.3">
      <c r="B102" s="52" t="s">
        <v>117</v>
      </c>
      <c r="C102" s="52"/>
      <c r="D102" s="101"/>
      <c r="E102" s="63">
        <f>E99-E101</f>
        <v>1770</v>
      </c>
      <c r="F102" s="52"/>
      <c r="G102" s="96"/>
      <c r="H102" s="96"/>
      <c r="I102" s="31"/>
      <c r="J102" s="31"/>
    </row>
    <row r="103" spans="2:10" ht="15.75" thickTop="1" x14ac:dyDescent="0.25">
      <c r="B103" s="52"/>
      <c r="C103" s="52"/>
      <c r="D103" s="78"/>
      <c r="E103" s="78"/>
      <c r="F103" s="52"/>
      <c r="G103" s="96"/>
      <c r="H103" s="96"/>
      <c r="I103" s="31"/>
      <c r="J103" s="31"/>
    </row>
    <row r="104" spans="2:10" ht="15" x14ac:dyDescent="0.25">
      <c r="B104" s="97" t="s">
        <v>221</v>
      </c>
      <c r="C104" s="52"/>
      <c r="D104" s="78"/>
      <c r="E104" s="78"/>
      <c r="F104" s="52"/>
      <c r="G104" s="96"/>
      <c r="H104" s="96"/>
      <c r="I104" s="31"/>
      <c r="J104" s="31"/>
    </row>
    <row r="105" spans="2:10" ht="15" x14ac:dyDescent="0.25">
      <c r="B105" s="52" t="s">
        <v>151</v>
      </c>
      <c r="C105" s="52"/>
      <c r="D105" s="78"/>
      <c r="E105" s="46">
        <v>9567</v>
      </c>
      <c r="F105" s="52"/>
      <c r="G105" s="96"/>
      <c r="H105" s="96"/>
      <c r="I105" s="31"/>
      <c r="J105" s="31"/>
    </row>
    <row r="106" spans="2:10" ht="15" x14ac:dyDescent="0.25">
      <c r="B106" s="52" t="s">
        <v>296</v>
      </c>
      <c r="C106" s="52"/>
      <c r="D106" s="78"/>
      <c r="E106" s="46"/>
      <c r="F106" s="52"/>
      <c r="G106" s="96"/>
      <c r="H106" s="96"/>
      <c r="I106" s="31"/>
      <c r="J106" s="31"/>
    </row>
    <row r="107" spans="2:10" ht="15" x14ac:dyDescent="0.25">
      <c r="B107" s="52" t="s">
        <v>388</v>
      </c>
      <c r="C107" s="52"/>
      <c r="D107" s="78"/>
      <c r="E107" s="46">
        <v>3224</v>
      </c>
      <c r="F107" s="52"/>
      <c r="G107" s="96"/>
      <c r="H107" s="96"/>
      <c r="I107" s="31"/>
      <c r="J107" s="31"/>
    </row>
    <row r="108" spans="2:10" ht="15" x14ac:dyDescent="0.25">
      <c r="B108" s="52" t="s">
        <v>390</v>
      </c>
      <c r="C108" s="52"/>
      <c r="D108" s="78"/>
      <c r="E108" s="46">
        <v>76</v>
      </c>
      <c r="F108" s="52"/>
      <c r="G108" s="96"/>
      <c r="H108" s="96"/>
      <c r="I108" s="31"/>
      <c r="J108" s="31"/>
    </row>
    <row r="109" spans="2:10" ht="15" x14ac:dyDescent="0.25">
      <c r="B109" s="52" t="s">
        <v>392</v>
      </c>
      <c r="C109" s="52"/>
      <c r="D109" s="78"/>
      <c r="E109" s="46">
        <v>130</v>
      </c>
      <c r="F109" s="52"/>
      <c r="G109" s="96"/>
      <c r="H109" s="96"/>
      <c r="I109" s="31"/>
      <c r="J109" s="31"/>
    </row>
    <row r="110" spans="2:10" ht="15" x14ac:dyDescent="0.25">
      <c r="B110" s="52"/>
      <c r="C110" s="52"/>
      <c r="D110" s="78"/>
      <c r="E110" s="57">
        <f>E105-E107+E106-E108+E109</f>
        <v>6397</v>
      </c>
      <c r="F110" s="52"/>
      <c r="G110" s="96"/>
      <c r="H110" s="96"/>
      <c r="I110" s="31"/>
      <c r="J110" s="31"/>
    </row>
    <row r="111" spans="2:10" ht="15" x14ac:dyDescent="0.25">
      <c r="B111" s="52" t="s">
        <v>156</v>
      </c>
      <c r="C111" s="52"/>
      <c r="D111" s="78"/>
      <c r="E111" s="46">
        <v>12845</v>
      </c>
      <c r="F111" s="52"/>
      <c r="G111" s="96"/>
      <c r="H111" s="96"/>
      <c r="I111" s="31"/>
      <c r="J111" s="31"/>
    </row>
    <row r="112" spans="2:10" ht="15.75" thickBot="1" x14ac:dyDescent="0.3">
      <c r="B112" s="52" t="s">
        <v>221</v>
      </c>
      <c r="C112" s="52"/>
      <c r="D112" s="78"/>
      <c r="E112" s="63">
        <f>E111-E110</f>
        <v>6448</v>
      </c>
      <c r="F112" s="52"/>
      <c r="G112" s="96"/>
      <c r="H112" s="96"/>
      <c r="I112" s="31"/>
      <c r="J112" s="31"/>
    </row>
    <row r="113" spans="2:10" ht="15.75" thickTop="1" x14ac:dyDescent="0.25">
      <c r="B113" s="52"/>
      <c r="C113" s="52"/>
      <c r="D113" s="78"/>
      <c r="E113" s="78"/>
      <c r="F113" s="52"/>
      <c r="G113" s="96"/>
      <c r="H113" s="96"/>
      <c r="I113" s="31"/>
      <c r="J113" s="31"/>
    </row>
    <row r="114" spans="2:10" ht="15" x14ac:dyDescent="0.25">
      <c r="B114" s="97" t="s">
        <v>225</v>
      </c>
      <c r="C114" s="105"/>
      <c r="D114" s="83"/>
      <c r="E114" s="83"/>
      <c r="F114" s="105"/>
      <c r="G114" s="96"/>
      <c r="H114" s="96"/>
      <c r="I114" s="31"/>
      <c r="J114" s="31"/>
    </row>
    <row r="115" spans="2:10" ht="15" x14ac:dyDescent="0.25">
      <c r="B115" s="52" t="s">
        <v>226</v>
      </c>
      <c r="C115" s="105"/>
      <c r="D115" s="83"/>
      <c r="E115" s="75">
        <v>76</v>
      </c>
      <c r="F115" s="105"/>
      <c r="G115" s="96"/>
      <c r="H115" s="96"/>
      <c r="I115" s="31"/>
      <c r="J115" s="31"/>
    </row>
    <row r="116" spans="2:10" ht="15" x14ac:dyDescent="0.25">
      <c r="B116" s="52" t="s">
        <v>347</v>
      </c>
      <c r="C116" s="105"/>
      <c r="D116" s="83"/>
      <c r="E116" s="75">
        <v>15</v>
      </c>
      <c r="F116" s="105"/>
      <c r="G116" s="96"/>
      <c r="H116" s="96"/>
      <c r="I116" s="31"/>
      <c r="J116" s="31"/>
    </row>
    <row r="117" spans="2:10" ht="15.75" thickBot="1" x14ac:dyDescent="0.3">
      <c r="B117" s="52" t="s">
        <v>225</v>
      </c>
      <c r="C117" s="105"/>
      <c r="D117" s="83"/>
      <c r="E117" s="63">
        <f>E115-E116</f>
        <v>61</v>
      </c>
      <c r="F117" s="105"/>
      <c r="G117" s="96"/>
      <c r="H117" s="96"/>
      <c r="I117" s="31"/>
      <c r="J117" s="31"/>
    </row>
    <row r="118" spans="2:10" ht="15.75" thickTop="1" x14ac:dyDescent="0.25">
      <c r="B118" s="105"/>
      <c r="C118" s="105"/>
      <c r="D118" s="83"/>
      <c r="E118" s="83"/>
      <c r="F118" s="105"/>
      <c r="G118" s="96"/>
      <c r="H118" s="96"/>
      <c r="I118" s="31"/>
      <c r="J118" s="31"/>
    </row>
    <row r="119" spans="2:10" ht="15" x14ac:dyDescent="0.25">
      <c r="B119" s="105"/>
      <c r="C119" s="105"/>
      <c r="D119" s="83"/>
      <c r="E119" s="83"/>
      <c r="F119" s="105"/>
      <c r="G119" s="96"/>
      <c r="H119" s="96"/>
      <c r="I119" s="31"/>
      <c r="J119" s="31"/>
    </row>
    <row r="120" spans="2:10" ht="15" x14ac:dyDescent="0.25">
      <c r="B120" s="97" t="s">
        <v>135</v>
      </c>
      <c r="C120" s="52"/>
      <c r="D120" s="78"/>
      <c r="E120" s="78"/>
      <c r="F120" s="52"/>
      <c r="G120" s="96"/>
      <c r="H120" s="96"/>
      <c r="I120" s="31"/>
      <c r="J120" s="31"/>
    </row>
    <row r="121" spans="2:10" ht="15" x14ac:dyDescent="0.25">
      <c r="B121" s="52" t="s">
        <v>300</v>
      </c>
      <c r="C121" s="52"/>
      <c r="D121" s="78"/>
      <c r="E121" s="36"/>
      <c r="F121" s="52"/>
      <c r="G121" s="96"/>
      <c r="H121" s="96"/>
      <c r="I121" s="31"/>
      <c r="J121" s="31"/>
    </row>
    <row r="122" spans="2:10" ht="15" x14ac:dyDescent="0.25">
      <c r="B122" s="52" t="s">
        <v>132</v>
      </c>
      <c r="C122" s="52"/>
      <c r="D122" s="78"/>
      <c r="E122" s="46">
        <v>3</v>
      </c>
      <c r="F122" s="52"/>
      <c r="G122" s="96"/>
      <c r="H122" s="96"/>
      <c r="I122" s="31"/>
      <c r="J122" s="31"/>
    </row>
    <row r="123" spans="2:10" ht="15" x14ac:dyDescent="0.25">
      <c r="B123" s="52" t="s">
        <v>396</v>
      </c>
      <c r="C123" s="52"/>
      <c r="D123" s="78"/>
      <c r="E123" s="46"/>
      <c r="F123" s="52"/>
      <c r="G123" s="96"/>
      <c r="H123" s="96"/>
      <c r="I123" s="31"/>
      <c r="J123" s="31"/>
    </row>
    <row r="124" spans="2:10" ht="15" x14ac:dyDescent="0.25">
      <c r="B124" s="52" t="s">
        <v>397</v>
      </c>
      <c r="C124" s="52"/>
      <c r="D124" s="78"/>
      <c r="E124" s="46"/>
      <c r="F124" s="52"/>
      <c r="G124" s="96"/>
      <c r="H124" s="96"/>
      <c r="I124" s="31"/>
      <c r="J124" s="31"/>
    </row>
    <row r="125" spans="2:10" ht="15" x14ac:dyDescent="0.25">
      <c r="B125" s="52"/>
      <c r="C125" s="52"/>
      <c r="D125" s="78"/>
      <c r="E125" s="73">
        <f>E121+E122+E124-E123</f>
        <v>3</v>
      </c>
      <c r="F125" s="52"/>
      <c r="G125" s="96"/>
      <c r="H125" s="96"/>
      <c r="I125" s="31"/>
      <c r="J125" s="31"/>
    </row>
    <row r="126" spans="2:10" ht="15" x14ac:dyDescent="0.25">
      <c r="B126" s="52" t="s">
        <v>301</v>
      </c>
      <c r="C126" s="52"/>
      <c r="D126" s="78"/>
      <c r="E126" s="36">
        <v>0</v>
      </c>
      <c r="F126" s="52"/>
      <c r="G126" s="96"/>
      <c r="H126" s="96"/>
      <c r="I126" s="31"/>
      <c r="J126" s="31"/>
    </row>
    <row r="127" spans="2:10" ht="15.75" thickBot="1" x14ac:dyDescent="0.3">
      <c r="B127" s="52" t="s">
        <v>135</v>
      </c>
      <c r="C127" s="52"/>
      <c r="D127" s="78"/>
      <c r="E127" s="63">
        <f>E125-E126</f>
        <v>3</v>
      </c>
      <c r="F127" s="52"/>
      <c r="G127" s="96"/>
      <c r="H127" s="96"/>
      <c r="I127" s="31"/>
      <c r="J127" s="31"/>
    </row>
    <row r="128" spans="2:10" ht="15.75" thickTop="1" x14ac:dyDescent="0.25">
      <c r="B128" s="52"/>
      <c r="C128" s="52"/>
      <c r="D128" s="78"/>
      <c r="E128" s="78"/>
      <c r="F128" s="52"/>
      <c r="G128" s="96"/>
      <c r="H128" s="96"/>
      <c r="I128" s="31"/>
      <c r="J128" s="31"/>
    </row>
    <row r="129" spans="2:10" ht="15" x14ac:dyDescent="0.25">
      <c r="B129" s="97" t="s">
        <v>147</v>
      </c>
      <c r="C129" s="52"/>
      <c r="D129" s="78"/>
      <c r="E129" s="78"/>
      <c r="F129" s="52"/>
      <c r="G129" s="96"/>
      <c r="H129" s="96"/>
      <c r="I129" s="31"/>
      <c r="J129" s="31"/>
    </row>
    <row r="130" spans="2:10" ht="15" x14ac:dyDescent="0.25">
      <c r="B130" s="52" t="s">
        <v>143</v>
      </c>
      <c r="C130" s="52"/>
      <c r="D130" s="78"/>
      <c r="E130" s="74">
        <v>4637</v>
      </c>
      <c r="F130" s="52"/>
      <c r="G130" s="96"/>
      <c r="H130" s="96"/>
      <c r="I130" s="31"/>
      <c r="J130" s="31"/>
    </row>
    <row r="131" spans="2:10" ht="15" x14ac:dyDescent="0.25">
      <c r="B131" s="52" t="s">
        <v>305</v>
      </c>
      <c r="C131" s="52"/>
      <c r="D131" s="78"/>
      <c r="E131" s="74">
        <v>4706</v>
      </c>
      <c r="F131" s="52"/>
      <c r="G131" s="96"/>
      <c r="H131" s="96"/>
      <c r="I131" s="31"/>
      <c r="J131" s="31"/>
    </row>
    <row r="132" spans="2:10" ht="15" x14ac:dyDescent="0.25">
      <c r="B132" s="52" t="s">
        <v>455</v>
      </c>
      <c r="C132" s="52"/>
      <c r="D132" s="78"/>
      <c r="E132" s="74"/>
      <c r="F132" s="52"/>
      <c r="G132" s="96"/>
      <c r="H132" s="96"/>
      <c r="I132" s="31"/>
      <c r="J132" s="31"/>
    </row>
    <row r="133" spans="2:10" ht="15" x14ac:dyDescent="0.25">
      <c r="B133" s="52" t="s">
        <v>398</v>
      </c>
      <c r="C133" s="52"/>
      <c r="D133" s="78"/>
      <c r="E133" s="74"/>
      <c r="F133" s="106" t="s">
        <v>456</v>
      </c>
      <c r="G133" s="96"/>
      <c r="H133" s="96"/>
      <c r="I133" s="31"/>
      <c r="J133" s="31"/>
    </row>
    <row r="134" spans="2:10" ht="15" x14ac:dyDescent="0.25">
      <c r="B134" s="52"/>
      <c r="C134" s="52"/>
      <c r="D134" s="78"/>
      <c r="E134" s="57">
        <f>E130+E131-E132+E133</f>
        <v>9343</v>
      </c>
      <c r="F134" s="52"/>
      <c r="G134" s="31"/>
      <c r="H134" s="31"/>
      <c r="I134" s="31"/>
      <c r="J134" s="31"/>
    </row>
    <row r="135" spans="2:10" ht="15" x14ac:dyDescent="0.25">
      <c r="B135" s="52" t="s">
        <v>233</v>
      </c>
      <c r="C135" s="52"/>
      <c r="D135" s="78"/>
      <c r="E135" s="74">
        <v>7343</v>
      </c>
      <c r="F135" s="52"/>
      <c r="G135" s="31"/>
      <c r="H135" s="31"/>
      <c r="I135" s="31"/>
      <c r="J135" s="31"/>
    </row>
    <row r="136" spans="2:10" ht="15.75" thickBot="1" x14ac:dyDescent="0.3">
      <c r="B136" s="52" t="s">
        <v>147</v>
      </c>
      <c r="C136" s="52"/>
      <c r="D136" s="78"/>
      <c r="E136" s="77">
        <f>-(E135-E134)</f>
        <v>2000</v>
      </c>
      <c r="F136" s="52"/>
      <c r="G136" s="31"/>
      <c r="H136" s="31"/>
      <c r="I136" s="31"/>
      <c r="J136" s="31"/>
    </row>
    <row r="137" spans="2:10" ht="15.75" thickTop="1" x14ac:dyDescent="0.25">
      <c r="B137" s="52"/>
      <c r="C137" s="52"/>
      <c r="D137" s="78"/>
      <c r="E137" s="78"/>
      <c r="F137" s="52"/>
      <c r="G137" s="31"/>
      <c r="H137" s="31"/>
      <c r="I137" s="31"/>
      <c r="J137" s="31"/>
    </row>
    <row r="138" spans="2:10" ht="15" x14ac:dyDescent="0.25">
      <c r="B138" s="52"/>
      <c r="C138" s="52"/>
      <c r="D138" s="78"/>
      <c r="E138" s="78"/>
      <c r="F138" s="52"/>
      <c r="G138" s="31"/>
      <c r="H138" s="31"/>
      <c r="I138" s="31"/>
      <c r="J138" s="31"/>
    </row>
    <row r="139" spans="2:10" ht="15" x14ac:dyDescent="0.25">
      <c r="B139" s="97" t="s">
        <v>386</v>
      </c>
      <c r="C139" s="52"/>
      <c r="D139" s="78"/>
      <c r="E139" s="36">
        <v>5</v>
      </c>
      <c r="F139" s="52"/>
      <c r="G139" s="31"/>
      <c r="H139" s="31"/>
      <c r="I139" s="31"/>
      <c r="J139" s="31"/>
    </row>
    <row r="140" spans="2:10" ht="15" x14ac:dyDescent="0.25">
      <c r="B140" s="52"/>
      <c r="C140" s="52"/>
      <c r="D140" s="78"/>
      <c r="E140" s="78"/>
      <c r="F140" s="52"/>
      <c r="G140" s="31"/>
      <c r="H140" s="31"/>
      <c r="I140" s="31"/>
      <c r="J140" s="31"/>
    </row>
    <row r="141" spans="2:10" ht="15" x14ac:dyDescent="0.25">
      <c r="B141" s="97" t="s">
        <v>399</v>
      </c>
      <c r="C141" s="105"/>
      <c r="D141" s="83"/>
      <c r="E141" s="83"/>
      <c r="F141" s="105"/>
      <c r="G141" s="31"/>
      <c r="H141" s="31"/>
      <c r="I141" s="31"/>
      <c r="J141" s="31"/>
    </row>
    <row r="142" spans="2:10" ht="15" x14ac:dyDescent="0.25">
      <c r="B142" s="52" t="s">
        <v>182</v>
      </c>
      <c r="C142" s="105"/>
      <c r="D142" s="83"/>
      <c r="E142" s="67"/>
      <c r="F142" s="105"/>
      <c r="G142" s="31"/>
      <c r="H142" s="31"/>
      <c r="I142" s="31"/>
      <c r="J142" s="31"/>
    </row>
    <row r="143" spans="2:10" ht="15" x14ac:dyDescent="0.25">
      <c r="B143" s="52" t="s">
        <v>349</v>
      </c>
      <c r="C143" s="105"/>
      <c r="D143" s="83"/>
      <c r="E143" s="36">
        <f>1500*2-50</f>
        <v>2950</v>
      </c>
      <c r="F143" s="105"/>
      <c r="G143" s="31"/>
      <c r="H143" s="31"/>
      <c r="I143" s="31"/>
      <c r="J143" s="31"/>
    </row>
    <row r="144" spans="2:10" ht="15" x14ac:dyDescent="0.25">
      <c r="B144" s="52"/>
      <c r="C144" s="105"/>
      <c r="D144" s="83"/>
      <c r="E144" s="57">
        <f>SUM(E142:E143)</f>
        <v>2950</v>
      </c>
      <c r="F144" s="105"/>
      <c r="G144" s="31"/>
      <c r="H144" s="31"/>
      <c r="I144" s="31"/>
      <c r="J144" s="31"/>
    </row>
    <row r="145" spans="2:10" ht="15" x14ac:dyDescent="0.25">
      <c r="B145" s="52" t="s">
        <v>184</v>
      </c>
      <c r="C145" s="105"/>
      <c r="D145" s="83"/>
      <c r="E145" s="74"/>
      <c r="F145" s="105"/>
      <c r="G145" s="31"/>
      <c r="H145" s="31"/>
      <c r="I145" s="31"/>
      <c r="J145" s="31"/>
    </row>
    <row r="146" spans="2:10" ht="15.75" thickBot="1" x14ac:dyDescent="0.3">
      <c r="B146" s="52" t="s">
        <v>399</v>
      </c>
      <c r="C146" s="105"/>
      <c r="D146" s="83"/>
      <c r="E146" s="77">
        <f>E145-E144</f>
        <v>-2950</v>
      </c>
      <c r="F146" s="105"/>
      <c r="G146" s="31"/>
      <c r="H146" s="31"/>
      <c r="I146" s="31"/>
      <c r="J146" s="31"/>
    </row>
    <row r="147" spans="2:10" ht="15.75" thickTop="1" x14ac:dyDescent="0.2">
      <c r="B147" s="105"/>
      <c r="C147" s="105"/>
      <c r="D147" s="83"/>
      <c r="E147" s="83"/>
      <c r="F147" s="105"/>
      <c r="G147" s="31"/>
      <c r="H147" s="31"/>
      <c r="I147" s="31"/>
      <c r="J147" s="31"/>
    </row>
    <row r="148" spans="2:10" ht="15" x14ac:dyDescent="0.25">
      <c r="B148" s="97" t="s">
        <v>402</v>
      </c>
      <c r="C148" s="105"/>
      <c r="D148" s="83"/>
      <c r="E148" s="83"/>
      <c r="F148" s="105"/>
      <c r="G148" s="31"/>
      <c r="H148" s="31"/>
      <c r="I148" s="31"/>
      <c r="J148" s="31"/>
    </row>
    <row r="149" spans="2:10" ht="15" x14ac:dyDescent="0.25">
      <c r="B149" s="52" t="s">
        <v>230</v>
      </c>
      <c r="C149" s="105"/>
      <c r="D149" s="83"/>
      <c r="E149" s="75"/>
      <c r="F149" s="105"/>
      <c r="G149" s="31"/>
      <c r="H149" s="31"/>
      <c r="I149" s="31"/>
      <c r="J149" s="31"/>
    </row>
    <row r="150" spans="2:10" ht="15" x14ac:dyDescent="0.25">
      <c r="B150" s="52" t="s">
        <v>353</v>
      </c>
      <c r="C150" s="105"/>
      <c r="D150" s="83"/>
      <c r="E150" s="75"/>
      <c r="F150" s="105"/>
      <c r="G150" s="31"/>
      <c r="H150" s="31"/>
      <c r="I150" s="31"/>
      <c r="J150" s="31"/>
    </row>
    <row r="151" spans="2:10" ht="15.75" thickBot="1" x14ac:dyDescent="0.3">
      <c r="B151" s="52" t="s">
        <v>404</v>
      </c>
      <c r="C151" s="105"/>
      <c r="D151" s="83"/>
      <c r="E151" s="77">
        <f>E150-E149</f>
        <v>0</v>
      </c>
      <c r="F151" s="105"/>
      <c r="G151" s="31"/>
      <c r="H151" s="31"/>
      <c r="I151" s="31"/>
      <c r="J151" s="31"/>
    </row>
    <row r="152" spans="2:10" ht="15.75" thickTop="1" x14ac:dyDescent="0.25">
      <c r="B152" s="52"/>
      <c r="C152" s="105"/>
      <c r="D152" s="83"/>
      <c r="E152" s="78"/>
      <c r="F152" s="105"/>
      <c r="G152" s="31"/>
      <c r="H152" s="31"/>
      <c r="I152" s="31"/>
      <c r="J152" s="31"/>
    </row>
    <row r="153" spans="2:10" ht="15" x14ac:dyDescent="0.25">
      <c r="B153" s="97" t="s">
        <v>354</v>
      </c>
      <c r="C153" s="105"/>
      <c r="D153" s="83"/>
      <c r="E153" s="83"/>
      <c r="F153" s="105"/>
      <c r="G153" s="31"/>
      <c r="H153" s="31"/>
      <c r="I153" s="31"/>
      <c r="J153" s="31"/>
    </row>
    <row r="154" spans="2:10" ht="15" x14ac:dyDescent="0.25">
      <c r="B154" s="52" t="s">
        <v>405</v>
      </c>
      <c r="C154" s="105"/>
      <c r="D154" s="83"/>
      <c r="E154" s="75">
        <v>25</v>
      </c>
      <c r="F154" s="105"/>
      <c r="G154" s="31"/>
      <c r="H154" s="31"/>
      <c r="I154" s="31"/>
      <c r="J154" s="31"/>
    </row>
    <row r="155" spans="2:10" ht="15" x14ac:dyDescent="0.25">
      <c r="B155" s="52" t="s">
        <v>406</v>
      </c>
      <c r="C155" s="105"/>
      <c r="D155" s="83"/>
      <c r="E155" s="75">
        <v>10</v>
      </c>
      <c r="F155" s="105"/>
      <c r="G155" s="31"/>
      <c r="H155" s="31"/>
      <c r="I155" s="31"/>
      <c r="J155" s="31"/>
    </row>
    <row r="156" spans="2:10" ht="15" x14ac:dyDescent="0.2">
      <c r="B156" s="105"/>
      <c r="C156" s="105"/>
      <c r="D156" s="83"/>
      <c r="E156" s="81">
        <f>SUM(E154:E155)</f>
        <v>35</v>
      </c>
      <c r="F156" s="105"/>
      <c r="G156" s="31"/>
      <c r="H156" s="31"/>
      <c r="I156" s="31"/>
      <c r="J156" s="31"/>
    </row>
    <row r="157" spans="2:10" ht="15" x14ac:dyDescent="0.25">
      <c r="B157" s="52" t="s">
        <v>297</v>
      </c>
      <c r="C157" s="105"/>
      <c r="D157" s="83"/>
      <c r="E157" s="75">
        <v>60</v>
      </c>
      <c r="F157" s="105"/>
      <c r="G157" s="31"/>
      <c r="H157" s="31"/>
      <c r="I157" s="31"/>
      <c r="J157" s="31"/>
    </row>
    <row r="158" spans="2:10" ht="15.75" thickBot="1" x14ac:dyDescent="0.3">
      <c r="B158" s="52" t="s">
        <v>354</v>
      </c>
      <c r="C158" s="105"/>
      <c r="D158" s="83"/>
      <c r="E158" s="82">
        <f>E157-E156</f>
        <v>25</v>
      </c>
      <c r="F158" s="105"/>
      <c r="G158" s="31"/>
      <c r="H158" s="31"/>
      <c r="I158" s="31"/>
      <c r="J158" s="31"/>
    </row>
    <row r="159" spans="2:10" ht="15.75" thickTop="1" x14ac:dyDescent="0.2">
      <c r="B159" s="105"/>
      <c r="C159" s="105"/>
      <c r="D159" s="83"/>
      <c r="E159" s="83"/>
      <c r="F159" s="105"/>
      <c r="G159" s="31"/>
      <c r="H159" s="31"/>
      <c r="I159" s="31"/>
      <c r="J159" s="31"/>
    </row>
    <row r="160" spans="2:10" ht="15" x14ac:dyDescent="0.2">
      <c r="B160" s="105"/>
      <c r="C160" s="105"/>
      <c r="D160" s="83"/>
      <c r="E160" s="83"/>
      <c r="F160" s="105"/>
      <c r="G160" s="31"/>
      <c r="H160" s="31"/>
      <c r="I160" s="31"/>
      <c r="J160" s="31"/>
    </row>
    <row r="161" spans="2:10" ht="15" x14ac:dyDescent="0.25">
      <c r="B161" s="97" t="s">
        <v>414</v>
      </c>
      <c r="C161" s="105"/>
      <c r="D161" s="83"/>
      <c r="E161" s="83"/>
      <c r="F161" s="105"/>
      <c r="G161" s="31"/>
      <c r="H161" s="31"/>
      <c r="I161" s="31"/>
      <c r="J161" s="31"/>
    </row>
    <row r="162" spans="2:10" ht="15" x14ac:dyDescent="0.25">
      <c r="B162" s="52" t="s">
        <v>195</v>
      </c>
      <c r="C162" s="105"/>
      <c r="D162" s="83"/>
      <c r="E162" s="36"/>
      <c r="F162" s="105"/>
      <c r="G162" s="31"/>
      <c r="H162" s="31"/>
      <c r="I162" s="31"/>
      <c r="J162" s="31"/>
    </row>
    <row r="163" spans="2:10" ht="15" x14ac:dyDescent="0.25">
      <c r="B163" s="52" t="s">
        <v>304</v>
      </c>
      <c r="C163" s="105"/>
      <c r="D163" s="83"/>
      <c r="E163" s="36"/>
      <c r="F163" s="105"/>
      <c r="G163" s="31"/>
      <c r="H163" s="31"/>
      <c r="I163" s="31"/>
      <c r="J163" s="31"/>
    </row>
    <row r="164" spans="2:10" ht="15.75" thickBot="1" x14ac:dyDescent="0.3">
      <c r="B164" s="52" t="s">
        <v>414</v>
      </c>
      <c r="C164" s="105"/>
      <c r="D164" s="83"/>
      <c r="E164" s="82">
        <f>E162-E163</f>
        <v>0</v>
      </c>
      <c r="F164" s="105"/>
      <c r="G164" s="31"/>
      <c r="H164" s="31"/>
      <c r="I164" s="31"/>
      <c r="J164" s="31"/>
    </row>
    <row r="165" spans="2:10" ht="15.75" thickTop="1" x14ac:dyDescent="0.2">
      <c r="B165" s="105"/>
      <c r="C165" s="105"/>
      <c r="D165" s="83"/>
      <c r="E165" s="83"/>
      <c r="F165" s="105"/>
      <c r="G165" s="31"/>
      <c r="H165" s="31"/>
      <c r="I165" s="31"/>
      <c r="J165" s="31"/>
    </row>
    <row r="166" spans="2:10" ht="15" x14ac:dyDescent="0.2">
      <c r="B166" s="105"/>
      <c r="C166" s="105"/>
      <c r="D166" s="83"/>
      <c r="E166" s="83"/>
      <c r="F166" s="105"/>
      <c r="G166" s="31"/>
      <c r="H166" s="31"/>
      <c r="I166" s="31"/>
      <c r="J166" s="31"/>
    </row>
    <row r="167" spans="2:10" ht="15.75" x14ac:dyDescent="0.2">
      <c r="B167" s="107" t="s">
        <v>408</v>
      </c>
      <c r="C167" s="105"/>
      <c r="D167" s="83"/>
      <c r="E167" s="83"/>
      <c r="F167" s="105"/>
      <c r="G167" s="31"/>
      <c r="H167" s="31"/>
      <c r="I167" s="31"/>
      <c r="J167" s="31"/>
    </row>
    <row r="168" spans="2:10" ht="15" x14ac:dyDescent="0.25">
      <c r="B168" s="52" t="s">
        <v>405</v>
      </c>
      <c r="C168" s="105"/>
      <c r="D168" s="83"/>
      <c r="E168" s="75"/>
      <c r="F168" s="105"/>
      <c r="G168" s="31"/>
      <c r="H168" s="31"/>
      <c r="I168" s="31"/>
      <c r="J168" s="31"/>
    </row>
    <row r="169" spans="2:10" ht="15" x14ac:dyDescent="0.25">
      <c r="B169" s="52" t="s">
        <v>457</v>
      </c>
      <c r="C169" s="105"/>
      <c r="D169" s="83"/>
      <c r="E169" s="75"/>
      <c r="F169" s="105"/>
      <c r="G169" s="31"/>
      <c r="H169" s="31"/>
      <c r="I169" s="31"/>
      <c r="J169" s="31"/>
    </row>
    <row r="170" spans="2:10" ht="15" x14ac:dyDescent="0.25">
      <c r="B170" s="52"/>
      <c r="C170" s="105"/>
      <c r="D170" s="83"/>
      <c r="E170" s="81">
        <f>SUM(E168:E169)</f>
        <v>0</v>
      </c>
      <c r="F170" s="105"/>
      <c r="G170" s="31"/>
      <c r="H170" s="31"/>
      <c r="I170" s="31"/>
      <c r="J170" s="31"/>
    </row>
    <row r="171" spans="2:10" ht="15" x14ac:dyDescent="0.25">
      <c r="B171" s="52" t="s">
        <v>297</v>
      </c>
      <c r="C171" s="105"/>
      <c r="D171" s="83"/>
      <c r="E171" s="75"/>
      <c r="F171" s="105"/>
      <c r="G171" s="31"/>
      <c r="H171" s="31"/>
      <c r="I171" s="31"/>
      <c r="J171" s="31"/>
    </row>
    <row r="172" spans="2:10" ht="15" x14ac:dyDescent="0.25">
      <c r="B172" s="52" t="s">
        <v>412</v>
      </c>
      <c r="C172" s="105"/>
      <c r="D172" s="83"/>
      <c r="E172" s="83">
        <f>E170-E171</f>
        <v>0</v>
      </c>
      <c r="F172" s="105"/>
      <c r="G172" s="31"/>
      <c r="H172" s="31"/>
      <c r="I172" s="31"/>
      <c r="J172" s="31"/>
    </row>
    <row r="173" spans="2:10" ht="15" x14ac:dyDescent="0.25">
      <c r="B173" s="52" t="s">
        <v>413</v>
      </c>
      <c r="C173" s="105"/>
      <c r="D173" s="83"/>
      <c r="E173" s="75"/>
      <c r="F173" s="105"/>
      <c r="G173" s="31"/>
      <c r="H173" s="31"/>
      <c r="I173" s="31"/>
      <c r="J173" s="31"/>
    </row>
    <row r="174" spans="2:10" ht="15.75" thickBot="1" x14ac:dyDescent="0.3">
      <c r="B174" s="52" t="s">
        <v>408</v>
      </c>
      <c r="C174" s="105"/>
      <c r="D174" s="83"/>
      <c r="E174" s="82">
        <f>E173+E172</f>
        <v>0</v>
      </c>
      <c r="F174" s="105"/>
      <c r="G174" s="31"/>
      <c r="H174" s="31"/>
      <c r="I174" s="31"/>
      <c r="J174" s="31"/>
    </row>
    <row r="175" spans="2:10" ht="15.75" thickTop="1" x14ac:dyDescent="0.2">
      <c r="B175" s="105"/>
      <c r="C175" s="105"/>
      <c r="D175" s="83"/>
      <c r="E175" s="83"/>
      <c r="F175" s="105"/>
      <c r="G175" s="31"/>
      <c r="H175" s="31"/>
      <c r="I175" s="31"/>
      <c r="J175" s="31"/>
    </row>
    <row r="176" spans="2:10" ht="15" x14ac:dyDescent="0.2">
      <c r="B176" s="105"/>
      <c r="C176" s="105"/>
      <c r="D176" s="83"/>
      <c r="E176" s="83"/>
      <c r="F176" s="105"/>
      <c r="G176" s="31"/>
      <c r="H176" s="31"/>
      <c r="I176" s="31"/>
      <c r="J176" s="31"/>
    </row>
    <row r="177" spans="2:17" ht="15.75" x14ac:dyDescent="0.2">
      <c r="B177" s="107" t="s">
        <v>416</v>
      </c>
      <c r="C177" s="105"/>
      <c r="D177" s="83"/>
      <c r="E177" s="83"/>
      <c r="F177" s="105"/>
      <c r="G177" s="31"/>
      <c r="H177" s="31"/>
      <c r="I177" s="31"/>
      <c r="J177" s="31"/>
    </row>
    <row r="178" spans="2:17" ht="15" x14ac:dyDescent="0.25">
      <c r="B178" s="52" t="s">
        <v>417</v>
      </c>
      <c r="C178" s="105"/>
      <c r="D178" s="83"/>
      <c r="E178" s="75">
        <f>132+65</f>
        <v>197</v>
      </c>
      <c r="F178" s="105"/>
      <c r="G178" s="31"/>
      <c r="H178" s="31"/>
      <c r="I178" s="31"/>
      <c r="J178" s="31"/>
    </row>
    <row r="179" spans="2:17" ht="15" x14ac:dyDescent="0.25">
      <c r="B179" s="52" t="s">
        <v>418</v>
      </c>
      <c r="C179" s="105"/>
      <c r="D179" s="83"/>
      <c r="E179" s="75">
        <v>130</v>
      </c>
      <c r="F179" s="105"/>
      <c r="G179" s="31"/>
      <c r="H179" s="31"/>
      <c r="I179" s="31"/>
      <c r="J179" s="31"/>
    </row>
    <row r="180" spans="2:17" ht="15" x14ac:dyDescent="0.25">
      <c r="B180" s="52"/>
      <c r="C180" s="105"/>
      <c r="D180" s="83"/>
      <c r="E180" s="108">
        <f>E178+E179</f>
        <v>327</v>
      </c>
      <c r="F180" s="105"/>
      <c r="G180" s="31"/>
      <c r="H180" s="31"/>
      <c r="I180" s="31"/>
      <c r="J180" s="31"/>
    </row>
    <row r="181" spans="2:17" ht="15" x14ac:dyDescent="0.25">
      <c r="B181" s="52" t="s">
        <v>419</v>
      </c>
      <c r="C181" s="105"/>
      <c r="D181" s="83"/>
      <c r="E181" s="75">
        <f>154+80</f>
        <v>234</v>
      </c>
      <c r="F181" s="105"/>
      <c r="G181" s="31"/>
      <c r="H181" s="31"/>
      <c r="I181" s="31"/>
      <c r="J181" s="31"/>
    </row>
    <row r="182" spans="2:17" ht="15.75" thickBot="1" x14ac:dyDescent="0.3">
      <c r="B182" s="52" t="s">
        <v>393</v>
      </c>
      <c r="C182" s="105"/>
      <c r="D182" s="83"/>
      <c r="E182" s="82">
        <f>E180-E181</f>
        <v>93</v>
      </c>
      <c r="F182" s="105"/>
      <c r="G182" s="31"/>
      <c r="H182" s="31"/>
      <c r="I182" s="31"/>
      <c r="J182" s="31"/>
    </row>
    <row r="183" spans="2:17" ht="15.75" thickTop="1" x14ac:dyDescent="0.2">
      <c r="I183" s="31"/>
      <c r="J183" s="31"/>
    </row>
    <row r="184" spans="2:17" ht="15.75" x14ac:dyDescent="0.2">
      <c r="B184" s="29" t="s">
        <v>308</v>
      </c>
      <c r="C184" s="109" t="s">
        <v>435</v>
      </c>
      <c r="D184" s="30"/>
      <c r="E184" s="30"/>
      <c r="F184" s="31"/>
      <c r="G184" s="31"/>
      <c r="H184" s="31"/>
      <c r="I184" s="31"/>
      <c r="J184" s="31"/>
    </row>
    <row r="185" spans="2:17" ht="15.75" x14ac:dyDescent="0.2">
      <c r="B185" s="33" t="s">
        <v>309</v>
      </c>
      <c r="C185" s="110"/>
      <c r="D185" s="30"/>
      <c r="E185" s="30"/>
      <c r="F185" s="31"/>
      <c r="G185" s="31"/>
      <c r="H185" s="31"/>
      <c r="I185" s="31"/>
      <c r="J185" s="31"/>
    </row>
    <row r="186" spans="2:17" ht="16.5" thickBot="1" x14ac:dyDescent="0.25">
      <c r="B186" s="35" t="s">
        <v>422</v>
      </c>
      <c r="C186" s="111"/>
      <c r="D186" s="30"/>
      <c r="E186" s="30"/>
      <c r="F186" s="31"/>
      <c r="G186" s="31"/>
      <c r="H186" s="31"/>
      <c r="I186" s="31"/>
      <c r="J186" s="31"/>
    </row>
    <row r="187" spans="2:17" ht="15.75" x14ac:dyDescent="0.2">
      <c r="B187" s="37"/>
      <c r="C187" s="93" t="s">
        <v>436</v>
      </c>
      <c r="D187" s="38" t="s">
        <v>148</v>
      </c>
      <c r="E187" s="38" t="s">
        <v>148</v>
      </c>
      <c r="F187" s="31"/>
      <c r="G187" s="31"/>
      <c r="H187" s="31"/>
      <c r="I187" s="31"/>
      <c r="J187" s="31"/>
      <c r="K187" s="105"/>
      <c r="L187" s="105"/>
      <c r="M187" s="105"/>
      <c r="N187" s="105"/>
      <c r="O187" s="105"/>
      <c r="P187" s="31"/>
      <c r="Q187" s="31"/>
    </row>
    <row r="188" spans="2:17" ht="15.75" x14ac:dyDescent="0.2">
      <c r="B188" s="33" t="s">
        <v>236</v>
      </c>
      <c r="C188" s="95"/>
      <c r="D188" s="39"/>
      <c r="E188" s="39"/>
      <c r="F188" s="31"/>
      <c r="G188" s="31"/>
      <c r="H188" s="31"/>
      <c r="I188" s="31"/>
      <c r="J188" s="31"/>
      <c r="K188" s="105"/>
      <c r="L188" s="105"/>
      <c r="M188" s="105"/>
      <c r="N188" s="105"/>
      <c r="O188" s="105"/>
      <c r="P188" s="31"/>
      <c r="Q188" s="31"/>
    </row>
    <row r="189" spans="2:17" ht="15" x14ac:dyDescent="0.2">
      <c r="B189" s="37" t="str">
        <f>IF(D189&gt;0,"Cash receipts from customers","Cashpaidtocustomers")</f>
        <v>Cash receipts from customers</v>
      </c>
      <c r="C189" s="95"/>
      <c r="D189" s="41">
        <f>C82</f>
        <v>42835</v>
      </c>
      <c r="E189" s="42"/>
      <c r="F189" s="31"/>
      <c r="G189" s="31"/>
      <c r="H189" s="31"/>
      <c r="I189" s="31"/>
      <c r="J189" s="31"/>
      <c r="K189" s="105"/>
      <c r="L189" s="105"/>
      <c r="M189" s="105"/>
      <c r="N189" s="105"/>
      <c r="O189" s="105"/>
      <c r="P189" s="31"/>
      <c r="Q189" s="31"/>
    </row>
    <row r="190" spans="2:17" ht="15" x14ac:dyDescent="0.2">
      <c r="B190" s="37" t="str">
        <f>IF(D190&lt;0,"Cash paid to suppliers and employees","Cash received from suppliers")</f>
        <v>Cash paid to suppliers and employees</v>
      </c>
      <c r="C190" s="95"/>
      <c r="D190" s="56">
        <f>-E82</f>
        <v>-34684</v>
      </c>
      <c r="E190" s="42"/>
      <c r="F190" s="31"/>
      <c r="G190" s="31"/>
      <c r="H190" s="31"/>
      <c r="I190" s="31"/>
      <c r="J190" s="31"/>
      <c r="K190" s="105"/>
      <c r="L190" s="105"/>
      <c r="M190" s="105"/>
      <c r="N190" s="105"/>
      <c r="O190" s="105"/>
      <c r="P190" s="31"/>
      <c r="Q190" s="31"/>
    </row>
    <row r="191" spans="2:17" ht="15" x14ac:dyDescent="0.2">
      <c r="B191" s="37" t="s">
        <v>80</v>
      </c>
      <c r="C191" s="95"/>
      <c r="D191" s="55">
        <f>D189+D190</f>
        <v>8151</v>
      </c>
      <c r="E191" s="42"/>
      <c r="F191" s="31"/>
      <c r="G191" s="31"/>
      <c r="H191" s="31"/>
      <c r="I191" s="31"/>
      <c r="J191" s="31"/>
      <c r="K191" s="105"/>
      <c r="L191" s="105"/>
      <c r="M191" s="105"/>
      <c r="N191" s="105"/>
      <c r="O191" s="105"/>
      <c r="P191" s="31"/>
      <c r="Q191" s="31"/>
    </row>
    <row r="192" spans="2:17" ht="15" x14ac:dyDescent="0.2">
      <c r="B192" s="37" t="s">
        <v>215</v>
      </c>
      <c r="C192" s="95" t="s">
        <v>438</v>
      </c>
      <c r="D192" s="41">
        <f>-E93</f>
        <v>-51</v>
      </c>
      <c r="E192" s="42"/>
      <c r="F192" s="31"/>
      <c r="G192" s="31"/>
      <c r="H192" s="31"/>
      <c r="I192" s="31"/>
      <c r="J192" s="31"/>
      <c r="K192" s="105"/>
      <c r="L192" s="105"/>
      <c r="M192" s="105"/>
      <c r="N192" s="105"/>
      <c r="O192" s="105"/>
      <c r="P192" s="31"/>
      <c r="Q192" s="31"/>
    </row>
    <row r="193" spans="2:8" ht="15" x14ac:dyDescent="0.2">
      <c r="B193" s="37" t="s">
        <v>117</v>
      </c>
      <c r="C193" s="95"/>
      <c r="D193" s="56">
        <f>-E102</f>
        <v>-1770</v>
      </c>
      <c r="E193" s="42"/>
      <c r="F193" s="31"/>
      <c r="G193" s="31"/>
      <c r="H193" s="31"/>
    </row>
    <row r="194" spans="2:8" ht="15" x14ac:dyDescent="0.2">
      <c r="B194" s="58" t="s">
        <v>424</v>
      </c>
      <c r="C194" s="95" t="s">
        <v>439</v>
      </c>
      <c r="D194" s="59"/>
      <c r="E194" s="60">
        <f>SUM(D191:D193)</f>
        <v>6330</v>
      </c>
      <c r="F194" s="31"/>
      <c r="G194" s="31"/>
      <c r="H194" s="31"/>
    </row>
    <row r="195" spans="2:8" ht="15" x14ac:dyDescent="0.2">
      <c r="B195" s="37"/>
      <c r="C195" s="95"/>
      <c r="D195" s="42"/>
      <c r="E195" s="42"/>
      <c r="F195" s="31"/>
      <c r="G195" s="31"/>
      <c r="H195" s="31"/>
    </row>
    <row r="196" spans="2:8" ht="15.75" x14ac:dyDescent="0.2">
      <c r="B196" s="33" t="s">
        <v>318</v>
      </c>
      <c r="C196" s="95" t="s">
        <v>440</v>
      </c>
      <c r="D196" s="42"/>
      <c r="E196" s="42"/>
      <c r="F196" s="31"/>
      <c r="G196" s="31"/>
      <c r="H196" s="31"/>
    </row>
    <row r="197" spans="2:8" ht="15" x14ac:dyDescent="0.2">
      <c r="B197" s="37" t="s">
        <v>381</v>
      </c>
      <c r="C197" s="95"/>
      <c r="D197" s="41"/>
      <c r="E197" s="42"/>
      <c r="F197" s="31"/>
      <c r="G197" s="31"/>
      <c r="H197" s="31"/>
    </row>
    <row r="198" spans="2:8" ht="15" x14ac:dyDescent="0.2">
      <c r="B198" s="37" t="s">
        <v>382</v>
      </c>
      <c r="C198" s="95"/>
      <c r="D198" s="41"/>
      <c r="E198" s="42"/>
      <c r="F198" s="31"/>
      <c r="G198" s="31"/>
      <c r="H198" s="31"/>
    </row>
    <row r="199" spans="2:8" ht="15" x14ac:dyDescent="0.2">
      <c r="B199" s="37" t="s">
        <v>319</v>
      </c>
      <c r="C199" s="95" t="s">
        <v>442</v>
      </c>
      <c r="D199" s="41">
        <f>-+E112</f>
        <v>-6448</v>
      </c>
      <c r="E199" s="42"/>
      <c r="F199" s="31"/>
      <c r="G199" s="31"/>
      <c r="H199" s="31"/>
    </row>
    <row r="200" spans="2:8" ht="15" x14ac:dyDescent="0.2">
      <c r="B200" s="37" t="s">
        <v>320</v>
      </c>
      <c r="C200" s="95" t="s">
        <v>442</v>
      </c>
      <c r="D200" s="41">
        <f>+E117</f>
        <v>61</v>
      </c>
      <c r="E200" s="42"/>
      <c r="F200" s="31"/>
      <c r="G200" s="31"/>
      <c r="H200" s="31"/>
    </row>
    <row r="201" spans="2:8" ht="15" x14ac:dyDescent="0.2">
      <c r="B201" s="37" t="s">
        <v>321</v>
      </c>
      <c r="C201" s="95" t="s">
        <v>445</v>
      </c>
      <c r="D201" s="41">
        <f>-+E158</f>
        <v>-25</v>
      </c>
      <c r="E201" s="42"/>
      <c r="F201" s="31"/>
      <c r="G201" s="31"/>
      <c r="H201" s="31"/>
    </row>
    <row r="202" spans="2:8" ht="15" x14ac:dyDescent="0.2">
      <c r="B202" s="37" t="s">
        <v>384</v>
      </c>
      <c r="C202" s="95" t="s">
        <v>445</v>
      </c>
      <c r="D202" s="41"/>
      <c r="E202" s="42"/>
      <c r="F202" s="31"/>
      <c r="G202" s="31"/>
      <c r="H202" s="31"/>
    </row>
    <row r="203" spans="2:8" ht="15" x14ac:dyDescent="0.2">
      <c r="B203" s="37" t="s">
        <v>135</v>
      </c>
      <c r="C203" s="95" t="s">
        <v>448</v>
      </c>
      <c r="D203" s="41">
        <f>+E127</f>
        <v>3</v>
      </c>
      <c r="E203" s="42"/>
      <c r="F203" s="31"/>
      <c r="G203" s="31"/>
      <c r="H203" s="31"/>
    </row>
    <row r="204" spans="2:8" ht="15" x14ac:dyDescent="0.2">
      <c r="B204" s="37" t="s">
        <v>386</v>
      </c>
      <c r="C204" s="95" t="s">
        <v>448</v>
      </c>
      <c r="D204" s="56">
        <f>+E139</f>
        <v>5</v>
      </c>
      <c r="E204" s="42"/>
      <c r="F204" s="31"/>
      <c r="G204" s="31"/>
      <c r="H204" s="31"/>
    </row>
    <row r="205" spans="2:8" ht="15" x14ac:dyDescent="0.2">
      <c r="B205" s="58" t="s">
        <v>425</v>
      </c>
      <c r="C205" s="95" t="s">
        <v>439</v>
      </c>
      <c r="D205" s="59"/>
      <c r="E205" s="60">
        <f>SUM(D197:D204)</f>
        <v>-6404</v>
      </c>
      <c r="F205" s="31"/>
      <c r="G205" s="31"/>
      <c r="H205" s="31"/>
    </row>
    <row r="206" spans="2:8" ht="15" x14ac:dyDescent="0.2">
      <c r="B206" s="37"/>
      <c r="C206" s="95"/>
      <c r="D206" s="42"/>
      <c r="E206" s="42"/>
      <c r="F206" s="31"/>
      <c r="G206" s="31"/>
      <c r="H206" s="31"/>
    </row>
    <row r="207" spans="2:8" ht="15.75" x14ac:dyDescent="0.2">
      <c r="B207" s="33" t="s">
        <v>199</v>
      </c>
      <c r="C207" s="95"/>
      <c r="D207" s="42"/>
      <c r="E207" s="42"/>
      <c r="F207" s="31"/>
      <c r="G207" s="31"/>
      <c r="H207" s="31"/>
    </row>
    <row r="208" spans="2:8" ht="15" x14ac:dyDescent="0.2">
      <c r="B208" s="37" t="s">
        <v>181</v>
      </c>
      <c r="C208" s="95"/>
      <c r="D208" s="41">
        <f>-+E146</f>
        <v>2950</v>
      </c>
      <c r="E208" s="42"/>
      <c r="F208" s="31"/>
      <c r="G208" s="31"/>
      <c r="H208" s="31"/>
    </row>
    <row r="209" spans="2:8" ht="15" x14ac:dyDescent="0.2">
      <c r="B209" s="37" t="s">
        <v>389</v>
      </c>
      <c r="C209" s="95"/>
      <c r="D209" s="41"/>
      <c r="E209" s="42"/>
      <c r="F209" s="31"/>
      <c r="G209" s="31"/>
      <c r="H209" s="31"/>
    </row>
    <row r="210" spans="2:8" ht="15" x14ac:dyDescent="0.2">
      <c r="B210" s="37" t="s">
        <v>194</v>
      </c>
      <c r="C210" s="95" t="s">
        <v>449</v>
      </c>
      <c r="D210" s="103">
        <f>E151</f>
        <v>0</v>
      </c>
      <c r="E210" s="42"/>
      <c r="F210" s="31"/>
      <c r="G210" s="31"/>
      <c r="H210" s="31"/>
    </row>
    <row r="211" spans="2:8" ht="15" x14ac:dyDescent="0.2">
      <c r="B211" s="37" t="s">
        <v>323</v>
      </c>
      <c r="C211" s="95" t="s">
        <v>450</v>
      </c>
      <c r="D211" s="103">
        <f>-E164</f>
        <v>0</v>
      </c>
      <c r="E211" s="42"/>
      <c r="F211" s="31"/>
      <c r="G211" s="31"/>
      <c r="H211" s="31"/>
    </row>
    <row r="212" spans="2:8" ht="15" x14ac:dyDescent="0.2">
      <c r="B212" s="37" t="s">
        <v>393</v>
      </c>
      <c r="C212" s="95"/>
      <c r="D212" s="41">
        <f>-+E182</f>
        <v>-93</v>
      </c>
      <c r="E212" s="42"/>
      <c r="F212" s="31"/>
      <c r="G212" s="31"/>
      <c r="H212" s="31"/>
    </row>
    <row r="213" spans="2:8" ht="15" x14ac:dyDescent="0.2">
      <c r="B213" s="37" t="s">
        <v>147</v>
      </c>
      <c r="C213" s="95" t="s">
        <v>448</v>
      </c>
      <c r="D213" s="56">
        <f>-+E136</f>
        <v>-2000</v>
      </c>
      <c r="E213" s="42"/>
      <c r="F213" s="31"/>
      <c r="G213" s="31"/>
      <c r="H213" s="31"/>
    </row>
    <row r="214" spans="2:8" ht="15" x14ac:dyDescent="0.2">
      <c r="B214" s="58" t="s">
        <v>451</v>
      </c>
      <c r="C214" s="95" t="s">
        <v>439</v>
      </c>
      <c r="D214" s="59"/>
      <c r="E214" s="66">
        <f>SUM(D208:D213)</f>
        <v>857</v>
      </c>
      <c r="F214" s="31"/>
      <c r="G214" s="31"/>
      <c r="H214" s="31"/>
    </row>
    <row r="215" spans="2:8" ht="15" x14ac:dyDescent="0.2">
      <c r="B215" s="37"/>
      <c r="C215" s="95"/>
      <c r="D215" s="42"/>
      <c r="E215" s="59"/>
      <c r="F215" s="31"/>
      <c r="G215" s="31"/>
      <c r="H215" s="31"/>
    </row>
    <row r="216" spans="2:8" ht="15.75" x14ac:dyDescent="0.2">
      <c r="B216" s="33" t="s">
        <v>324</v>
      </c>
      <c r="C216" s="95" t="s">
        <v>452</v>
      </c>
      <c r="D216" s="42"/>
      <c r="E216" s="60">
        <f>SUM(E194,E205,E214)</f>
        <v>783</v>
      </c>
      <c r="F216" s="31"/>
      <c r="G216" s="31"/>
      <c r="H216" s="31"/>
    </row>
    <row r="217" spans="2:8" ht="15.75" x14ac:dyDescent="0.2">
      <c r="B217" s="68" t="s">
        <v>427</v>
      </c>
      <c r="C217" s="95" t="s">
        <v>453</v>
      </c>
      <c r="D217" s="42"/>
      <c r="E217" s="56">
        <f>E70</f>
        <v>-254</v>
      </c>
      <c r="F217" s="31"/>
      <c r="G217" s="31"/>
      <c r="H217" s="31"/>
    </row>
    <row r="218" spans="2:8" ht="16.5" thickBot="1" x14ac:dyDescent="0.25">
      <c r="B218" s="33" t="s">
        <v>428</v>
      </c>
      <c r="C218" s="95" t="s">
        <v>453</v>
      </c>
      <c r="D218" s="42"/>
      <c r="E218" s="69">
        <f>D70</f>
        <v>529</v>
      </c>
      <c r="F218" s="31"/>
      <c r="G218" s="31"/>
      <c r="H218" s="31"/>
    </row>
    <row r="219" spans="2:8" ht="15" x14ac:dyDescent="0.2">
      <c r="B219" s="31"/>
      <c r="C219" s="104"/>
      <c r="D219" s="70"/>
      <c r="E219" s="70"/>
      <c r="F219" s="31"/>
      <c r="G219" s="31"/>
      <c r="H219" s="31"/>
    </row>
    <row r="220" spans="2:8" ht="15" x14ac:dyDescent="0.2">
      <c r="B220" s="31"/>
      <c r="C220" s="95" t="s">
        <v>454</v>
      </c>
      <c r="D220" s="71">
        <f>E218-(SUM(E216:E217))</f>
        <v>0</v>
      </c>
      <c r="E220" s="72"/>
      <c r="F220" s="31"/>
      <c r="G220" s="31"/>
      <c r="H220" s="31"/>
    </row>
    <row r="221" spans="2:8" ht="15" x14ac:dyDescent="0.2">
      <c r="B221" s="31"/>
      <c r="C221" s="104"/>
      <c r="D221" s="70"/>
      <c r="E221" s="70"/>
      <c r="F221" s="31"/>
      <c r="G221" s="31"/>
      <c r="H221" s="31"/>
    </row>
  </sheetData>
  <conditionalFormatting sqref="D220">
    <cfRule type="cellIs" dxfId="3" priority="1" operator="lessThan">
      <formula>0</formula>
    </cfRule>
    <cfRule type="cellIs" dxfId="2" priority="2" operator="greaterThan">
      <formula>0</formula>
    </cfRule>
  </conditionalFormatting>
  <hyperlinks>
    <hyperlink ref="A1" location="Main!A1" display="Main" xr:uid="{9FB3A1AE-6A4D-4272-B9FA-98506EC4B82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39E5D-80DA-45E1-B0F0-B8DBA072EFF4}">
  <sheetPr codeName="Sheet9">
    <tabColor rgb="FFFFFF00"/>
  </sheetPr>
  <dimension ref="A1:R530"/>
  <sheetViews>
    <sheetView tabSelected="1" zoomScaleNormal="100" workbookViewId="0">
      <selection activeCell="C98" sqref="C98"/>
    </sheetView>
  </sheetViews>
  <sheetFormatPr defaultRowHeight="12" x14ac:dyDescent="0.2"/>
  <cols>
    <col min="1" max="1" width="9.140625" style="1"/>
    <col min="2" max="2" width="11" style="1" customWidth="1"/>
    <col min="3" max="3" width="9.28515625" style="1" bestFit="1" customWidth="1"/>
    <col min="4" max="4" width="12" style="1" bestFit="1" customWidth="1"/>
    <col min="5" max="5" width="11.85546875" style="1" bestFit="1" customWidth="1"/>
    <col min="6" max="6" width="9.28515625" style="1" customWidth="1"/>
    <col min="7" max="7" width="12.140625" style="1" bestFit="1" customWidth="1"/>
    <col min="8" max="8" width="15.7109375" style="1" customWidth="1"/>
    <col min="9" max="9" width="19.28515625" style="1" customWidth="1"/>
    <col min="10" max="10" width="7.28515625" style="1" bestFit="1" customWidth="1"/>
    <col min="11" max="16384" width="9.140625" style="1"/>
  </cols>
  <sheetData>
    <row r="1" spans="1:9" ht="15" x14ac:dyDescent="0.25">
      <c r="A1" s="2" t="s">
        <v>0</v>
      </c>
    </row>
    <row r="2" spans="1:9" x14ac:dyDescent="0.2">
      <c r="B2" s="1" t="s">
        <v>458</v>
      </c>
    </row>
    <row r="3" spans="1:9" x14ac:dyDescent="0.2">
      <c r="B3" s="1" t="s">
        <v>261</v>
      </c>
      <c r="C3" s="22">
        <v>45199</v>
      </c>
    </row>
    <row r="4" spans="1:9" x14ac:dyDescent="0.2">
      <c r="B4" s="1" t="s">
        <v>111</v>
      </c>
    </row>
    <row r="5" spans="1:9" x14ac:dyDescent="0.2">
      <c r="F5" s="1" t="s">
        <v>459</v>
      </c>
      <c r="G5" s="1" t="s">
        <v>460</v>
      </c>
      <c r="H5" s="1" t="s">
        <v>461</v>
      </c>
      <c r="I5" s="1" t="s">
        <v>462</v>
      </c>
    </row>
    <row r="6" spans="1:9" x14ac:dyDescent="0.2">
      <c r="D6" s="1">
        <v>2022</v>
      </c>
      <c r="E6" s="1">
        <v>2023</v>
      </c>
      <c r="I6" s="1">
        <v>2023</v>
      </c>
    </row>
    <row r="7" spans="1:9" x14ac:dyDescent="0.2">
      <c r="D7" s="19" t="s">
        <v>148</v>
      </c>
      <c r="E7" s="19" t="s">
        <v>148</v>
      </c>
      <c r="G7" s="19" t="s">
        <v>148</v>
      </c>
      <c r="H7" s="19" t="s">
        <v>148</v>
      </c>
      <c r="I7" s="19" t="s">
        <v>148</v>
      </c>
    </row>
    <row r="8" spans="1:9" x14ac:dyDescent="0.2">
      <c r="B8" s="1" t="s">
        <v>287</v>
      </c>
      <c r="D8" s="23">
        <v>35519</v>
      </c>
      <c r="E8" s="23">
        <v>40482</v>
      </c>
      <c r="F8" s="23">
        <v>1</v>
      </c>
      <c r="G8" s="23">
        <f>+E231</f>
        <v>3100</v>
      </c>
      <c r="H8" s="23">
        <f>+F232</f>
        <v>1020</v>
      </c>
      <c r="I8" s="23">
        <f>+E8+SUM(G8:G13)-SUM(H8:H13)</f>
        <v>40505.563434206793</v>
      </c>
    </row>
    <row r="9" spans="1:9" x14ac:dyDescent="0.2">
      <c r="D9" s="23"/>
      <c r="E9" s="23"/>
      <c r="F9" s="23" t="s">
        <v>640</v>
      </c>
      <c r="G9" s="23">
        <f>+E303</f>
        <v>1472.4240555555555</v>
      </c>
      <c r="H9" s="23">
        <f>+F245</f>
        <v>497.75</v>
      </c>
      <c r="I9" s="23"/>
    </row>
    <row r="10" spans="1:9" x14ac:dyDescent="0.2">
      <c r="D10" s="23"/>
      <c r="E10" s="23"/>
      <c r="F10" s="23">
        <v>5</v>
      </c>
      <c r="H10" s="23">
        <f>+F316</f>
        <v>12.188399126543208</v>
      </c>
      <c r="I10" s="23"/>
    </row>
    <row r="11" spans="1:9" x14ac:dyDescent="0.2">
      <c r="D11" s="23"/>
      <c r="E11" s="23"/>
      <c r="F11" s="23">
        <v>6</v>
      </c>
      <c r="H11" s="23">
        <f>+F326</f>
        <v>2193</v>
      </c>
      <c r="I11" s="23"/>
    </row>
    <row r="12" spans="1:9" x14ac:dyDescent="0.2">
      <c r="D12" s="23"/>
      <c r="E12" s="23"/>
      <c r="F12" s="23">
        <v>7</v>
      </c>
      <c r="G12" s="23">
        <f>+E342</f>
        <v>654.07777777777778</v>
      </c>
      <c r="H12" s="23">
        <f>+F344</f>
        <v>1480</v>
      </c>
      <c r="I12" s="23"/>
    </row>
    <row r="13" spans="1:9" x14ac:dyDescent="0.2">
      <c r="D13" s="23"/>
      <c r="E13" s="23"/>
      <c r="F13" s="23"/>
      <c r="H13" s="23"/>
      <c r="I13" s="23"/>
    </row>
    <row r="14" spans="1:9" x14ac:dyDescent="0.2">
      <c r="B14" s="1" t="s">
        <v>647</v>
      </c>
      <c r="D14" s="23"/>
      <c r="E14" s="23"/>
      <c r="F14" s="23" t="s">
        <v>648</v>
      </c>
      <c r="G14" s="1">
        <f>+E406</f>
        <v>720</v>
      </c>
      <c r="H14" s="23">
        <f>+F411</f>
        <v>89.75</v>
      </c>
      <c r="I14" s="23">
        <f>+E14+G14-H14</f>
        <v>630.25</v>
      </c>
    </row>
    <row r="15" spans="1:9" x14ac:dyDescent="0.2">
      <c r="B15" s="1" t="s">
        <v>466</v>
      </c>
      <c r="D15" s="23">
        <f>SUM(D8)</f>
        <v>35519</v>
      </c>
      <c r="E15" s="23">
        <f>SUM(E8)</f>
        <v>40482</v>
      </c>
      <c r="F15" s="23"/>
      <c r="G15" s="23"/>
      <c r="H15" s="23"/>
      <c r="I15" s="23">
        <f>SUM(I8:I14)</f>
        <v>41135.813434206793</v>
      </c>
    </row>
    <row r="16" spans="1:9" x14ac:dyDescent="0.2">
      <c r="D16" s="23"/>
      <c r="E16" s="23"/>
      <c r="F16" s="23"/>
      <c r="G16" s="23"/>
      <c r="H16" s="23"/>
      <c r="I16" s="23"/>
    </row>
    <row r="17" spans="2:13" x14ac:dyDescent="0.2">
      <c r="B17" s="1" t="s">
        <v>95</v>
      </c>
      <c r="D17" s="23">
        <v>19689</v>
      </c>
      <c r="E17" s="23">
        <v>19689</v>
      </c>
      <c r="F17" s="23">
        <v>12</v>
      </c>
      <c r="G17" s="23"/>
      <c r="H17" s="23">
        <f>+F480</f>
        <v>630</v>
      </c>
      <c r="I17" s="23">
        <f>+E17+SUM(G17:G19)-SUM(H17:H19)</f>
        <v>21028</v>
      </c>
    </row>
    <row r="18" spans="2:13" x14ac:dyDescent="0.2">
      <c r="D18" s="23"/>
      <c r="E18" s="23"/>
      <c r="F18" s="23">
        <v>13</v>
      </c>
      <c r="G18" s="23"/>
      <c r="H18" s="23">
        <f>+F487</f>
        <v>630</v>
      </c>
      <c r="I18" s="23"/>
    </row>
    <row r="19" spans="2:13" x14ac:dyDescent="0.2">
      <c r="D19" s="23"/>
      <c r="E19" s="23"/>
      <c r="F19" s="23">
        <v>15</v>
      </c>
      <c r="G19" s="23">
        <f>+E502</f>
        <v>2599</v>
      </c>
      <c r="H19" s="23"/>
      <c r="I19" s="23"/>
    </row>
    <row r="20" spans="2:13" x14ac:dyDescent="0.2">
      <c r="B20" s="1" t="s">
        <v>94</v>
      </c>
      <c r="D20" s="23">
        <v>7736</v>
      </c>
      <c r="E20" s="23">
        <v>13777</v>
      </c>
      <c r="F20" s="23">
        <v>4</v>
      </c>
      <c r="G20" s="23"/>
      <c r="H20" s="23">
        <f>+F305</f>
        <v>50</v>
      </c>
      <c r="I20" s="23">
        <f>+E20+SUM(G20:G21)-SUM(H20:H21)</f>
        <v>13702</v>
      </c>
    </row>
    <row r="21" spans="2:13" x14ac:dyDescent="0.2">
      <c r="D21" s="23"/>
      <c r="E21" s="23"/>
      <c r="F21" s="23">
        <v>11</v>
      </c>
      <c r="G21" s="23"/>
      <c r="H21" s="23">
        <f>+F450</f>
        <v>25</v>
      </c>
      <c r="I21" s="23"/>
    </row>
    <row r="22" spans="2:13" x14ac:dyDescent="0.2">
      <c r="B22" s="1" t="s">
        <v>644</v>
      </c>
      <c r="D22" s="23"/>
      <c r="E22" s="23"/>
      <c r="F22" s="23">
        <v>8</v>
      </c>
      <c r="G22" s="23">
        <f>+D374</f>
        <v>1</v>
      </c>
      <c r="H22" s="23"/>
      <c r="I22" s="23">
        <f>+E22+G22-H22</f>
        <v>1</v>
      </c>
    </row>
    <row r="23" spans="2:13" x14ac:dyDescent="0.2">
      <c r="B23" s="1" t="s">
        <v>653</v>
      </c>
      <c r="D23" s="23">
        <v>1868</v>
      </c>
      <c r="E23" s="23">
        <v>2680</v>
      </c>
      <c r="F23" s="23"/>
      <c r="G23" s="23"/>
      <c r="H23" s="23"/>
      <c r="I23" s="23">
        <f>+E23+G23-H23</f>
        <v>2680</v>
      </c>
    </row>
    <row r="24" spans="2:13" customFormat="1" ht="15" x14ac:dyDescent="0.25">
      <c r="B24" s="1"/>
      <c r="C24" s="1"/>
      <c r="D24" s="23">
        <f>SUM(D17:D23)</f>
        <v>29293</v>
      </c>
      <c r="E24" s="23">
        <f>SUM(E17:E23)</f>
        <v>36146</v>
      </c>
      <c r="F24" s="23"/>
      <c r="G24" s="23"/>
      <c r="H24" s="23"/>
      <c r="I24" s="23">
        <f>SUM(I17:I23)</f>
        <v>37411</v>
      </c>
      <c r="J24" s="1"/>
      <c r="K24" s="1"/>
      <c r="L24" s="1"/>
      <c r="M24" s="1"/>
    </row>
    <row r="25" spans="2:13" customFormat="1" ht="15" x14ac:dyDescent="0.25">
      <c r="B25" s="1" t="s">
        <v>285</v>
      </c>
      <c r="C25" s="1"/>
      <c r="D25" s="23">
        <f>+D24+D15</f>
        <v>64812</v>
      </c>
      <c r="E25" s="23">
        <f>+E24+E15</f>
        <v>76628</v>
      </c>
      <c r="F25" s="23"/>
      <c r="G25" s="23"/>
      <c r="H25" s="23"/>
      <c r="I25" s="23">
        <f>+I24+I15</f>
        <v>78546.813434206793</v>
      </c>
      <c r="J25" s="1"/>
      <c r="K25" s="1"/>
      <c r="L25" s="1"/>
      <c r="M25" s="1"/>
    </row>
    <row r="26" spans="2:13" customFormat="1" ht="15" x14ac:dyDescent="0.25">
      <c r="B26" s="1"/>
      <c r="C26" s="1"/>
      <c r="D26" s="23"/>
      <c r="E26" s="23"/>
      <c r="F26" s="23"/>
      <c r="G26" s="23"/>
      <c r="H26" s="23"/>
      <c r="I26" s="23"/>
      <c r="J26" s="1"/>
      <c r="K26" s="1"/>
      <c r="L26" s="1"/>
      <c r="M26" s="1"/>
    </row>
    <row r="27" spans="2:13" customFormat="1" ht="15" x14ac:dyDescent="0.25">
      <c r="B27" s="1"/>
      <c r="C27" s="1"/>
      <c r="D27" s="23"/>
      <c r="E27" s="23"/>
      <c r="F27" s="23"/>
      <c r="G27" s="23"/>
      <c r="H27" s="23"/>
      <c r="I27" s="23"/>
      <c r="J27" s="1"/>
      <c r="K27" s="1"/>
      <c r="L27" s="1"/>
      <c r="M27" s="1"/>
    </row>
    <row r="28" spans="2:13" customFormat="1" ht="15" x14ac:dyDescent="0.25">
      <c r="B28" s="1" t="s">
        <v>465</v>
      </c>
      <c r="C28" s="1"/>
      <c r="D28" s="23">
        <v>12000</v>
      </c>
      <c r="E28" s="23">
        <v>18000</v>
      </c>
      <c r="F28" s="23"/>
      <c r="G28" s="23"/>
      <c r="H28" s="23"/>
      <c r="I28" s="23">
        <f>+E28-G28+H28</f>
        <v>18000</v>
      </c>
      <c r="J28" s="1"/>
      <c r="K28" s="1"/>
      <c r="L28" s="1"/>
      <c r="M28" s="1"/>
    </row>
    <row r="29" spans="2:13" customFormat="1" ht="15" x14ac:dyDescent="0.25">
      <c r="B29" s="1" t="s">
        <v>128</v>
      </c>
      <c r="C29" s="1"/>
      <c r="D29" s="23">
        <v>2980</v>
      </c>
      <c r="E29" s="23">
        <v>4480</v>
      </c>
      <c r="F29" s="23"/>
      <c r="G29" s="23"/>
      <c r="H29" s="23"/>
      <c r="I29" s="23">
        <f>+E29-G29+H29</f>
        <v>4480</v>
      </c>
      <c r="J29" s="1"/>
      <c r="K29" s="1"/>
      <c r="L29" s="1"/>
      <c r="M29" s="1"/>
    </row>
    <row r="30" spans="2:13" customFormat="1" ht="43.5" customHeight="1" x14ac:dyDescent="0.25">
      <c r="B30" s="1" t="s">
        <v>281</v>
      </c>
      <c r="C30" s="1"/>
      <c r="D30" s="23">
        <v>1691</v>
      </c>
      <c r="E30" s="23">
        <v>1691</v>
      </c>
      <c r="F30" s="23" t="s">
        <v>639</v>
      </c>
      <c r="G30" s="23">
        <f>+E254</f>
        <v>7662.2</v>
      </c>
      <c r="H30" s="23">
        <f>+F233</f>
        <v>4120</v>
      </c>
      <c r="I30" s="23">
        <f>+E30-G30+H30</f>
        <v>-1851.1999999999998</v>
      </c>
      <c r="J30" s="1"/>
      <c r="K30" s="1"/>
      <c r="L30" s="1"/>
      <c r="M30" s="1"/>
    </row>
    <row r="31" spans="2:13" customFormat="1" ht="15" x14ac:dyDescent="0.25">
      <c r="B31" s="1" t="s">
        <v>283</v>
      </c>
      <c r="C31" s="1"/>
      <c r="D31" s="23">
        <v>3202</v>
      </c>
      <c r="E31" s="23">
        <v>2901</v>
      </c>
      <c r="F31" s="23">
        <v>3</v>
      </c>
      <c r="G31" s="23"/>
      <c r="H31" s="23">
        <f>+F255</f>
        <v>7662.2</v>
      </c>
      <c r="I31" s="23">
        <f>+E31-G31+H31</f>
        <v>10563.2</v>
      </c>
      <c r="J31" s="1"/>
      <c r="K31" s="1"/>
      <c r="L31" s="1"/>
      <c r="M31" s="1"/>
    </row>
    <row r="32" spans="2:13" customFormat="1" ht="15" x14ac:dyDescent="0.25">
      <c r="B32" s="1" t="s">
        <v>280</v>
      </c>
      <c r="C32" s="1"/>
      <c r="D32" s="23">
        <f>SUM(D28:D31)</f>
        <v>19873</v>
      </c>
      <c r="E32" s="23">
        <f>SUM(E28:E31)</f>
        <v>27072</v>
      </c>
      <c r="F32" s="23"/>
      <c r="G32" s="23"/>
      <c r="H32" s="23"/>
      <c r="I32" s="23">
        <f>SUM(I28:I31)</f>
        <v>31192</v>
      </c>
      <c r="J32" s="1"/>
      <c r="K32" s="1"/>
      <c r="L32" s="1"/>
      <c r="M32" s="1"/>
    </row>
    <row r="33" spans="2:13" customFormat="1" ht="15" x14ac:dyDescent="0.25">
      <c r="B33" s="1"/>
      <c r="C33" s="1"/>
      <c r="D33" s="23"/>
      <c r="E33" s="23"/>
      <c r="F33" s="23"/>
      <c r="G33" s="23"/>
      <c r="H33" s="23"/>
      <c r="I33" s="23"/>
      <c r="J33" s="1"/>
      <c r="K33" s="1"/>
      <c r="L33" s="1"/>
      <c r="M33" s="1"/>
    </row>
    <row r="34" spans="2:13" customFormat="1" ht="15" x14ac:dyDescent="0.25">
      <c r="B34" s="1" t="s">
        <v>357</v>
      </c>
      <c r="C34" s="1"/>
      <c r="D34" s="23">
        <v>13000</v>
      </c>
      <c r="E34" s="23">
        <v>11480</v>
      </c>
      <c r="F34" s="23"/>
      <c r="G34" s="23"/>
      <c r="H34" s="23"/>
      <c r="I34" s="23">
        <f>+E34-G34+H34</f>
        <v>11480</v>
      </c>
      <c r="J34" s="1"/>
      <c r="K34" s="1"/>
      <c r="L34" s="1"/>
      <c r="M34" s="1"/>
    </row>
    <row r="35" spans="2:13" customFormat="1" ht="15" x14ac:dyDescent="0.25">
      <c r="B35" s="1" t="s">
        <v>276</v>
      </c>
      <c r="C35" s="1"/>
      <c r="D35" s="23">
        <f>SUM(D34)</f>
        <v>13000</v>
      </c>
      <c r="E35" s="23">
        <f>SUM(E34)</f>
        <v>11480</v>
      </c>
      <c r="F35" s="23"/>
      <c r="G35" s="23"/>
      <c r="H35" s="23"/>
      <c r="I35" s="23">
        <f>SUM(I34)</f>
        <v>11480</v>
      </c>
      <c r="J35" s="1"/>
      <c r="K35" s="1"/>
      <c r="L35" s="1"/>
      <c r="M35" s="1"/>
    </row>
    <row r="36" spans="2:13" customFormat="1" ht="15" x14ac:dyDescent="0.25">
      <c r="B36" s="1"/>
      <c r="C36" s="1"/>
      <c r="D36" s="23"/>
      <c r="E36" s="23"/>
      <c r="F36" s="23"/>
      <c r="G36" s="23"/>
      <c r="H36" s="23"/>
      <c r="I36" s="23"/>
      <c r="J36" s="1"/>
      <c r="K36" s="1"/>
      <c r="L36" s="1"/>
      <c r="M36" s="1"/>
    </row>
    <row r="37" spans="2:13" customFormat="1" ht="15" x14ac:dyDescent="0.25">
      <c r="B37" s="1" t="s">
        <v>92</v>
      </c>
      <c r="C37" s="1"/>
      <c r="D37" s="23">
        <v>13685</v>
      </c>
      <c r="E37" s="23">
        <v>24372</v>
      </c>
      <c r="F37" s="23"/>
      <c r="G37" s="23"/>
      <c r="H37" s="23"/>
      <c r="I37" s="23">
        <f>+E37-G37+H37</f>
        <v>24372</v>
      </c>
      <c r="J37" s="1"/>
      <c r="K37" s="1"/>
      <c r="L37" s="1"/>
      <c r="M37" s="1"/>
    </row>
    <row r="38" spans="2:13" customFormat="1" ht="15" x14ac:dyDescent="0.25">
      <c r="B38" s="1" t="s">
        <v>338</v>
      </c>
      <c r="C38" s="1"/>
      <c r="D38" s="23">
        <v>9817</v>
      </c>
      <c r="E38" s="23">
        <v>7885</v>
      </c>
      <c r="F38" s="23"/>
      <c r="G38" s="23"/>
      <c r="H38" s="23"/>
      <c r="I38" s="23">
        <f>+E38-G38+H38</f>
        <v>7885</v>
      </c>
      <c r="J38" s="1"/>
      <c r="K38" s="1"/>
      <c r="L38" s="1"/>
      <c r="M38" s="1"/>
    </row>
    <row r="39" spans="2:13" customFormat="1" ht="15" x14ac:dyDescent="0.25">
      <c r="B39" s="1" t="s">
        <v>464</v>
      </c>
      <c r="C39" s="1"/>
      <c r="D39" s="23">
        <v>1254</v>
      </c>
      <c r="E39" s="23">
        <v>50</v>
      </c>
      <c r="F39" s="23">
        <v>14</v>
      </c>
      <c r="G39" s="23">
        <f>+E479</f>
        <v>170</v>
      </c>
      <c r="H39" s="23"/>
      <c r="I39" s="23">
        <f>+E39-G39+H39</f>
        <v>-120</v>
      </c>
      <c r="J39" s="1"/>
      <c r="K39" s="1"/>
      <c r="L39" s="1"/>
      <c r="M39" s="1"/>
    </row>
    <row r="40" spans="2:13" customFormat="1" ht="15" x14ac:dyDescent="0.25">
      <c r="B40" s="1" t="s">
        <v>463</v>
      </c>
      <c r="C40" s="1"/>
      <c r="D40" s="23">
        <v>7183</v>
      </c>
      <c r="E40" s="23">
        <v>5769</v>
      </c>
      <c r="F40" s="23"/>
      <c r="G40" s="23"/>
      <c r="H40" s="23"/>
      <c r="I40" s="23">
        <f>+E40-G40+H40</f>
        <v>5769</v>
      </c>
      <c r="J40" s="1"/>
      <c r="K40" s="1"/>
      <c r="L40" s="1"/>
      <c r="M40" s="1"/>
    </row>
    <row r="41" spans="2:13" customFormat="1" ht="15" x14ac:dyDescent="0.25">
      <c r="B41" s="1" t="s">
        <v>274</v>
      </c>
      <c r="C41" s="1"/>
      <c r="D41" s="23">
        <f>SUM(D37:D40)</f>
        <v>31939</v>
      </c>
      <c r="E41" s="23">
        <f>SUM(E37:E40)</f>
        <v>38076</v>
      </c>
      <c r="F41" s="23"/>
      <c r="G41" s="23"/>
      <c r="H41" s="23"/>
      <c r="I41" s="23">
        <f>+E41-G41+H41</f>
        <v>38076</v>
      </c>
      <c r="J41" s="1"/>
      <c r="K41" s="1"/>
      <c r="L41" s="1"/>
      <c r="M41" s="1"/>
    </row>
    <row r="42" spans="2:13" customFormat="1" ht="15" x14ac:dyDescent="0.25">
      <c r="B42" s="1" t="s">
        <v>273</v>
      </c>
      <c r="C42" s="1"/>
      <c r="D42" s="23">
        <f>+D41+D35</f>
        <v>44939</v>
      </c>
      <c r="E42" s="23">
        <f>+E41+E35</f>
        <v>49556</v>
      </c>
      <c r="F42" s="23"/>
      <c r="G42" s="23"/>
      <c r="H42" s="23"/>
      <c r="I42" s="23">
        <f>+I41+I35</f>
        <v>49556</v>
      </c>
      <c r="J42" s="1"/>
      <c r="K42" s="1"/>
      <c r="L42" s="1"/>
      <c r="M42" s="1"/>
    </row>
    <row r="43" spans="2:13" customFormat="1" ht="15" x14ac:dyDescent="0.25">
      <c r="B43" s="1" t="s">
        <v>280</v>
      </c>
      <c r="C43" s="1"/>
      <c r="D43" s="23">
        <f>+D42+D32</f>
        <v>64812</v>
      </c>
      <c r="E43" s="23">
        <f>+E42+E32</f>
        <v>76628</v>
      </c>
      <c r="F43" s="23"/>
      <c r="G43" s="23"/>
      <c r="H43" s="23"/>
      <c r="I43" s="23">
        <f>+I42+I32</f>
        <v>80748</v>
      </c>
      <c r="J43" s="1"/>
      <c r="K43" s="1"/>
      <c r="L43" s="1"/>
      <c r="M43" s="1"/>
    </row>
    <row r="44" spans="2:13" x14ac:dyDescent="0.2">
      <c r="I44" s="23"/>
    </row>
    <row r="45" spans="2:13" x14ac:dyDescent="0.2">
      <c r="I45" s="23"/>
    </row>
    <row r="46" spans="2:13" x14ac:dyDescent="0.2">
      <c r="B46" s="1" t="s">
        <v>205</v>
      </c>
      <c r="E46" s="23">
        <v>159670</v>
      </c>
      <c r="I46" s="23">
        <f>+E46-G46+H46</f>
        <v>159670</v>
      </c>
    </row>
    <row r="47" spans="2:13" x14ac:dyDescent="0.2">
      <c r="B47" s="1" t="s">
        <v>89</v>
      </c>
      <c r="E47" s="23">
        <v>-111760</v>
      </c>
      <c r="F47" s="1" t="s">
        <v>640</v>
      </c>
      <c r="G47" s="23">
        <f>+E244</f>
        <v>497.75</v>
      </c>
      <c r="H47" s="138">
        <f>+F304</f>
        <v>1400</v>
      </c>
      <c r="I47" s="23">
        <f>+E47+SUM(G47:G55)-SUM(H47:H55)</f>
        <v>-112572.31160087345</v>
      </c>
    </row>
    <row r="48" spans="2:13" x14ac:dyDescent="0.2">
      <c r="E48" s="23"/>
      <c r="F48" s="1">
        <v>5</v>
      </c>
      <c r="G48" s="23">
        <f>+E315</f>
        <v>12.188399126543208</v>
      </c>
      <c r="H48" s="138"/>
      <c r="I48" s="23"/>
    </row>
    <row r="49" spans="2:9" x14ac:dyDescent="0.2">
      <c r="E49" s="23"/>
      <c r="F49" s="1">
        <v>6</v>
      </c>
      <c r="G49" s="23">
        <f>+E325</f>
        <v>2193</v>
      </c>
      <c r="H49" s="138"/>
      <c r="I49" s="23"/>
    </row>
    <row r="50" spans="2:9" x14ac:dyDescent="0.2">
      <c r="E50" s="23"/>
      <c r="F50" s="1">
        <v>8</v>
      </c>
      <c r="G50" s="23"/>
      <c r="H50" s="138">
        <f>+E375</f>
        <v>1</v>
      </c>
      <c r="I50" s="23"/>
    </row>
    <row r="51" spans="2:9" x14ac:dyDescent="0.2">
      <c r="E51" s="23"/>
      <c r="F51" s="1" t="s">
        <v>648</v>
      </c>
      <c r="G51" s="23">
        <f>+E410</f>
        <v>89.75</v>
      </c>
      <c r="H51" s="138">
        <f>+F407</f>
        <v>720</v>
      </c>
      <c r="I51" s="23"/>
    </row>
    <row r="52" spans="2:9" x14ac:dyDescent="0.2">
      <c r="E52" s="23"/>
      <c r="F52" s="1">
        <v>11</v>
      </c>
      <c r="G52" s="23">
        <f>+E449</f>
        <v>25</v>
      </c>
      <c r="H52" s="138"/>
      <c r="I52" s="23"/>
    </row>
    <row r="53" spans="2:9" x14ac:dyDescent="0.2">
      <c r="E53" s="23"/>
      <c r="F53" s="1">
        <v>12</v>
      </c>
      <c r="G53" s="23">
        <f>+E478</f>
        <v>460</v>
      </c>
      <c r="H53" s="138"/>
      <c r="I53" s="23"/>
    </row>
    <row r="54" spans="2:9" x14ac:dyDescent="0.2">
      <c r="E54" s="23"/>
      <c r="F54" s="1">
        <v>13</v>
      </c>
      <c r="G54" s="23">
        <f>+E486</f>
        <v>630</v>
      </c>
      <c r="H54" s="138"/>
      <c r="I54" s="23"/>
    </row>
    <row r="55" spans="2:9" x14ac:dyDescent="0.2">
      <c r="E55" s="23"/>
      <c r="F55" s="1">
        <v>15</v>
      </c>
      <c r="G55" s="23"/>
      <c r="H55" s="138">
        <f>+F503</f>
        <v>2599</v>
      </c>
      <c r="I55" s="23"/>
    </row>
    <row r="56" spans="2:9" x14ac:dyDescent="0.2">
      <c r="B56" s="1" t="s">
        <v>88</v>
      </c>
      <c r="E56" s="23">
        <f>SUM(E46:E47)</f>
        <v>47910</v>
      </c>
      <c r="I56" s="23">
        <f>SUM(I46:I55)</f>
        <v>47097.688399126549</v>
      </c>
    </row>
    <row r="57" spans="2:9" x14ac:dyDescent="0.2">
      <c r="B57" s="1" t="s">
        <v>471</v>
      </c>
      <c r="E57" s="23">
        <v>4402</v>
      </c>
      <c r="F57" s="1">
        <v>7</v>
      </c>
      <c r="G57" s="23">
        <f>+E343</f>
        <v>1250</v>
      </c>
      <c r="I57" s="23">
        <f>+E57-G57+H57</f>
        <v>3152</v>
      </c>
    </row>
    <row r="58" spans="2:9" x14ac:dyDescent="0.2">
      <c r="B58" s="1" t="s">
        <v>470</v>
      </c>
      <c r="E58" s="23">
        <v>-39918</v>
      </c>
      <c r="I58" s="23">
        <f>+E58-G58+H58</f>
        <v>-39918</v>
      </c>
    </row>
    <row r="59" spans="2:9" x14ac:dyDescent="0.2">
      <c r="B59" s="1" t="s">
        <v>469</v>
      </c>
      <c r="E59" s="23">
        <v>-9791</v>
      </c>
      <c r="I59" s="23">
        <f>+E59-G59+H59</f>
        <v>-9791</v>
      </c>
    </row>
    <row r="60" spans="2:9" x14ac:dyDescent="0.2">
      <c r="B60" s="1" t="s">
        <v>72</v>
      </c>
      <c r="E60" s="23"/>
      <c r="F60" s="1">
        <v>7</v>
      </c>
      <c r="H60" s="23">
        <f>+F345</f>
        <v>424.07777777777778</v>
      </c>
      <c r="I60" s="23">
        <f>+E60-G60+H60</f>
        <v>424.07777777777778</v>
      </c>
    </row>
    <row r="61" spans="2:9" x14ac:dyDescent="0.2">
      <c r="B61" s="1" t="s">
        <v>70</v>
      </c>
      <c r="E61" s="23">
        <v>-2879</v>
      </c>
      <c r="F61" s="1">
        <v>4</v>
      </c>
      <c r="H61" s="138">
        <f>+F306</f>
        <v>22.424055555555555</v>
      </c>
      <c r="I61" s="23">
        <f>+E61-G61+H61</f>
        <v>-2856.5759444444443</v>
      </c>
    </row>
    <row r="62" spans="2:9" x14ac:dyDescent="0.2">
      <c r="B62" s="1" t="s">
        <v>468</v>
      </c>
      <c r="E62" s="23">
        <f>SUM(E56:E61)</f>
        <v>-276</v>
      </c>
      <c r="I62" s="23">
        <v>672</v>
      </c>
    </row>
    <row r="63" spans="2:9" x14ac:dyDescent="0.2">
      <c r="B63" s="1" t="s">
        <v>335</v>
      </c>
      <c r="E63" s="23">
        <v>-25</v>
      </c>
      <c r="F63" s="1">
        <v>14</v>
      </c>
      <c r="H63" s="1" t="e">
        <f>+#REF!</f>
        <v>#REF!</v>
      </c>
      <c r="I63" s="23" t="e">
        <f>+E63-G63+H63</f>
        <v>#REF!</v>
      </c>
    </row>
    <row r="64" spans="2:9" x14ac:dyDescent="0.2">
      <c r="B64" s="1" t="s">
        <v>467</v>
      </c>
      <c r="E64" s="23">
        <f>SUM(E62:E63)</f>
        <v>-301</v>
      </c>
      <c r="I64" s="23" t="e">
        <f>SUM(I62:I63)</f>
        <v>#REF!</v>
      </c>
    </row>
    <row r="65" spans="2:12" x14ac:dyDescent="0.2">
      <c r="G65" s="23">
        <f>SUM(G8:G64)</f>
        <v>21536.390232459875</v>
      </c>
      <c r="H65" s="23" t="e">
        <f>SUM(H8:H64)</f>
        <v>#REF!</v>
      </c>
    </row>
    <row r="66" spans="2:12" x14ac:dyDescent="0.2">
      <c r="H66" s="23" t="e">
        <f>+H65-G65</f>
        <v>#REF!</v>
      </c>
    </row>
    <row r="67" spans="2:12" s="158" customFormat="1" ht="15.75" x14ac:dyDescent="0.25">
      <c r="B67" s="29" t="s">
        <v>308</v>
      </c>
      <c r="C67" s="30"/>
      <c r="D67" s="30"/>
      <c r="E67" s="31"/>
      <c r="F67" s="31"/>
      <c r="G67" s="31"/>
      <c r="H67" s="32"/>
      <c r="I67" s="32"/>
      <c r="J67" s="26" t="s">
        <v>113</v>
      </c>
      <c r="K67" s="26" t="s">
        <v>129</v>
      </c>
      <c r="L67" s="31"/>
    </row>
    <row r="68" spans="2:12" s="158" customFormat="1" ht="15.75" x14ac:dyDescent="0.25">
      <c r="B68" s="33" t="s">
        <v>309</v>
      </c>
      <c r="C68" s="30"/>
      <c r="D68" s="30"/>
      <c r="E68" s="31"/>
      <c r="F68" s="31"/>
      <c r="G68" s="31"/>
      <c r="H68" s="34" t="s">
        <v>337</v>
      </c>
      <c r="I68" s="32"/>
      <c r="J68" s="27" t="s">
        <v>148</v>
      </c>
      <c r="K68" s="27" t="s">
        <v>148</v>
      </c>
      <c r="L68" s="31"/>
    </row>
    <row r="69" spans="2:12" s="158" customFormat="1" ht="16.5" thickBot="1" x14ac:dyDescent="0.3">
      <c r="B69" s="35" t="s">
        <v>422</v>
      </c>
      <c r="C69" s="30"/>
      <c r="D69" s="30"/>
      <c r="E69" s="31"/>
      <c r="F69" s="31"/>
      <c r="G69" s="31"/>
      <c r="H69" s="32" t="s">
        <v>363</v>
      </c>
      <c r="I69" s="32"/>
      <c r="J69" s="36">
        <v>2680</v>
      </c>
      <c r="K69" s="36">
        <v>1868</v>
      </c>
      <c r="L69" s="31"/>
    </row>
    <row r="70" spans="2:12" s="158" customFormat="1" ht="15.75" x14ac:dyDescent="0.25">
      <c r="B70" s="37"/>
      <c r="C70" s="38" t="s">
        <v>148</v>
      </c>
      <c r="D70" s="38" t="s">
        <v>148</v>
      </c>
      <c r="E70" s="31"/>
      <c r="F70" s="31"/>
      <c r="G70" s="31"/>
      <c r="H70" s="32" t="s">
        <v>364</v>
      </c>
      <c r="I70" s="32"/>
      <c r="J70" s="36">
        <v>-7885</v>
      </c>
      <c r="K70" s="36">
        <v>-9817</v>
      </c>
      <c r="L70" s="31"/>
    </row>
    <row r="71" spans="2:12" s="158" customFormat="1" ht="16.5" thickBot="1" x14ac:dyDescent="0.3">
      <c r="B71" s="33" t="s">
        <v>236</v>
      </c>
      <c r="C71" s="39"/>
      <c r="D71" s="39"/>
      <c r="E71" s="31"/>
      <c r="F71" s="31"/>
      <c r="G71" s="31"/>
      <c r="H71" s="32"/>
      <c r="I71" s="32"/>
      <c r="J71" s="40">
        <f>SUM(J69:J70)</f>
        <v>-5205</v>
      </c>
      <c r="K71" s="40">
        <f>SUM(K69:K70)</f>
        <v>-7949</v>
      </c>
      <c r="L71" s="31"/>
    </row>
    <row r="72" spans="2:12" s="158" customFormat="1" ht="15.75" thickTop="1" x14ac:dyDescent="0.2">
      <c r="B72" s="37" t="s">
        <v>423</v>
      </c>
      <c r="C72" s="41">
        <f>+I62</f>
        <v>672</v>
      </c>
      <c r="D72" s="42"/>
      <c r="E72" s="31"/>
      <c r="F72" s="31"/>
      <c r="G72" s="31"/>
      <c r="H72" s="31"/>
      <c r="I72" s="31"/>
      <c r="J72" s="31"/>
      <c r="K72" s="31"/>
      <c r="L72" s="31"/>
    </row>
    <row r="73" spans="2:12" s="158" customFormat="1" ht="15" x14ac:dyDescent="0.25">
      <c r="B73" s="37" t="s">
        <v>312</v>
      </c>
      <c r="C73" s="43"/>
      <c r="D73" s="42"/>
      <c r="E73" s="31"/>
      <c r="F73" s="31"/>
      <c r="G73" s="31"/>
      <c r="H73" s="34" t="s">
        <v>103</v>
      </c>
      <c r="I73" s="32"/>
      <c r="J73" s="32"/>
      <c r="K73" s="32"/>
      <c r="L73" s="32"/>
    </row>
    <row r="74" spans="2:12" s="158" customFormat="1" ht="15" x14ac:dyDescent="0.25">
      <c r="B74" s="44" t="s">
        <v>313</v>
      </c>
      <c r="C74" s="45">
        <v>2703</v>
      </c>
      <c r="D74" s="42"/>
      <c r="E74" s="31"/>
      <c r="F74" s="31"/>
      <c r="G74" s="31"/>
      <c r="H74" s="32"/>
      <c r="I74" s="32" t="s">
        <v>95</v>
      </c>
      <c r="J74" s="32" t="s">
        <v>365</v>
      </c>
      <c r="K74" s="32" t="s">
        <v>366</v>
      </c>
      <c r="L74" s="32" t="s">
        <v>367</v>
      </c>
    </row>
    <row r="75" spans="2:12" s="158" customFormat="1" ht="15" x14ac:dyDescent="0.25">
      <c r="B75" s="44" t="s">
        <v>368</v>
      </c>
      <c r="C75" s="45">
        <v>90</v>
      </c>
      <c r="D75" s="42"/>
      <c r="E75" s="31"/>
      <c r="F75" s="31"/>
      <c r="G75" s="31"/>
      <c r="H75" s="32"/>
      <c r="I75" s="27" t="s">
        <v>148</v>
      </c>
      <c r="J75" s="27" t="s">
        <v>148</v>
      </c>
      <c r="K75" s="27" t="s">
        <v>148</v>
      </c>
      <c r="L75" s="27" t="s">
        <v>148</v>
      </c>
    </row>
    <row r="76" spans="2:12" s="158" customFormat="1" ht="15" x14ac:dyDescent="0.25">
      <c r="B76" s="44" t="s">
        <v>314</v>
      </c>
      <c r="C76" s="45"/>
      <c r="D76" s="42"/>
      <c r="E76" s="31"/>
      <c r="F76" s="31"/>
      <c r="G76" s="31"/>
      <c r="H76" s="32" t="s">
        <v>290</v>
      </c>
      <c r="I76" s="46">
        <f>19689-630</f>
        <v>19059</v>
      </c>
      <c r="J76" s="46">
        <v>7736</v>
      </c>
      <c r="K76" s="46">
        <f>13685-168</f>
        <v>13517</v>
      </c>
      <c r="L76" s="36">
        <v>7183</v>
      </c>
    </row>
    <row r="77" spans="2:12" s="158" customFormat="1" ht="15" x14ac:dyDescent="0.25">
      <c r="B77" s="44" t="s">
        <v>369</v>
      </c>
      <c r="C77" s="45"/>
      <c r="D77" s="42"/>
      <c r="E77" s="31"/>
      <c r="F77" s="31"/>
      <c r="G77" s="31"/>
      <c r="H77" s="32" t="s">
        <v>339</v>
      </c>
      <c r="I77" s="46"/>
      <c r="J77" s="46"/>
      <c r="K77" s="46"/>
      <c r="L77" s="36"/>
    </row>
    <row r="78" spans="2:12" s="158" customFormat="1" ht="15" x14ac:dyDescent="0.25">
      <c r="B78" s="44" t="s">
        <v>370</v>
      </c>
      <c r="C78" s="45">
        <v>-424</v>
      </c>
      <c r="D78" s="42"/>
      <c r="E78" s="31"/>
      <c r="F78" s="31"/>
      <c r="G78" s="31"/>
      <c r="H78" s="32" t="s">
        <v>340</v>
      </c>
      <c r="I78" s="46">
        <v>21658</v>
      </c>
      <c r="J78" s="46">
        <v>13702</v>
      </c>
      <c r="K78" s="46">
        <f>24372-240</f>
        <v>24132</v>
      </c>
      <c r="L78" s="36">
        <v>5769</v>
      </c>
    </row>
    <row r="79" spans="2:12" s="158" customFormat="1" ht="15.75" thickBot="1" x14ac:dyDescent="0.3">
      <c r="B79" s="44" t="s">
        <v>371</v>
      </c>
      <c r="C79" s="45"/>
      <c r="D79" s="42"/>
      <c r="E79" s="31"/>
      <c r="F79" s="31"/>
      <c r="G79" s="31"/>
      <c r="H79" s="32" t="s">
        <v>341</v>
      </c>
      <c r="I79" s="40">
        <f>I78-I76-I77</f>
        <v>2599</v>
      </c>
      <c r="J79" s="40">
        <f>J78-J76-J77</f>
        <v>5966</v>
      </c>
      <c r="K79" s="40">
        <f>K78-K76-K77</f>
        <v>10615</v>
      </c>
      <c r="L79" s="40">
        <f>L78-L76-L77</f>
        <v>-1414</v>
      </c>
    </row>
    <row r="80" spans="2:12" s="158" customFormat="1" ht="15.75" thickTop="1" x14ac:dyDescent="0.25">
      <c r="B80" s="44" t="s">
        <v>373</v>
      </c>
      <c r="C80" s="45"/>
      <c r="D80" s="42"/>
      <c r="E80" s="31"/>
      <c r="F80" s="31"/>
      <c r="G80" s="31"/>
      <c r="H80" s="34" t="s">
        <v>372</v>
      </c>
      <c r="I80" s="47"/>
      <c r="J80" s="47"/>
      <c r="K80" s="48"/>
      <c r="L80" s="49">
        <f>-(I79+J79+K79+L79)</f>
        <v>-17766</v>
      </c>
    </row>
    <row r="81" spans="2:12" s="158" customFormat="1" ht="15" x14ac:dyDescent="0.25">
      <c r="B81" s="44" t="s">
        <v>374</v>
      </c>
      <c r="C81" s="45"/>
      <c r="D81" s="42"/>
      <c r="E81" s="31"/>
      <c r="F81" s="31"/>
      <c r="G81" s="31"/>
      <c r="H81" s="32"/>
      <c r="I81" s="32"/>
      <c r="J81" s="32"/>
      <c r="K81" s="32"/>
      <c r="L81" s="32"/>
    </row>
    <row r="82" spans="2:12" s="158" customFormat="1" ht="15" x14ac:dyDescent="0.25">
      <c r="B82" s="44" t="s">
        <v>375</v>
      </c>
      <c r="C82" s="45">
        <v>-1</v>
      </c>
      <c r="D82" s="42"/>
      <c r="E82" s="31"/>
      <c r="F82" s="31"/>
      <c r="G82" s="31"/>
      <c r="H82" s="32"/>
      <c r="I82" s="32"/>
      <c r="J82" s="32"/>
      <c r="K82" s="32"/>
      <c r="L82" s="32"/>
    </row>
    <row r="83" spans="2:12" s="158" customFormat="1" ht="15" x14ac:dyDescent="0.25">
      <c r="B83" s="44" t="s">
        <v>132</v>
      </c>
      <c r="C83" s="45"/>
      <c r="D83" s="42"/>
      <c r="E83" s="31"/>
      <c r="F83" s="31"/>
      <c r="G83" s="31"/>
      <c r="H83" s="32" t="s">
        <v>376</v>
      </c>
      <c r="I83" s="32"/>
      <c r="J83" s="32"/>
      <c r="K83" s="32"/>
      <c r="L83" s="32"/>
    </row>
    <row r="84" spans="2:12" s="158" customFormat="1" ht="15" x14ac:dyDescent="0.2">
      <c r="B84" s="44" t="s">
        <v>268</v>
      </c>
      <c r="C84" s="50">
        <v>2856</v>
      </c>
      <c r="D84" s="42"/>
      <c r="E84" s="31"/>
      <c r="F84" s="31"/>
      <c r="G84" s="31"/>
      <c r="H84" s="31"/>
      <c r="I84" s="31"/>
      <c r="J84" s="31"/>
      <c r="K84" s="31"/>
      <c r="L84" s="31"/>
    </row>
    <row r="85" spans="2:12" s="158" customFormat="1" ht="15" x14ac:dyDescent="0.25">
      <c r="B85" s="44"/>
      <c r="C85" s="51">
        <f>SUM(C72:C84)</f>
        <v>5896</v>
      </c>
      <c r="D85" s="42"/>
      <c r="E85" s="31"/>
      <c r="F85" s="31"/>
      <c r="G85" s="31"/>
      <c r="H85" s="34" t="s">
        <v>215</v>
      </c>
      <c r="I85" s="32"/>
      <c r="J85" s="32"/>
      <c r="K85" s="52"/>
      <c r="L85" s="31"/>
    </row>
    <row r="86" spans="2:12" s="158" customFormat="1" ht="15" x14ac:dyDescent="0.25">
      <c r="B86" s="44" t="str">
        <f>IF(C86&lt;0,"Increase in inventories","Decrease in inventories")</f>
        <v>Increase in inventories</v>
      </c>
      <c r="C86" s="53">
        <f>-I79</f>
        <v>-2599</v>
      </c>
      <c r="D86" s="42"/>
      <c r="E86" s="31"/>
      <c r="F86" s="31"/>
      <c r="G86" s="31"/>
      <c r="H86" s="32" t="s">
        <v>377</v>
      </c>
      <c r="I86" s="32"/>
      <c r="J86" s="54"/>
      <c r="K86" s="46">
        <v>168</v>
      </c>
      <c r="L86" s="31" t="str">
        <f ca="1">IFERROR(_xlfn.FORMULATEXT(K86)," ")</f>
        <v xml:space="preserve"> </v>
      </c>
    </row>
    <row r="87" spans="2:12" s="158" customFormat="1" ht="15" x14ac:dyDescent="0.25">
      <c r="B87" s="44" t="str">
        <f>IF(C87&lt;0,"Increase in trade and other receivables","Decrease in trade and other receivables")</f>
        <v>Increase in trade and other receivables</v>
      </c>
      <c r="C87" s="53">
        <f>-J79</f>
        <v>-5966</v>
      </c>
      <c r="D87" s="42"/>
      <c r="E87" s="31"/>
      <c r="F87" s="31"/>
      <c r="G87" s="31"/>
      <c r="H87" s="32" t="s">
        <v>268</v>
      </c>
      <c r="I87" s="32"/>
      <c r="J87" s="54"/>
      <c r="K87" s="46">
        <v>2856</v>
      </c>
      <c r="L87" s="31" t="str">
        <f t="shared" ref="L87:L144" ca="1" si="0">IFERROR(_xlfn.FORMULATEXT(K87)," ")</f>
        <v xml:space="preserve"> </v>
      </c>
    </row>
    <row r="88" spans="2:12" s="158" customFormat="1" ht="15" x14ac:dyDescent="0.25">
      <c r="B88" s="44" t="str">
        <f>IF(C88&gt;0,"Increase in trade and other payables","Decrease in trade and other payables")</f>
        <v>Increase in trade and other payables</v>
      </c>
      <c r="C88" s="41">
        <f>K79</f>
        <v>10615</v>
      </c>
      <c r="D88" s="42"/>
      <c r="E88" s="31"/>
      <c r="F88" s="31"/>
      <c r="G88" s="31"/>
      <c r="H88" s="32" t="s">
        <v>378</v>
      </c>
      <c r="I88" s="32"/>
      <c r="J88" s="54"/>
      <c r="K88" s="46"/>
      <c r="L88" s="31" t="str">
        <f t="shared" ca="1" si="0"/>
        <v xml:space="preserve"> </v>
      </c>
    </row>
    <row r="89" spans="2:12" s="158" customFormat="1" ht="15" x14ac:dyDescent="0.25">
      <c r="B89" s="44" t="str">
        <f>IF(C89&gt;0,"Increase in provisions","Decrease in provisions")</f>
        <v>Decrease in provisions</v>
      </c>
      <c r="C89" s="41">
        <f>L79</f>
        <v>-1414</v>
      </c>
      <c r="D89" s="42"/>
      <c r="E89" s="31"/>
      <c r="F89" s="31"/>
      <c r="G89" s="31"/>
      <c r="H89" s="32" t="s">
        <v>362</v>
      </c>
      <c r="I89" s="32"/>
      <c r="J89" s="54"/>
      <c r="K89" s="46"/>
      <c r="L89" s="31"/>
    </row>
    <row r="90" spans="2:12" s="158" customFormat="1" ht="15" x14ac:dyDescent="0.25">
      <c r="B90" s="37" t="s">
        <v>80</v>
      </c>
      <c r="C90" s="55">
        <f>SUM(C85:C89)</f>
        <v>6532</v>
      </c>
      <c r="D90" s="42"/>
      <c r="E90" s="31"/>
      <c r="F90" s="31"/>
      <c r="G90" s="31"/>
      <c r="H90" s="32" t="s">
        <v>379</v>
      </c>
      <c r="I90" s="32"/>
      <c r="J90" s="54"/>
      <c r="K90" s="46"/>
      <c r="L90" s="31"/>
    </row>
    <row r="91" spans="2:12" s="158" customFormat="1" ht="15" x14ac:dyDescent="0.25">
      <c r="B91" s="37" t="s">
        <v>215</v>
      </c>
      <c r="C91" s="41">
        <f>-K94</f>
        <v>-2784</v>
      </c>
      <c r="D91" s="42"/>
      <c r="E91" s="31"/>
      <c r="F91" s="31"/>
      <c r="G91" s="31"/>
      <c r="H91" s="32" t="s">
        <v>380</v>
      </c>
      <c r="I91" s="32"/>
      <c r="J91" s="54"/>
      <c r="K91" s="46"/>
      <c r="L91" s="31" t="str">
        <f t="shared" ca="1" si="0"/>
        <v xml:space="preserve"> </v>
      </c>
    </row>
    <row r="92" spans="2:12" s="158" customFormat="1" ht="15" x14ac:dyDescent="0.25">
      <c r="B92" s="37" t="s">
        <v>117</v>
      </c>
      <c r="C92" s="56">
        <f>-K103</f>
        <v>-1229</v>
      </c>
      <c r="D92" s="42"/>
      <c r="E92" s="31"/>
      <c r="F92" s="31"/>
      <c r="G92" s="31"/>
      <c r="H92" s="32"/>
      <c r="I92" s="32"/>
      <c r="J92" s="54"/>
      <c r="K92" s="57">
        <f>K86+K87-K91+K88+K89+K90</f>
        <v>3024</v>
      </c>
      <c r="L92" s="31"/>
    </row>
    <row r="93" spans="2:12" s="158" customFormat="1" ht="15" x14ac:dyDescent="0.25">
      <c r="B93" s="58" t="s">
        <v>424</v>
      </c>
      <c r="C93" s="59"/>
      <c r="D93" s="60">
        <f>SUM(C90:C92)</f>
        <v>2519</v>
      </c>
      <c r="E93" s="31"/>
      <c r="F93" s="31"/>
      <c r="G93" s="31"/>
      <c r="H93" s="32" t="s">
        <v>288</v>
      </c>
      <c r="I93" s="32"/>
      <c r="J93" s="54"/>
      <c r="K93" s="46">
        <v>240</v>
      </c>
      <c r="L93" s="31" t="str">
        <f t="shared" ca="1" si="0"/>
        <v xml:space="preserve"> </v>
      </c>
    </row>
    <row r="94" spans="2:12" s="158" customFormat="1" ht="15.75" thickBot="1" x14ac:dyDescent="0.3">
      <c r="B94" s="37"/>
      <c r="C94" s="42"/>
      <c r="D94" s="42"/>
      <c r="E94" s="31"/>
      <c r="F94" s="31"/>
      <c r="G94" s="31"/>
      <c r="H94" s="32" t="s">
        <v>215</v>
      </c>
      <c r="I94" s="32"/>
      <c r="J94" s="54"/>
      <c r="K94" s="61">
        <f>K92-K93</f>
        <v>2784</v>
      </c>
      <c r="L94" s="31"/>
    </row>
    <row r="95" spans="2:12" s="158" customFormat="1" ht="16.5" thickTop="1" x14ac:dyDescent="0.25">
      <c r="B95" s="33" t="s">
        <v>318</v>
      </c>
      <c r="C95" s="42"/>
      <c r="D95" s="42"/>
      <c r="E95" s="31"/>
      <c r="F95" s="31"/>
      <c r="G95" s="31"/>
      <c r="H95" s="32"/>
      <c r="I95" s="32"/>
      <c r="J95" s="54"/>
      <c r="K95" s="54"/>
      <c r="L95" s="31" t="str">
        <f t="shared" ca="1" si="0"/>
        <v xml:space="preserve"> </v>
      </c>
    </row>
    <row r="96" spans="2:12" s="158" customFormat="1" ht="15" x14ac:dyDescent="0.25">
      <c r="B96" s="37" t="s">
        <v>381</v>
      </c>
      <c r="C96" s="41"/>
      <c r="D96" s="42"/>
      <c r="E96" s="31"/>
      <c r="F96" s="31"/>
      <c r="G96" s="31"/>
      <c r="H96" s="34" t="s">
        <v>117</v>
      </c>
      <c r="I96" s="32"/>
      <c r="J96" s="54"/>
      <c r="K96" s="54"/>
      <c r="L96" s="31" t="str">
        <f t="shared" ca="1" si="0"/>
        <v xml:space="preserve"> </v>
      </c>
    </row>
    <row r="97" spans="2:12" s="158" customFormat="1" ht="15" x14ac:dyDescent="0.25">
      <c r="B97" s="37" t="s">
        <v>382</v>
      </c>
      <c r="C97" s="41"/>
      <c r="D97" s="42"/>
      <c r="E97" s="31"/>
      <c r="F97" s="31"/>
      <c r="G97" s="31"/>
      <c r="H97" s="32" t="s">
        <v>218</v>
      </c>
      <c r="I97" s="32"/>
      <c r="J97" s="46">
        <f>1254-170</f>
        <v>1084</v>
      </c>
      <c r="K97" s="62"/>
      <c r="L97" s="31" t="str">
        <f t="shared" ca="1" si="0"/>
        <v xml:space="preserve"> </v>
      </c>
    </row>
    <row r="98" spans="2:12" s="158" customFormat="1" ht="15" x14ac:dyDescent="0.25">
      <c r="B98" s="37" t="s">
        <v>319</v>
      </c>
      <c r="C98" s="41">
        <v>-6436</v>
      </c>
      <c r="D98" s="42"/>
      <c r="E98" s="31"/>
      <c r="F98" s="31"/>
      <c r="G98" s="31"/>
      <c r="H98" s="32" t="s">
        <v>383</v>
      </c>
      <c r="I98" s="32"/>
      <c r="J98" s="46"/>
      <c r="K98" s="62">
        <f>J98+J97</f>
        <v>1084</v>
      </c>
      <c r="L98" s="31"/>
    </row>
    <row r="99" spans="2:12" s="158" customFormat="1" ht="15" x14ac:dyDescent="0.25">
      <c r="B99" s="37" t="s">
        <v>320</v>
      </c>
      <c r="C99" s="41">
        <f>+G57</f>
        <v>1250</v>
      </c>
      <c r="D99" s="42"/>
      <c r="E99" s="31"/>
      <c r="F99" s="31"/>
      <c r="G99" s="31"/>
      <c r="H99" s="32" t="s">
        <v>344</v>
      </c>
      <c r="I99" s="32"/>
      <c r="J99" s="62"/>
      <c r="K99" s="46">
        <v>205</v>
      </c>
      <c r="L99" s="31" t="str">
        <f t="shared" ca="1" si="0"/>
        <v xml:space="preserve"> </v>
      </c>
    </row>
    <row r="100" spans="2:12" s="158" customFormat="1" ht="15" x14ac:dyDescent="0.25">
      <c r="B100" s="37" t="s">
        <v>689</v>
      </c>
      <c r="C100" s="41" cm="1">
        <f t="array" ref="C100">-_xlfn.ANCHORARRAY(G14)</f>
        <v>-720</v>
      </c>
      <c r="D100" s="42"/>
      <c r="E100" s="31"/>
      <c r="F100" s="31"/>
      <c r="G100" s="31"/>
      <c r="H100" s="32"/>
      <c r="I100" s="32"/>
      <c r="J100" s="62"/>
      <c r="K100" s="62">
        <f>K98+K99</f>
        <v>1289</v>
      </c>
      <c r="L100" s="31"/>
    </row>
    <row r="101" spans="2:12" s="158" customFormat="1" ht="15" x14ac:dyDescent="0.25">
      <c r="B101" s="37" t="s">
        <v>321</v>
      </c>
      <c r="C101" s="41">
        <f>+F363</f>
        <v>150.96</v>
      </c>
      <c r="D101" s="42"/>
      <c r="E101" s="31"/>
      <c r="F101" s="31"/>
      <c r="G101" s="31"/>
      <c r="H101" s="32" t="s">
        <v>220</v>
      </c>
      <c r="I101" s="32"/>
      <c r="J101" s="46">
        <v>60</v>
      </c>
      <c r="K101" s="62"/>
      <c r="L101" s="31" t="str">
        <f t="shared" ca="1" si="0"/>
        <v xml:space="preserve"> </v>
      </c>
    </row>
    <row r="102" spans="2:12" s="158" customFormat="1" ht="15" x14ac:dyDescent="0.25">
      <c r="B102" s="37" t="s">
        <v>384</v>
      </c>
      <c r="C102" s="41"/>
      <c r="D102" s="42"/>
      <c r="E102" s="31"/>
      <c r="F102" s="31"/>
      <c r="G102" s="31"/>
      <c r="H102" s="32" t="s">
        <v>385</v>
      </c>
      <c r="I102" s="32"/>
      <c r="J102" s="46"/>
      <c r="K102" s="62">
        <f>J102+J101</f>
        <v>60</v>
      </c>
      <c r="L102" s="31"/>
    </row>
    <row r="103" spans="2:12" s="158" customFormat="1" ht="15.75" thickBot="1" x14ac:dyDescent="0.3">
      <c r="B103" s="37" t="s">
        <v>135</v>
      </c>
      <c r="C103" s="41">
        <f>K128</f>
        <v>0</v>
      </c>
      <c r="D103" s="42"/>
      <c r="E103" s="31"/>
      <c r="F103" s="31"/>
      <c r="G103" s="31"/>
      <c r="H103" s="32" t="s">
        <v>117</v>
      </c>
      <c r="I103" s="32"/>
      <c r="J103" s="62"/>
      <c r="K103" s="61">
        <f>K100-K102</f>
        <v>1229</v>
      </c>
      <c r="L103" s="31"/>
    </row>
    <row r="104" spans="2:12" s="158" customFormat="1" ht="15.75" thickTop="1" x14ac:dyDescent="0.25">
      <c r="B104" s="37" t="s">
        <v>386</v>
      </c>
      <c r="C104" s="56">
        <f>K139</f>
        <v>0</v>
      </c>
      <c r="D104" s="42"/>
      <c r="E104" s="31"/>
      <c r="F104" s="31"/>
      <c r="G104" s="31"/>
      <c r="H104" s="32"/>
      <c r="I104" s="32"/>
      <c r="J104" s="54"/>
      <c r="K104" s="54"/>
      <c r="L104" s="31" t="str">
        <f t="shared" ca="1" si="0"/>
        <v xml:space="preserve"> </v>
      </c>
    </row>
    <row r="105" spans="2:12" s="158" customFormat="1" ht="15" x14ac:dyDescent="0.25">
      <c r="B105" s="58" t="s">
        <v>425</v>
      </c>
      <c r="C105" s="59"/>
      <c r="D105" s="60">
        <f>SUM(C96:C104)</f>
        <v>-5755.04</v>
      </c>
      <c r="E105" s="31"/>
      <c r="F105" s="31"/>
      <c r="G105" s="31"/>
      <c r="H105" s="34" t="s">
        <v>221</v>
      </c>
      <c r="I105" s="32"/>
      <c r="J105" s="54"/>
      <c r="K105" s="54"/>
      <c r="L105" s="31" t="str">
        <f t="shared" ca="1" si="0"/>
        <v xml:space="preserve"> </v>
      </c>
    </row>
    <row r="106" spans="2:12" s="158" customFormat="1" ht="15" x14ac:dyDescent="0.25">
      <c r="B106" s="37"/>
      <c r="C106" s="42"/>
      <c r="D106" s="42"/>
      <c r="E106" s="31"/>
      <c r="F106" s="31"/>
      <c r="G106" s="31"/>
      <c r="H106" s="32" t="s">
        <v>151</v>
      </c>
      <c r="I106" s="32"/>
      <c r="J106" s="54"/>
      <c r="K106" s="46">
        <v>35519</v>
      </c>
      <c r="L106" s="31" t="str">
        <f t="shared" ca="1" si="0"/>
        <v xml:space="preserve"> </v>
      </c>
    </row>
    <row r="107" spans="2:12" s="158" customFormat="1" ht="15.75" x14ac:dyDescent="0.25">
      <c r="B107" s="33" t="s">
        <v>199</v>
      </c>
      <c r="C107" s="42"/>
      <c r="D107" s="42"/>
      <c r="E107" s="31"/>
      <c r="F107" s="31"/>
      <c r="G107" s="31"/>
      <c r="H107" s="32" t="s">
        <v>387</v>
      </c>
      <c r="I107" s="32"/>
      <c r="J107" s="54"/>
      <c r="K107" s="46"/>
      <c r="L107" s="31" t="str">
        <f t="shared" ca="1" si="0"/>
        <v xml:space="preserve"> </v>
      </c>
    </row>
    <row r="108" spans="2:12" s="158" customFormat="1" ht="15" x14ac:dyDescent="0.25">
      <c r="B108" s="37" t="s">
        <v>181</v>
      </c>
      <c r="C108" s="41">
        <f>K145</f>
        <v>7500</v>
      </c>
      <c r="D108" s="42"/>
      <c r="E108" s="31"/>
      <c r="F108" s="31"/>
      <c r="G108" s="31"/>
      <c r="H108" s="32" t="s">
        <v>388</v>
      </c>
      <c r="I108" s="32"/>
      <c r="J108" s="54"/>
      <c r="K108" s="46"/>
      <c r="L108" s="31" t="str">
        <f t="shared" ca="1" si="0"/>
        <v xml:space="preserve"> </v>
      </c>
    </row>
    <row r="109" spans="2:12" s="158" customFormat="1" ht="15" x14ac:dyDescent="0.25">
      <c r="B109" s="37" t="s">
        <v>389</v>
      </c>
      <c r="C109" s="41"/>
      <c r="D109" s="42"/>
      <c r="E109" s="31"/>
      <c r="F109" s="31"/>
      <c r="G109" s="31"/>
      <c r="H109" s="32" t="s">
        <v>390</v>
      </c>
      <c r="I109" s="32"/>
      <c r="J109" s="54"/>
      <c r="K109" s="46"/>
      <c r="L109" s="31" t="str">
        <f t="shared" ca="1" si="0"/>
        <v xml:space="preserve"> </v>
      </c>
    </row>
    <row r="110" spans="2:12" s="158" customFormat="1" ht="15" x14ac:dyDescent="0.25">
      <c r="B110" s="37" t="s">
        <v>391</v>
      </c>
      <c r="C110" s="41">
        <f>+K150</f>
        <v>0</v>
      </c>
      <c r="D110" s="42"/>
      <c r="E110" s="31"/>
      <c r="F110" s="31"/>
      <c r="G110" s="31"/>
      <c r="H110" s="32" t="s">
        <v>392</v>
      </c>
      <c r="I110" s="32"/>
      <c r="J110" s="54"/>
      <c r="K110" s="46"/>
      <c r="L110" s="31" t="str">
        <f t="shared" ca="1" si="0"/>
        <v xml:space="preserve"> </v>
      </c>
    </row>
    <row r="111" spans="2:12" s="158" customFormat="1" ht="15" x14ac:dyDescent="0.25">
      <c r="B111" s="37" t="s">
        <v>194</v>
      </c>
      <c r="C111" s="41">
        <v>980</v>
      </c>
      <c r="D111" s="42"/>
      <c r="E111" s="31"/>
      <c r="F111" s="31"/>
      <c r="G111" s="31"/>
      <c r="H111" s="32"/>
      <c r="I111" s="32"/>
      <c r="J111" s="54"/>
      <c r="K111" s="57">
        <f>K106-K108+K107-K109+K110</f>
        <v>35519</v>
      </c>
      <c r="L111" s="31"/>
    </row>
    <row r="112" spans="2:12" s="158" customFormat="1" ht="15" x14ac:dyDescent="0.25">
      <c r="B112" s="37" t="s">
        <v>323</v>
      </c>
      <c r="C112" s="41">
        <f>-K177</f>
        <v>-2500</v>
      </c>
      <c r="D112" s="42"/>
      <c r="E112" s="31"/>
      <c r="F112" s="31"/>
      <c r="G112" s="31"/>
      <c r="H112" s="32" t="s">
        <v>156</v>
      </c>
      <c r="I112" s="32"/>
      <c r="J112" s="54"/>
      <c r="K112" s="46">
        <v>43229</v>
      </c>
      <c r="L112" s="31"/>
    </row>
    <row r="113" spans="2:12" s="158" customFormat="1" ht="15.75" thickBot="1" x14ac:dyDescent="0.3">
      <c r="B113" s="37" t="s">
        <v>393</v>
      </c>
      <c r="C113" s="41">
        <f>-K185</f>
        <v>0</v>
      </c>
      <c r="D113" s="42"/>
      <c r="E113" s="31"/>
      <c r="F113" s="31"/>
      <c r="G113" s="31"/>
      <c r="H113" s="32" t="s">
        <v>221</v>
      </c>
      <c r="I113" s="32"/>
      <c r="J113" s="54"/>
      <c r="K113" s="63">
        <f>K112-K111</f>
        <v>7710</v>
      </c>
      <c r="L113" s="31"/>
    </row>
    <row r="114" spans="2:12" s="158" customFormat="1" ht="15.75" thickTop="1" x14ac:dyDescent="0.25">
      <c r="B114" s="37" t="s">
        <v>394</v>
      </c>
      <c r="C114" s="41"/>
      <c r="D114" s="42"/>
      <c r="E114" s="31"/>
      <c r="F114" s="31"/>
      <c r="G114" s="31"/>
      <c r="H114" s="32"/>
      <c r="I114" s="32"/>
      <c r="J114" s="54"/>
      <c r="K114" s="54"/>
      <c r="L114" s="31" t="str">
        <f t="shared" ca="1" si="0"/>
        <v xml:space="preserve"> </v>
      </c>
    </row>
    <row r="115" spans="2:12" s="158" customFormat="1" ht="15" x14ac:dyDescent="0.25">
      <c r="B115" s="37" t="s">
        <v>395</v>
      </c>
      <c r="C115" s="41"/>
      <c r="D115" s="42"/>
      <c r="E115" s="31"/>
      <c r="F115" s="31"/>
      <c r="G115" s="31"/>
      <c r="H115" s="34" t="s">
        <v>225</v>
      </c>
      <c r="I115" s="64"/>
      <c r="J115" s="65"/>
      <c r="K115" s="65"/>
      <c r="L115" s="31" t="str">
        <f t="shared" ca="1" si="0"/>
        <v xml:space="preserve"> </v>
      </c>
    </row>
    <row r="116" spans="2:12" s="158" customFormat="1" ht="15" x14ac:dyDescent="0.25">
      <c r="B116" s="37" t="s">
        <v>147</v>
      </c>
      <c r="C116" s="56">
        <f>-K137</f>
        <v>0</v>
      </c>
      <c r="D116" s="42"/>
      <c r="E116" s="31"/>
      <c r="F116" s="31"/>
      <c r="G116" s="31"/>
      <c r="H116" s="32" t="s">
        <v>226</v>
      </c>
      <c r="I116" s="64"/>
      <c r="J116" s="65"/>
      <c r="K116" s="67">
        <v>0</v>
      </c>
      <c r="L116" s="31" t="str">
        <f t="shared" ca="1" si="0"/>
        <v xml:space="preserve"> </v>
      </c>
    </row>
    <row r="117" spans="2:12" s="158" customFormat="1" ht="15" x14ac:dyDescent="0.25">
      <c r="B117" s="58" t="s">
        <v>426</v>
      </c>
      <c r="C117" s="59"/>
      <c r="D117" s="66">
        <f>SUM(C108:C116)</f>
        <v>5980</v>
      </c>
      <c r="E117" s="31"/>
      <c r="F117" s="31"/>
      <c r="G117" s="31"/>
      <c r="H117" s="32" t="s">
        <v>347</v>
      </c>
      <c r="I117" s="64"/>
      <c r="J117" s="65"/>
      <c r="K117" s="67"/>
      <c r="L117" s="31" t="str">
        <f t="shared" ca="1" si="0"/>
        <v xml:space="preserve"> </v>
      </c>
    </row>
    <row r="118" spans="2:12" s="158" customFormat="1" ht="15.75" thickBot="1" x14ac:dyDescent="0.3">
      <c r="B118" s="37"/>
      <c r="C118" s="42"/>
      <c r="D118" s="59"/>
      <c r="E118" s="31"/>
      <c r="F118" s="31"/>
      <c r="G118" s="31"/>
      <c r="H118" s="32" t="s">
        <v>225</v>
      </c>
      <c r="I118" s="64"/>
      <c r="J118" s="65"/>
      <c r="K118" s="63">
        <f>K116-K117</f>
        <v>0</v>
      </c>
      <c r="L118" s="31"/>
    </row>
    <row r="119" spans="2:12" s="158" customFormat="1" ht="16.5" thickTop="1" x14ac:dyDescent="0.2">
      <c r="B119" s="33" t="s">
        <v>324</v>
      </c>
      <c r="C119" s="42"/>
      <c r="D119" s="60">
        <f>SUM(D93,D105,D117)</f>
        <v>2743.96</v>
      </c>
      <c r="E119" s="31"/>
      <c r="F119" s="31"/>
      <c r="G119" s="31"/>
      <c r="H119" s="64"/>
      <c r="I119" s="64"/>
      <c r="J119" s="65"/>
      <c r="K119" s="65"/>
      <c r="L119" s="31" t="str">
        <f t="shared" ca="1" si="0"/>
        <v xml:space="preserve"> </v>
      </c>
    </row>
    <row r="120" spans="2:12" s="158" customFormat="1" ht="15.75" x14ac:dyDescent="0.2">
      <c r="B120" s="68" t="s">
        <v>427</v>
      </c>
      <c r="C120" s="42"/>
      <c r="D120" s="56">
        <f>K71</f>
        <v>-7949</v>
      </c>
      <c r="E120" s="31"/>
      <c r="F120" s="31"/>
      <c r="G120" s="31"/>
      <c r="H120" s="64"/>
      <c r="I120" s="64"/>
      <c r="J120" s="65"/>
      <c r="K120" s="65"/>
      <c r="L120" s="31" t="str">
        <f t="shared" ca="1" si="0"/>
        <v xml:space="preserve"> </v>
      </c>
    </row>
    <row r="121" spans="2:12" s="158" customFormat="1" ht="16.5" thickBot="1" x14ac:dyDescent="0.3">
      <c r="B121" s="33" t="s">
        <v>428</v>
      </c>
      <c r="C121" s="42"/>
      <c r="D121" s="69">
        <f>J71</f>
        <v>-5205</v>
      </c>
      <c r="E121" s="31"/>
      <c r="F121" s="31"/>
      <c r="G121" s="31"/>
      <c r="H121" s="34" t="s">
        <v>135</v>
      </c>
      <c r="I121" s="32"/>
      <c r="J121" s="54"/>
      <c r="K121" s="54"/>
      <c r="L121" s="31" t="str">
        <f t="shared" ca="1" si="0"/>
        <v xml:space="preserve"> </v>
      </c>
    </row>
    <row r="122" spans="2:12" s="158" customFormat="1" ht="15" x14ac:dyDescent="0.25">
      <c r="B122" s="31"/>
      <c r="C122" s="70"/>
      <c r="D122" s="70"/>
      <c r="E122" s="31"/>
      <c r="F122" s="31"/>
      <c r="G122" s="31"/>
      <c r="H122" s="32" t="s">
        <v>300</v>
      </c>
      <c r="I122" s="32"/>
      <c r="J122" s="54"/>
      <c r="K122" s="36">
        <v>0</v>
      </c>
      <c r="L122" s="31" t="str">
        <f t="shared" ca="1" si="0"/>
        <v xml:space="preserve"> </v>
      </c>
    </row>
    <row r="123" spans="2:12" s="158" customFormat="1" ht="15" x14ac:dyDescent="0.25">
      <c r="B123" s="31"/>
      <c r="C123" s="71">
        <f>D121-(SUM(D119:D120))</f>
        <v>3.999999999996362E-2</v>
      </c>
      <c r="D123" s="72"/>
      <c r="E123" s="31"/>
      <c r="F123" s="31"/>
      <c r="G123" s="31"/>
      <c r="H123" s="32" t="s">
        <v>132</v>
      </c>
      <c r="I123" s="32"/>
      <c r="J123" s="54"/>
      <c r="K123" s="46">
        <v>0</v>
      </c>
      <c r="L123" s="31" t="str">
        <f t="shared" ca="1" si="0"/>
        <v xml:space="preserve"> </v>
      </c>
    </row>
    <row r="124" spans="2:12" s="158" customFormat="1" ht="15" x14ac:dyDescent="0.25">
      <c r="B124" s="31"/>
      <c r="C124" s="70"/>
      <c r="D124" s="70"/>
      <c r="E124" s="31"/>
      <c r="F124" s="31"/>
      <c r="G124" s="31"/>
      <c r="H124" s="32" t="s">
        <v>396</v>
      </c>
      <c r="I124" s="32"/>
      <c r="J124" s="54"/>
      <c r="K124" s="46"/>
      <c r="L124" s="31" t="str">
        <f t="shared" ca="1" si="0"/>
        <v xml:space="preserve"> </v>
      </c>
    </row>
    <row r="125" spans="2:12" s="158" customFormat="1" ht="15" x14ac:dyDescent="0.25">
      <c r="B125" s="31"/>
      <c r="C125" s="70"/>
      <c r="D125" s="70"/>
      <c r="E125" s="31"/>
      <c r="F125" s="31"/>
      <c r="G125" s="31"/>
      <c r="H125" s="32" t="s">
        <v>397</v>
      </c>
      <c r="I125" s="32"/>
      <c r="J125" s="54"/>
      <c r="K125" s="46"/>
      <c r="L125" s="31" t="str">
        <f t="shared" ca="1" si="0"/>
        <v xml:space="preserve"> </v>
      </c>
    </row>
    <row r="126" spans="2:12" s="158" customFormat="1" ht="15" x14ac:dyDescent="0.25">
      <c r="B126" s="31"/>
      <c r="C126" s="70"/>
      <c r="D126" s="70"/>
      <c r="E126" s="31"/>
      <c r="F126" s="31"/>
      <c r="G126" s="31"/>
      <c r="H126" s="32"/>
      <c r="I126" s="32"/>
      <c r="J126" s="54"/>
      <c r="K126" s="73">
        <f>K122+K123+K125-K124</f>
        <v>0</v>
      </c>
      <c r="L126" s="31"/>
    </row>
    <row r="127" spans="2:12" s="158" customFormat="1" ht="15" x14ac:dyDescent="0.25">
      <c r="B127" s="31"/>
      <c r="C127" s="70"/>
      <c r="D127" s="70"/>
      <c r="E127" s="31"/>
      <c r="F127" s="31"/>
      <c r="G127" s="31"/>
      <c r="H127" s="32" t="s">
        <v>301</v>
      </c>
      <c r="I127" s="32"/>
      <c r="J127" s="54"/>
      <c r="K127" s="36">
        <v>0</v>
      </c>
      <c r="L127" s="31" t="str">
        <f t="shared" ca="1" si="0"/>
        <v xml:space="preserve"> </v>
      </c>
    </row>
    <row r="128" spans="2:12" s="158" customFormat="1" ht="15.75" thickBot="1" x14ac:dyDescent="0.3">
      <c r="B128" s="31"/>
      <c r="C128" s="70"/>
      <c r="D128" s="70"/>
      <c r="E128" s="31"/>
      <c r="F128" s="31"/>
      <c r="G128" s="31"/>
      <c r="H128" s="32" t="s">
        <v>135</v>
      </c>
      <c r="I128" s="32"/>
      <c r="J128" s="54"/>
      <c r="K128" s="63">
        <f>K126-K127</f>
        <v>0</v>
      </c>
      <c r="L128" s="31"/>
    </row>
    <row r="129" spans="2:12" s="158" customFormat="1" ht="15.75" thickTop="1" x14ac:dyDescent="0.25">
      <c r="B129" s="31"/>
      <c r="C129" s="70"/>
      <c r="D129" s="70"/>
      <c r="E129" s="31"/>
      <c r="F129" s="31"/>
      <c r="G129" s="31"/>
      <c r="H129" s="32"/>
      <c r="I129" s="32"/>
      <c r="J129" s="54"/>
      <c r="K129" s="54"/>
      <c r="L129" s="31" t="str">
        <f t="shared" ca="1" si="0"/>
        <v xml:space="preserve"> </v>
      </c>
    </row>
    <row r="130" spans="2:12" s="158" customFormat="1" ht="15" x14ac:dyDescent="0.25">
      <c r="B130" s="31"/>
      <c r="C130" s="70"/>
      <c r="D130" s="70"/>
      <c r="E130" s="31"/>
      <c r="F130" s="31"/>
      <c r="G130" s="31"/>
      <c r="H130" s="34" t="s">
        <v>147</v>
      </c>
      <c r="I130" s="32"/>
      <c r="J130" s="54"/>
      <c r="K130" s="54"/>
      <c r="L130" s="31" t="str">
        <f t="shared" ca="1" si="0"/>
        <v xml:space="preserve"> </v>
      </c>
    </row>
    <row r="131" spans="2:12" s="158" customFormat="1" ht="15" x14ac:dyDescent="0.25">
      <c r="B131" s="31"/>
      <c r="C131" s="70"/>
      <c r="D131" s="70"/>
      <c r="E131" s="31"/>
      <c r="F131" s="31"/>
      <c r="G131" s="31"/>
      <c r="H131" s="32" t="s">
        <v>143</v>
      </c>
      <c r="I131" s="32"/>
      <c r="J131" s="54"/>
      <c r="K131" s="74"/>
      <c r="L131" s="31" t="str">
        <f t="shared" ca="1" si="0"/>
        <v xml:space="preserve"> </v>
      </c>
    </row>
    <row r="132" spans="2:12" s="158" customFormat="1" ht="15" x14ac:dyDescent="0.25">
      <c r="B132" s="31"/>
      <c r="C132" s="70"/>
      <c r="D132" s="70"/>
      <c r="E132" s="31"/>
      <c r="F132" s="31"/>
      <c r="G132" s="31"/>
      <c r="H132" s="32" t="s">
        <v>305</v>
      </c>
      <c r="I132" s="32"/>
      <c r="J132" s="54"/>
      <c r="K132" s="74"/>
      <c r="L132" s="31" t="str">
        <f t="shared" ca="1" si="0"/>
        <v xml:space="preserve"> </v>
      </c>
    </row>
    <row r="133" spans="2:12" s="158" customFormat="1" ht="15" x14ac:dyDescent="0.25">
      <c r="B133" s="31"/>
      <c r="C133" s="70"/>
      <c r="D133" s="70"/>
      <c r="E133" s="31"/>
      <c r="F133" s="31"/>
      <c r="G133" s="31"/>
      <c r="H133" s="32" t="s">
        <v>349</v>
      </c>
      <c r="I133" s="32"/>
      <c r="J133" s="54"/>
      <c r="K133" s="75"/>
      <c r="L133" s="31" t="str">
        <f ca="1">IFERROR(_xlfn.FORMULATEXT(K134)," ")</f>
        <v xml:space="preserve"> </v>
      </c>
    </row>
    <row r="134" spans="2:12" s="158" customFormat="1" ht="15" x14ac:dyDescent="0.25">
      <c r="B134" s="31"/>
      <c r="C134" s="70"/>
      <c r="D134" s="70"/>
      <c r="E134" s="31"/>
      <c r="F134" s="31"/>
      <c r="G134" s="31"/>
      <c r="H134" s="32" t="s">
        <v>398</v>
      </c>
      <c r="I134" s="32"/>
      <c r="J134" s="54"/>
      <c r="K134" s="74"/>
      <c r="L134" s="31"/>
    </row>
    <row r="135" spans="2:12" s="158" customFormat="1" ht="15" x14ac:dyDescent="0.25">
      <c r="B135" s="31"/>
      <c r="C135" s="70"/>
      <c r="D135" s="70"/>
      <c r="E135" s="31"/>
      <c r="F135" s="31"/>
      <c r="G135" s="31"/>
      <c r="H135" s="32"/>
      <c r="I135" s="32"/>
      <c r="J135" s="54"/>
      <c r="K135" s="57">
        <f>K131+K132+K134-K133</f>
        <v>0</v>
      </c>
      <c r="L135" s="31" t="str">
        <f ca="1">IFERROR(_xlfn.FORMULATEXT(K136)," ")</f>
        <v xml:space="preserve"> </v>
      </c>
    </row>
    <row r="136" spans="2:12" s="158" customFormat="1" ht="15" x14ac:dyDescent="0.25">
      <c r="B136" s="31"/>
      <c r="C136" s="70"/>
      <c r="D136" s="70"/>
      <c r="E136" s="31"/>
      <c r="F136" s="31"/>
      <c r="G136" s="31"/>
      <c r="H136" s="32" t="s">
        <v>233</v>
      </c>
      <c r="I136" s="32"/>
      <c r="J136" s="54"/>
      <c r="K136" s="74"/>
      <c r="L136" s="31"/>
    </row>
    <row r="137" spans="2:12" s="158" customFormat="1" ht="15.75" thickBot="1" x14ac:dyDescent="0.3">
      <c r="B137" s="31"/>
      <c r="C137" s="76"/>
      <c r="D137" s="76"/>
      <c r="E137" s="31"/>
      <c r="F137" s="31"/>
      <c r="G137" s="31"/>
      <c r="H137" s="32" t="s">
        <v>147</v>
      </c>
      <c r="I137" s="32"/>
      <c r="J137" s="54"/>
      <c r="K137" s="77">
        <f>-(K136-K135)</f>
        <v>0</v>
      </c>
      <c r="L137" s="31" t="str">
        <f ca="1">IFERROR(_xlfn.FORMULATEXT(#REF!)," ")</f>
        <v xml:space="preserve"> </v>
      </c>
    </row>
    <row r="138" spans="2:12" s="158" customFormat="1" ht="15.75" thickTop="1" x14ac:dyDescent="0.25">
      <c r="B138" s="31"/>
      <c r="C138" s="76"/>
      <c r="D138" s="76"/>
      <c r="E138" s="31"/>
      <c r="F138" s="31"/>
      <c r="G138" s="31"/>
      <c r="H138" s="32"/>
      <c r="I138" s="32"/>
      <c r="J138" s="32"/>
      <c r="K138" s="78"/>
      <c r="L138" s="31" t="str">
        <f t="shared" ca="1" si="0"/>
        <v xml:space="preserve"> </v>
      </c>
    </row>
    <row r="139" spans="2:12" s="158" customFormat="1" ht="15" x14ac:dyDescent="0.25">
      <c r="B139" s="31"/>
      <c r="C139" s="76"/>
      <c r="D139" s="76"/>
      <c r="E139" s="31"/>
      <c r="F139" s="31"/>
      <c r="G139" s="31"/>
      <c r="H139" s="34" t="s">
        <v>386</v>
      </c>
      <c r="I139" s="32"/>
      <c r="J139" s="32"/>
      <c r="K139" s="36"/>
      <c r="L139" s="31" t="str">
        <f t="shared" ca="1" si="0"/>
        <v xml:space="preserve"> </v>
      </c>
    </row>
    <row r="140" spans="2:12" s="158" customFormat="1" ht="15" x14ac:dyDescent="0.25">
      <c r="B140" s="31"/>
      <c r="C140" s="76"/>
      <c r="D140" s="76"/>
      <c r="E140" s="31"/>
      <c r="F140" s="31"/>
      <c r="G140" s="31"/>
      <c r="H140" s="32"/>
      <c r="I140" s="32"/>
      <c r="J140" s="32"/>
      <c r="K140" s="54"/>
      <c r="L140" s="31" t="str">
        <f t="shared" ca="1" si="0"/>
        <v xml:space="preserve"> </v>
      </c>
    </row>
    <row r="141" spans="2:12" s="158" customFormat="1" ht="15" x14ac:dyDescent="0.25">
      <c r="B141" s="31"/>
      <c r="C141" s="76"/>
      <c r="D141" s="76"/>
      <c r="E141" s="31"/>
      <c r="F141" s="31"/>
      <c r="G141" s="31"/>
      <c r="H141" s="32"/>
      <c r="I141" s="32"/>
      <c r="J141" s="32"/>
      <c r="K141" s="54"/>
      <c r="L141" s="31" t="str">
        <f t="shared" ca="1" si="0"/>
        <v xml:space="preserve"> </v>
      </c>
    </row>
    <row r="142" spans="2:12" s="158" customFormat="1" ht="15" x14ac:dyDescent="0.25">
      <c r="B142" s="31"/>
      <c r="C142" s="76"/>
      <c r="D142" s="76"/>
      <c r="E142" s="31"/>
      <c r="F142" s="31"/>
      <c r="G142" s="31"/>
      <c r="H142" s="34" t="s">
        <v>399</v>
      </c>
      <c r="I142" s="64"/>
      <c r="J142" s="64"/>
      <c r="K142" s="65"/>
      <c r="L142" s="31" t="str">
        <f t="shared" ca="1" si="0"/>
        <v xml:space="preserve"> </v>
      </c>
    </row>
    <row r="143" spans="2:12" s="158" customFormat="1" ht="15" x14ac:dyDescent="0.25">
      <c r="B143" s="31"/>
      <c r="C143" s="76"/>
      <c r="D143" s="76"/>
      <c r="E143" s="31"/>
      <c r="F143" s="31"/>
      <c r="G143" s="31"/>
      <c r="H143" s="32" t="s">
        <v>400</v>
      </c>
      <c r="I143" s="64"/>
      <c r="J143" s="64"/>
      <c r="K143" s="67">
        <f>1.25*6000</f>
        <v>7500</v>
      </c>
      <c r="L143" s="28" t="str">
        <f t="shared" ca="1" si="0"/>
        <v>=1.25*6000</v>
      </c>
    </row>
    <row r="144" spans="2:12" s="158" customFormat="1" ht="15" x14ac:dyDescent="0.25">
      <c r="B144" s="31"/>
      <c r="C144" s="76"/>
      <c r="D144" s="76"/>
      <c r="E144" s="31"/>
      <c r="F144" s="31"/>
      <c r="G144" s="31"/>
      <c r="H144" s="32" t="s">
        <v>401</v>
      </c>
      <c r="I144" s="64"/>
      <c r="J144" s="64"/>
      <c r="K144" s="67"/>
      <c r="L144" s="28" t="str">
        <f t="shared" ca="1" si="0"/>
        <v xml:space="preserve"> </v>
      </c>
    </row>
    <row r="145" spans="2:12" s="158" customFormat="1" ht="15.75" thickBot="1" x14ac:dyDescent="0.3">
      <c r="B145" s="31"/>
      <c r="C145" s="76"/>
      <c r="D145" s="76"/>
      <c r="E145" s="31"/>
      <c r="F145" s="31"/>
      <c r="G145" s="31"/>
      <c r="H145" s="32" t="s">
        <v>399</v>
      </c>
      <c r="I145" s="64"/>
      <c r="J145" s="64"/>
      <c r="K145" s="77">
        <f>SUM(K143:K144)</f>
        <v>7500</v>
      </c>
      <c r="L145" s="28"/>
    </row>
    <row r="146" spans="2:12" s="158" customFormat="1" ht="15.75" thickTop="1" x14ac:dyDescent="0.2">
      <c r="B146" s="31"/>
      <c r="C146" s="76"/>
      <c r="D146" s="76"/>
      <c r="E146" s="31"/>
      <c r="F146" s="31"/>
      <c r="G146" s="31"/>
      <c r="H146" s="64"/>
      <c r="I146" s="64"/>
      <c r="J146" s="64"/>
      <c r="K146" s="65"/>
      <c r="L146" s="28" t="str">
        <f ca="1">IFERROR(_xlfn.FORMULATEXT(#REF!)," ")</f>
        <v xml:space="preserve"> </v>
      </c>
    </row>
    <row r="147" spans="2:12" s="158" customFormat="1" ht="15" x14ac:dyDescent="0.25">
      <c r="B147" s="31"/>
      <c r="C147" s="76"/>
      <c r="D147" s="76"/>
      <c r="E147" s="31"/>
      <c r="F147" s="31"/>
      <c r="G147" s="31"/>
      <c r="H147" s="34" t="s">
        <v>402</v>
      </c>
      <c r="I147" s="64"/>
      <c r="J147" s="64"/>
      <c r="K147" s="65"/>
      <c r="L147" s="31"/>
    </row>
    <row r="148" spans="2:12" s="158" customFormat="1" ht="15" x14ac:dyDescent="0.25">
      <c r="B148" s="31"/>
      <c r="C148" s="76"/>
      <c r="D148" s="76"/>
      <c r="E148" s="31"/>
      <c r="F148" s="31"/>
      <c r="G148" s="31"/>
      <c r="H148" s="32" t="s">
        <v>230</v>
      </c>
      <c r="I148" s="64"/>
      <c r="J148" s="64"/>
      <c r="K148" s="67"/>
      <c r="L148" s="31" t="str">
        <f ca="1">IFERROR(_xlfn.FORMULATEXT(K146)," ")</f>
        <v xml:space="preserve"> </v>
      </c>
    </row>
    <row r="149" spans="2:12" s="158" customFormat="1" ht="15" x14ac:dyDescent="0.25">
      <c r="B149" s="31"/>
      <c r="C149" s="76"/>
      <c r="D149" s="76"/>
      <c r="E149" s="31"/>
      <c r="F149" s="31"/>
      <c r="G149" s="31"/>
      <c r="H149" s="32" t="s">
        <v>403</v>
      </c>
      <c r="I149" s="32"/>
      <c r="J149" s="32"/>
      <c r="K149" s="67"/>
      <c r="L149" s="31" t="str">
        <f ca="1">IFERROR(_xlfn.FORMULATEXT(K147)," ")</f>
        <v xml:space="preserve"> </v>
      </c>
    </row>
    <row r="150" spans="2:12" s="158" customFormat="1" ht="15" x14ac:dyDescent="0.25">
      <c r="B150" s="31"/>
      <c r="C150" s="76"/>
      <c r="D150" s="76"/>
      <c r="E150" s="31"/>
      <c r="F150" s="31"/>
      <c r="G150" s="31"/>
      <c r="H150" s="32" t="s">
        <v>391</v>
      </c>
      <c r="I150" s="32"/>
      <c r="J150" s="32"/>
      <c r="K150" s="67"/>
      <c r="L150" s="31"/>
    </row>
    <row r="151" spans="2:12" s="158" customFormat="1" ht="15" x14ac:dyDescent="0.25">
      <c r="B151" s="31"/>
      <c r="C151" s="76"/>
      <c r="D151" s="76"/>
      <c r="E151" s="31"/>
      <c r="F151" s="31"/>
      <c r="G151" s="31"/>
      <c r="H151" s="32" t="s">
        <v>353</v>
      </c>
      <c r="I151" s="64"/>
      <c r="J151" s="64"/>
      <c r="K151" s="67"/>
      <c r="L151" s="31" t="str">
        <f ca="1">IFERROR(_xlfn.FORMULATEXT(K148)," ")</f>
        <v xml:space="preserve"> </v>
      </c>
    </row>
    <row r="152" spans="2:12" s="158" customFormat="1" ht="15.75" thickBot="1" x14ac:dyDescent="0.3">
      <c r="B152" s="31"/>
      <c r="C152" s="76"/>
      <c r="D152" s="76"/>
      <c r="E152" s="31"/>
      <c r="F152" s="31"/>
      <c r="G152" s="31"/>
      <c r="H152" s="32" t="s">
        <v>404</v>
      </c>
      <c r="I152" s="64"/>
      <c r="J152" s="64"/>
      <c r="K152" s="63">
        <f>K151-K148+K149</f>
        <v>0</v>
      </c>
      <c r="L152" s="31" t="str">
        <f ca="1">IFERROR(_xlfn.FORMULATEXT(K151)," ")</f>
        <v xml:space="preserve"> </v>
      </c>
    </row>
    <row r="153" spans="2:12" s="158" customFormat="1" ht="15.75" thickTop="1" x14ac:dyDescent="0.2">
      <c r="B153" s="31"/>
      <c r="C153" s="76"/>
      <c r="D153" s="76"/>
      <c r="E153" s="31"/>
      <c r="F153" s="31"/>
      <c r="G153" s="31"/>
      <c r="H153" s="64"/>
      <c r="I153" s="64"/>
      <c r="J153" s="64"/>
      <c r="K153" s="65"/>
      <c r="L153" s="31"/>
    </row>
    <row r="154" spans="2:12" s="158" customFormat="1" ht="15" x14ac:dyDescent="0.25">
      <c r="B154" s="31"/>
      <c r="C154" s="76"/>
      <c r="D154" s="76"/>
      <c r="E154" s="31"/>
      <c r="F154" s="31"/>
      <c r="G154" s="31"/>
      <c r="H154" s="79" t="s">
        <v>354</v>
      </c>
      <c r="I154" s="64"/>
      <c r="J154" s="64"/>
      <c r="K154" s="65"/>
      <c r="L154" s="31" t="str">
        <f ca="1">IFERROR(_xlfn.FORMULATEXT(K153)," ")</f>
        <v xml:space="preserve"> </v>
      </c>
    </row>
    <row r="155" spans="2:12" s="158" customFormat="1" ht="15" x14ac:dyDescent="0.2">
      <c r="B155" s="31"/>
      <c r="C155" s="76"/>
      <c r="D155" s="76"/>
      <c r="E155" s="31"/>
      <c r="F155" s="31"/>
      <c r="G155" s="31"/>
      <c r="H155" s="80" t="s">
        <v>405</v>
      </c>
      <c r="I155" s="64"/>
      <c r="J155" s="64"/>
      <c r="K155" s="75"/>
      <c r="L155" s="31" t="str">
        <f ca="1">IFERROR(_xlfn.FORMULATEXT(K154)," ")</f>
        <v xml:space="preserve"> </v>
      </c>
    </row>
    <row r="156" spans="2:12" s="158" customFormat="1" ht="15" x14ac:dyDescent="0.2">
      <c r="B156" s="31"/>
      <c r="C156" s="76"/>
      <c r="D156" s="76"/>
      <c r="E156" s="31"/>
      <c r="F156" s="31"/>
      <c r="G156" s="31"/>
      <c r="H156" s="80" t="s">
        <v>406</v>
      </c>
      <c r="I156" s="64"/>
      <c r="J156" s="64"/>
      <c r="K156" s="75"/>
      <c r="L156" s="31" t="str">
        <f ca="1">IFERROR(_xlfn.FORMULATEXT(#REF!)," ")</f>
        <v xml:space="preserve"> </v>
      </c>
    </row>
    <row r="157" spans="2:12" s="158" customFormat="1" ht="15" x14ac:dyDescent="0.2">
      <c r="B157" s="31"/>
      <c r="C157" s="76"/>
      <c r="D157" s="76"/>
      <c r="E157" s="31"/>
      <c r="F157" s="31"/>
      <c r="G157" s="31"/>
      <c r="H157" s="80"/>
      <c r="I157" s="64"/>
      <c r="J157" s="64"/>
      <c r="K157" s="81">
        <f>SUM(K155:K156)</f>
        <v>0</v>
      </c>
      <c r="L157" s="31" t="str">
        <f ca="1">IFERROR(_xlfn.FORMULATEXT(K155)," ")</f>
        <v xml:space="preserve"> </v>
      </c>
    </row>
    <row r="158" spans="2:12" s="158" customFormat="1" ht="15" x14ac:dyDescent="0.2">
      <c r="B158" s="31"/>
      <c r="C158" s="76"/>
      <c r="D158" s="76"/>
      <c r="E158" s="31"/>
      <c r="F158" s="31"/>
      <c r="G158" s="31"/>
      <c r="H158" s="80" t="s">
        <v>297</v>
      </c>
      <c r="I158" s="64"/>
      <c r="J158" s="64"/>
      <c r="K158" s="75"/>
      <c r="L158" s="31"/>
    </row>
    <row r="159" spans="2:12" s="158" customFormat="1" ht="15.75" thickBot="1" x14ac:dyDescent="0.25">
      <c r="B159" s="31"/>
      <c r="C159" s="76"/>
      <c r="D159" s="76"/>
      <c r="E159" s="31"/>
      <c r="F159" s="31"/>
      <c r="G159" s="31"/>
      <c r="H159" s="80" t="s">
        <v>354</v>
      </c>
      <c r="I159" s="64"/>
      <c r="J159" s="64"/>
      <c r="K159" s="82">
        <f>K158-K157</f>
        <v>0</v>
      </c>
      <c r="L159" s="31" t="str">
        <f ca="1">IFERROR(_xlfn.FORMULATEXT(K158)," ")</f>
        <v xml:space="preserve"> </v>
      </c>
    </row>
    <row r="160" spans="2:12" s="158" customFormat="1" ht="15.75" thickTop="1" x14ac:dyDescent="0.2">
      <c r="B160" s="31"/>
      <c r="C160" s="76"/>
      <c r="D160" s="76"/>
      <c r="E160" s="31"/>
      <c r="F160" s="31"/>
      <c r="G160" s="31"/>
      <c r="H160" s="80"/>
      <c r="I160" s="64"/>
      <c r="J160" s="64"/>
      <c r="K160" s="83"/>
      <c r="L160" s="31"/>
    </row>
    <row r="161" spans="2:12" s="158" customFormat="1" ht="15" x14ac:dyDescent="0.25">
      <c r="B161" s="31"/>
      <c r="C161" s="76"/>
      <c r="D161" s="76"/>
      <c r="E161" s="31"/>
      <c r="F161" s="31"/>
      <c r="G161" s="31"/>
      <c r="H161" s="79" t="s">
        <v>408</v>
      </c>
      <c r="I161" s="64"/>
      <c r="J161" s="64"/>
      <c r="K161" s="65"/>
      <c r="L161" s="31" t="str">
        <f ca="1">IFERROR(_xlfn.FORMULATEXT(K170)," ")</f>
        <v xml:space="preserve"> </v>
      </c>
    </row>
    <row r="162" spans="2:12" s="158" customFormat="1" ht="15" x14ac:dyDescent="0.2">
      <c r="B162" s="31"/>
      <c r="C162" s="76"/>
      <c r="D162" s="76"/>
      <c r="E162" s="31"/>
      <c r="F162" s="31"/>
      <c r="G162" s="31"/>
      <c r="H162" s="80" t="s">
        <v>405</v>
      </c>
      <c r="I162" s="64"/>
      <c r="J162" s="64"/>
      <c r="K162" s="75"/>
      <c r="L162" s="31" t="str">
        <f ca="1">IFERROR(_xlfn.FORMULATEXT(K171)," ")</f>
        <v xml:space="preserve"> </v>
      </c>
    </row>
    <row r="163" spans="2:12" s="158" customFormat="1" ht="15" x14ac:dyDescent="0.2">
      <c r="B163" s="31"/>
      <c r="C163" s="76"/>
      <c r="D163" s="76"/>
      <c r="E163" s="31"/>
      <c r="F163" s="31"/>
      <c r="G163" s="31"/>
      <c r="H163" s="80" t="s">
        <v>409</v>
      </c>
      <c r="I163" s="64"/>
      <c r="J163" s="64"/>
      <c r="K163" s="84"/>
      <c r="L163" s="31" t="str">
        <f ca="1">IFERROR(_xlfn.FORMULATEXT(K172)," ")</f>
        <v xml:space="preserve"> </v>
      </c>
    </row>
    <row r="164" spans="2:12" s="158" customFormat="1" ht="15" x14ac:dyDescent="0.2">
      <c r="B164" s="31"/>
      <c r="C164" s="76"/>
      <c r="D164" s="76"/>
      <c r="E164" s="31"/>
      <c r="F164" s="31"/>
      <c r="G164" s="31"/>
      <c r="H164" s="80"/>
      <c r="I164" s="64"/>
      <c r="J164" s="64"/>
      <c r="K164" s="83">
        <f>SUM(K162:K163)</f>
        <v>0</v>
      </c>
      <c r="L164" s="31" t="str">
        <f ca="1">IFERROR(_xlfn.FORMULATEXT(K173)," ")</f>
        <v>=+D34</v>
      </c>
    </row>
    <row r="165" spans="2:12" s="158" customFormat="1" ht="15" x14ac:dyDescent="0.2">
      <c r="B165" s="31"/>
      <c r="C165" s="76"/>
      <c r="D165" s="76"/>
      <c r="E165" s="31"/>
      <c r="F165" s="31"/>
      <c r="G165" s="31"/>
      <c r="H165" s="80" t="s">
        <v>297</v>
      </c>
      <c r="I165" s="64"/>
      <c r="J165" s="64"/>
      <c r="K165" s="85"/>
      <c r="L165" s="31" t="str">
        <f ca="1">IFERROR(_xlfn.FORMULATEXT(K174)," ")</f>
        <v xml:space="preserve"> </v>
      </c>
    </row>
    <row r="166" spans="2:12" s="158" customFormat="1" ht="15" x14ac:dyDescent="0.2">
      <c r="B166" s="31"/>
      <c r="C166" s="76"/>
      <c r="D166" s="76"/>
      <c r="E166" s="31"/>
      <c r="F166" s="31"/>
      <c r="G166" s="31"/>
      <c r="H166" s="80" t="s">
        <v>412</v>
      </c>
      <c r="I166" s="64"/>
      <c r="J166" s="64"/>
      <c r="K166" s="75">
        <f>+K164-K165</f>
        <v>0</v>
      </c>
      <c r="L166" s="31"/>
    </row>
    <row r="167" spans="2:12" s="158" customFormat="1" ht="15" x14ac:dyDescent="0.2">
      <c r="B167" s="31"/>
      <c r="C167" s="76"/>
      <c r="D167" s="76"/>
      <c r="E167" s="31"/>
      <c r="F167" s="31"/>
      <c r="G167" s="31"/>
      <c r="H167" s="80" t="s">
        <v>413</v>
      </c>
      <c r="I167" s="64"/>
      <c r="J167" s="64"/>
      <c r="K167" s="75">
        <v>0</v>
      </c>
      <c r="L167" s="31" t="str">
        <f ca="1">IFERROR(_xlfn.FORMULATEXT(K176)," ")</f>
        <v>=+E34</v>
      </c>
    </row>
    <row r="168" spans="2:12" s="158" customFormat="1" ht="15.75" thickBot="1" x14ac:dyDescent="0.25">
      <c r="B168" s="31"/>
      <c r="C168" s="76"/>
      <c r="D168" s="76"/>
      <c r="E168" s="31"/>
      <c r="F168" s="31"/>
      <c r="G168" s="31"/>
      <c r="H168" s="80" t="s">
        <v>408</v>
      </c>
      <c r="I168" s="64"/>
      <c r="J168" s="64"/>
      <c r="K168" s="82">
        <f>+K166+K167</f>
        <v>0</v>
      </c>
      <c r="L168" s="31"/>
    </row>
    <row r="169" spans="2:12" s="158" customFormat="1" ht="15.75" thickTop="1" x14ac:dyDescent="0.2">
      <c r="B169" s="31"/>
      <c r="C169" s="76"/>
      <c r="D169" s="76"/>
      <c r="E169" s="31"/>
      <c r="F169" s="31"/>
      <c r="G169" s="31"/>
      <c r="H169" s="64"/>
      <c r="I169" s="64"/>
      <c r="J169" s="64"/>
      <c r="K169" s="83"/>
      <c r="L169" s="31"/>
    </row>
    <row r="170" spans="2:12" s="158" customFormat="1" ht="15" x14ac:dyDescent="0.2">
      <c r="B170" s="31"/>
      <c r="C170" s="76"/>
      <c r="D170" s="76"/>
      <c r="E170" s="31"/>
      <c r="F170" s="31"/>
      <c r="G170" s="31"/>
      <c r="H170" s="64"/>
      <c r="I170" s="64"/>
      <c r="J170" s="64"/>
      <c r="K170" s="65"/>
      <c r="L170" s="31"/>
    </row>
    <row r="171" spans="2:12" s="158" customFormat="1" ht="15" x14ac:dyDescent="0.2">
      <c r="B171" s="31"/>
      <c r="C171" s="76"/>
      <c r="D171" s="76"/>
      <c r="E171" s="31"/>
      <c r="F171" s="31"/>
      <c r="G171" s="31"/>
      <c r="H171" s="64"/>
      <c r="I171" s="64"/>
      <c r="J171" s="64"/>
      <c r="K171" s="65"/>
      <c r="L171" s="31"/>
    </row>
    <row r="172" spans="2:12" s="158" customFormat="1" ht="15" x14ac:dyDescent="0.25">
      <c r="B172" s="31"/>
      <c r="C172" s="76"/>
      <c r="D172" s="76"/>
      <c r="E172" s="31"/>
      <c r="F172" s="31"/>
      <c r="G172" s="31"/>
      <c r="H172" s="34" t="s">
        <v>414</v>
      </c>
      <c r="I172" s="64"/>
      <c r="J172" s="64"/>
      <c r="K172" s="65"/>
      <c r="L172" s="31"/>
    </row>
    <row r="173" spans="2:12" s="158" customFormat="1" ht="15" x14ac:dyDescent="0.25">
      <c r="B173" s="31"/>
      <c r="C173" s="76"/>
      <c r="D173" s="76"/>
      <c r="E173" s="31"/>
      <c r="F173" s="31"/>
      <c r="G173" s="31"/>
      <c r="H173" s="64" t="s">
        <v>195</v>
      </c>
      <c r="I173" s="64"/>
      <c r="J173" s="64"/>
      <c r="K173" s="46">
        <f>+D34</f>
        <v>13000</v>
      </c>
      <c r="L173" s="31"/>
    </row>
    <row r="174" spans="2:12" s="158" customFormat="1" ht="15" x14ac:dyDescent="0.2">
      <c r="B174" s="31"/>
      <c r="C174" s="76"/>
      <c r="D174" s="76"/>
      <c r="E174" s="31"/>
      <c r="F174" s="31"/>
      <c r="G174" s="31"/>
      <c r="H174" s="64" t="s">
        <v>415</v>
      </c>
      <c r="I174" s="64"/>
      <c r="J174" s="64"/>
      <c r="K174" s="67">
        <v>980</v>
      </c>
      <c r="L174" s="31"/>
    </row>
    <row r="175" spans="2:12" s="158" customFormat="1" ht="15" x14ac:dyDescent="0.2">
      <c r="B175" s="31"/>
      <c r="C175" s="76"/>
      <c r="D175" s="76"/>
      <c r="E175" s="31"/>
      <c r="F175" s="31"/>
      <c r="G175" s="31"/>
      <c r="H175" s="64"/>
      <c r="I175" s="64"/>
      <c r="J175" s="64"/>
      <c r="K175" s="86">
        <f>SUM(K173:K174)</f>
        <v>13980</v>
      </c>
      <c r="L175" s="31"/>
    </row>
    <row r="176" spans="2:12" s="158" customFormat="1" ht="15" x14ac:dyDescent="0.25">
      <c r="B176" s="31"/>
      <c r="C176" s="76"/>
      <c r="D176" s="76"/>
      <c r="E176" s="31"/>
      <c r="F176" s="31"/>
      <c r="G176" s="31"/>
      <c r="H176" s="64" t="s">
        <v>304</v>
      </c>
      <c r="I176" s="64"/>
      <c r="J176" s="64"/>
      <c r="K176" s="46">
        <f>+E34</f>
        <v>11480</v>
      </c>
      <c r="L176" s="31"/>
    </row>
    <row r="177" spans="2:12" s="158" customFormat="1" ht="15.75" thickBot="1" x14ac:dyDescent="0.25">
      <c r="B177" s="31"/>
      <c r="C177" s="76"/>
      <c r="D177" s="76"/>
      <c r="E177" s="31"/>
      <c r="F177" s="31"/>
      <c r="G177" s="31"/>
      <c r="H177" s="64" t="s">
        <v>414</v>
      </c>
      <c r="I177" s="64"/>
      <c r="J177" s="64"/>
      <c r="K177" s="87">
        <f>K175-K176</f>
        <v>2500</v>
      </c>
      <c r="L177" s="31"/>
    </row>
    <row r="178" spans="2:12" s="158" customFormat="1" ht="15.75" thickTop="1" x14ac:dyDescent="0.2">
      <c r="B178" s="31"/>
      <c r="C178" s="76"/>
      <c r="D178" s="76"/>
      <c r="E178" s="31"/>
      <c r="F178" s="31"/>
      <c r="G178" s="31"/>
      <c r="H178" s="64"/>
      <c r="I178" s="64"/>
      <c r="J178" s="64"/>
      <c r="K178" s="65"/>
      <c r="L178" s="31"/>
    </row>
    <row r="179" spans="2:12" s="158" customFormat="1" ht="15" x14ac:dyDescent="0.2">
      <c r="B179" s="31"/>
      <c r="C179" s="76"/>
      <c r="D179" s="76"/>
      <c r="E179" s="31"/>
      <c r="F179" s="31"/>
      <c r="G179" s="31"/>
      <c r="H179" s="64"/>
      <c r="I179" s="64"/>
      <c r="J179" s="64"/>
      <c r="K179" s="65"/>
      <c r="L179" s="31"/>
    </row>
    <row r="180" spans="2:12" s="158" customFormat="1" ht="15" x14ac:dyDescent="0.25">
      <c r="B180" s="31"/>
      <c r="C180" s="76"/>
      <c r="D180" s="76"/>
      <c r="E180" s="31"/>
      <c r="F180" s="31"/>
      <c r="G180" s="31"/>
      <c r="H180" s="34" t="s">
        <v>416</v>
      </c>
      <c r="I180" s="64"/>
      <c r="J180" s="64"/>
      <c r="K180" s="65"/>
      <c r="L180" s="31"/>
    </row>
    <row r="181" spans="2:12" s="158" customFormat="1" ht="15" x14ac:dyDescent="0.2">
      <c r="B181" s="31"/>
      <c r="C181" s="76"/>
      <c r="D181" s="76"/>
      <c r="E181" s="31"/>
      <c r="F181" s="31"/>
      <c r="G181" s="31"/>
      <c r="H181" s="64" t="s">
        <v>417</v>
      </c>
      <c r="I181" s="64"/>
      <c r="J181" s="64"/>
      <c r="K181" s="67">
        <v>0</v>
      </c>
      <c r="L181" s="31"/>
    </row>
    <row r="182" spans="2:12" s="158" customFormat="1" ht="15" x14ac:dyDescent="0.2">
      <c r="B182" s="31"/>
      <c r="C182" s="76"/>
      <c r="D182" s="76"/>
      <c r="E182" s="31"/>
      <c r="F182" s="31"/>
      <c r="G182" s="31"/>
      <c r="H182" s="64" t="s">
        <v>418</v>
      </c>
      <c r="I182" s="64"/>
      <c r="J182" s="64"/>
      <c r="K182" s="67">
        <v>55</v>
      </c>
      <c r="L182" s="31"/>
    </row>
    <row r="183" spans="2:12" s="158" customFormat="1" ht="15" x14ac:dyDescent="0.2">
      <c r="B183" s="31"/>
      <c r="C183" s="76"/>
      <c r="D183" s="76"/>
      <c r="E183" s="31"/>
      <c r="F183" s="31"/>
      <c r="G183" s="31"/>
      <c r="H183" s="64"/>
      <c r="I183" s="64"/>
      <c r="J183" s="64"/>
      <c r="K183" s="86">
        <f>K181+K182</f>
        <v>55</v>
      </c>
      <c r="L183" s="31"/>
    </row>
    <row r="184" spans="2:12" s="158" customFormat="1" ht="15" x14ac:dyDescent="0.2">
      <c r="B184" s="31"/>
      <c r="C184" s="76"/>
      <c r="D184" s="76"/>
      <c r="E184" s="31"/>
      <c r="F184" s="31"/>
      <c r="G184" s="31"/>
      <c r="H184" s="64" t="s">
        <v>419</v>
      </c>
      <c r="I184" s="64"/>
      <c r="J184" s="64"/>
      <c r="K184" s="67">
        <v>55</v>
      </c>
      <c r="L184" s="31"/>
    </row>
    <row r="185" spans="2:12" s="158" customFormat="1" ht="15.75" thickBot="1" x14ac:dyDescent="0.25">
      <c r="B185" s="31"/>
      <c r="C185" s="76"/>
      <c r="D185" s="76"/>
      <c r="E185" s="31"/>
      <c r="F185" s="31"/>
      <c r="G185" s="31"/>
      <c r="H185" s="64" t="s">
        <v>393</v>
      </c>
      <c r="I185" s="64"/>
      <c r="J185" s="64"/>
      <c r="K185" s="87">
        <f>K183-K184</f>
        <v>0</v>
      </c>
      <c r="L185" s="31"/>
    </row>
    <row r="186" spans="2:12" s="158" customFormat="1" ht="15.75" thickTop="1" x14ac:dyDescent="0.2">
      <c r="B186" s="31"/>
      <c r="C186" s="76"/>
      <c r="D186" s="76"/>
      <c r="E186" s="31"/>
      <c r="F186" s="31"/>
      <c r="G186" s="31"/>
      <c r="H186" s="64"/>
      <c r="I186" s="64"/>
      <c r="J186" s="64"/>
      <c r="K186" s="65"/>
      <c r="L186" s="31"/>
    </row>
    <row r="187" spans="2:12" s="158" customFormat="1" ht="15" x14ac:dyDescent="0.25">
      <c r="B187" s="31"/>
      <c r="C187" s="76"/>
      <c r="D187" s="76"/>
      <c r="E187" s="31"/>
      <c r="F187" s="31"/>
      <c r="G187" s="31"/>
      <c r="H187" s="34" t="s">
        <v>420</v>
      </c>
      <c r="I187" s="32"/>
      <c r="J187" s="32"/>
      <c r="K187" s="54"/>
      <c r="L187" s="31"/>
    </row>
    <row r="188" spans="2:12" s="158" customFormat="1" ht="15" x14ac:dyDescent="0.25">
      <c r="B188" s="31"/>
      <c r="C188" s="76"/>
      <c r="D188" s="76"/>
      <c r="E188" s="31"/>
      <c r="F188" s="31"/>
      <c r="G188" s="31"/>
      <c r="H188" s="32" t="s">
        <v>151</v>
      </c>
      <c r="I188" s="32"/>
      <c r="J188" s="32"/>
      <c r="K188" s="46"/>
      <c r="L188" s="31"/>
    </row>
    <row r="189" spans="2:12" s="158" customFormat="1" ht="15" x14ac:dyDescent="0.25">
      <c r="B189" s="31"/>
      <c r="C189" s="76"/>
      <c r="D189" s="76"/>
      <c r="E189" s="31"/>
      <c r="F189" s="31"/>
      <c r="G189" s="31"/>
      <c r="H189" s="32" t="s">
        <v>296</v>
      </c>
      <c r="I189" s="32"/>
      <c r="J189" s="32"/>
      <c r="K189" s="46"/>
      <c r="L189" s="31"/>
    </row>
    <row r="190" spans="2:12" s="158" customFormat="1" ht="15" x14ac:dyDescent="0.25">
      <c r="B190" s="31"/>
      <c r="C190" s="76"/>
      <c r="D190" s="76"/>
      <c r="E190" s="31"/>
      <c r="F190" s="31"/>
      <c r="G190" s="31"/>
      <c r="H190" s="32" t="s">
        <v>421</v>
      </c>
      <c r="I190" s="32"/>
      <c r="J190" s="32"/>
      <c r="K190" s="46"/>
      <c r="L190" s="31"/>
    </row>
    <row r="191" spans="2:12" s="158" customFormat="1" ht="15" x14ac:dyDescent="0.25">
      <c r="B191" s="31"/>
      <c r="C191" s="76"/>
      <c r="D191" s="76"/>
      <c r="E191" s="31"/>
      <c r="F191" s="31"/>
      <c r="G191" s="31"/>
      <c r="H191" s="32" t="s">
        <v>390</v>
      </c>
      <c r="I191" s="32"/>
      <c r="J191" s="32"/>
      <c r="K191" s="46"/>
      <c r="L191" s="31"/>
    </row>
    <row r="192" spans="2:12" s="158" customFormat="1" ht="15" x14ac:dyDescent="0.25">
      <c r="B192" s="31"/>
      <c r="C192" s="76"/>
      <c r="D192" s="76"/>
      <c r="E192" s="31"/>
      <c r="F192" s="31"/>
      <c r="G192" s="31"/>
      <c r="H192" s="32"/>
      <c r="I192" s="32"/>
      <c r="J192" s="32"/>
      <c r="K192" s="57">
        <f>K188-K190+K189-K191</f>
        <v>0</v>
      </c>
      <c r="L192" s="31"/>
    </row>
    <row r="193" spans="2:18" s="158" customFormat="1" ht="15" x14ac:dyDescent="0.25">
      <c r="B193" s="31"/>
      <c r="C193" s="76"/>
      <c r="D193" s="76"/>
      <c r="E193" s="31"/>
      <c r="F193" s="31"/>
      <c r="G193" s="31"/>
      <c r="H193" s="32" t="s">
        <v>156</v>
      </c>
      <c r="I193" s="32"/>
      <c r="J193" s="32"/>
      <c r="K193" s="46">
        <f>'[1]Adjustments for cash flow'!K15</f>
        <v>0</v>
      </c>
      <c r="L193" s="31"/>
    </row>
    <row r="194" spans="2:18" s="158" customFormat="1" ht="15.75" thickBot="1" x14ac:dyDescent="0.3">
      <c r="B194" s="31"/>
      <c r="C194" s="76"/>
      <c r="D194" s="76"/>
      <c r="E194" s="31"/>
      <c r="F194" s="31"/>
      <c r="G194" s="31"/>
      <c r="H194" s="32" t="s">
        <v>221</v>
      </c>
      <c r="I194" s="32"/>
      <c r="J194" s="32"/>
      <c r="K194" s="63">
        <f>K193-K192</f>
        <v>0</v>
      </c>
      <c r="L194" s="31"/>
    </row>
    <row r="195" spans="2:18" ht="15.75" thickTop="1" x14ac:dyDescent="0.25">
      <c r="B195" s="31"/>
      <c r="C195" s="76"/>
      <c r="D195" s="76"/>
      <c r="E195" s="31"/>
      <c r="F195" s="31"/>
      <c r="G195" s="31"/>
      <c r="H195" s="32"/>
      <c r="I195" s="32"/>
      <c r="J195" s="32"/>
      <c r="K195" s="159"/>
      <c r="L195" s="31"/>
      <c r="M195" s="158"/>
      <c r="N195" s="158"/>
      <c r="O195" s="158"/>
      <c r="P195" s="158"/>
      <c r="Q195" s="158"/>
      <c r="R195" s="158"/>
    </row>
    <row r="197" spans="2:18" x14ac:dyDescent="0.2">
      <c r="B197" s="1" t="s">
        <v>472</v>
      </c>
    </row>
    <row r="198" spans="2:18" x14ac:dyDescent="0.2">
      <c r="B198" s="1" t="s">
        <v>287</v>
      </c>
    </row>
    <row r="200" spans="2:18" x14ac:dyDescent="0.2">
      <c r="C200" s="1" t="s">
        <v>473</v>
      </c>
      <c r="D200" s="1" t="s">
        <v>474</v>
      </c>
      <c r="E200" s="1" t="s">
        <v>475</v>
      </c>
      <c r="F200" s="1" t="s">
        <v>476</v>
      </c>
    </row>
    <row r="201" spans="2:18" x14ac:dyDescent="0.2">
      <c r="B201" s="22">
        <v>44834</v>
      </c>
      <c r="C201" s="19" t="s">
        <v>148</v>
      </c>
      <c r="D201" s="19" t="s">
        <v>148</v>
      </c>
      <c r="E201" s="19" t="s">
        <v>148</v>
      </c>
      <c r="F201" s="19" t="s">
        <v>148</v>
      </c>
    </row>
    <row r="202" spans="2:18" x14ac:dyDescent="0.2">
      <c r="B202" s="1" t="s">
        <v>477</v>
      </c>
      <c r="C202" s="23">
        <v>4070</v>
      </c>
      <c r="D202" s="23">
        <v>20400</v>
      </c>
      <c r="E202" s="23">
        <v>21135</v>
      </c>
      <c r="F202" s="23">
        <f>SUM(C201:E201)</f>
        <v>0</v>
      </c>
    </row>
    <row r="203" spans="2:18" x14ac:dyDescent="0.2">
      <c r="B203" s="1" t="s">
        <v>171</v>
      </c>
      <c r="C203" s="23">
        <v>0</v>
      </c>
      <c r="D203" s="23">
        <v>-816</v>
      </c>
      <c r="E203" s="23">
        <v>-9270</v>
      </c>
      <c r="F203" s="23">
        <f>SUM(C202:E202)</f>
        <v>45605</v>
      </c>
    </row>
    <row r="204" spans="2:18" ht="12.75" thickBot="1" x14ac:dyDescent="0.25">
      <c r="B204" s="1" t="s">
        <v>168</v>
      </c>
      <c r="C204" s="24">
        <f>SUM(C202:C203)</f>
        <v>4070</v>
      </c>
      <c r="D204" s="24">
        <f t="shared" ref="D204:F204" si="1">SUM(D202:D203)</f>
        <v>19584</v>
      </c>
      <c r="E204" s="24">
        <f t="shared" si="1"/>
        <v>11865</v>
      </c>
      <c r="F204" s="24">
        <f t="shared" si="1"/>
        <v>45605</v>
      </c>
    </row>
    <row r="205" spans="2:18" ht="12.75" thickTop="1" x14ac:dyDescent="0.2"/>
    <row r="207" spans="2:18" x14ac:dyDescent="0.2">
      <c r="B207" s="1" t="s">
        <v>478</v>
      </c>
      <c r="D207" s="1">
        <f>50*12</f>
        <v>600</v>
      </c>
      <c r="E207" s="1">
        <f>12*10</f>
        <v>120</v>
      </c>
    </row>
    <row r="208" spans="2:18" x14ac:dyDescent="0.2">
      <c r="B208" s="1" t="s">
        <v>489</v>
      </c>
      <c r="D208" s="23">
        <f>12*D202/D207</f>
        <v>408</v>
      </c>
      <c r="E208" s="23">
        <f>12*E202/E207</f>
        <v>2113.5</v>
      </c>
      <c r="F208" s="23">
        <f>SUM(D207:E207)</f>
        <v>720</v>
      </c>
    </row>
    <row r="209" spans="2:6" x14ac:dyDescent="0.2">
      <c r="B209" s="1" t="s">
        <v>488</v>
      </c>
      <c r="D209" s="1">
        <f>+D208/2</f>
        <v>204</v>
      </c>
      <c r="E209" s="1">
        <f t="shared" ref="E209:F209" si="2">+E208/2</f>
        <v>1056.75</v>
      </c>
      <c r="F209" s="1">
        <f t="shared" si="2"/>
        <v>360</v>
      </c>
    </row>
    <row r="211" spans="2:6" x14ac:dyDescent="0.2">
      <c r="B211" s="1" t="s">
        <v>479</v>
      </c>
    </row>
    <row r="212" spans="2:6" x14ac:dyDescent="0.2">
      <c r="C212" s="1" t="s">
        <v>481</v>
      </c>
      <c r="D212" s="1" t="s">
        <v>480</v>
      </c>
      <c r="E212" s="1" t="s">
        <v>482</v>
      </c>
    </row>
    <row r="213" spans="2:6" x14ac:dyDescent="0.2">
      <c r="B213" s="22">
        <v>43921</v>
      </c>
      <c r="C213" s="22"/>
      <c r="D213" s="23">
        <v>50</v>
      </c>
      <c r="E213" s="23">
        <v>1780</v>
      </c>
    </row>
    <row r="214" spans="2:6" x14ac:dyDescent="0.2">
      <c r="B214" s="22">
        <v>45016</v>
      </c>
      <c r="C214" s="23">
        <v>23500</v>
      </c>
      <c r="D214" s="23">
        <v>40</v>
      </c>
    </row>
    <row r="216" spans="2:6" x14ac:dyDescent="0.2">
      <c r="B216" s="1" t="s">
        <v>483</v>
      </c>
    </row>
    <row r="217" spans="2:6" x14ac:dyDescent="0.2">
      <c r="B217" s="1" t="s">
        <v>484</v>
      </c>
    </row>
    <row r="218" spans="2:6" x14ac:dyDescent="0.2">
      <c r="B218" s="1" t="s">
        <v>485</v>
      </c>
    </row>
    <row r="219" spans="2:6" x14ac:dyDescent="0.2">
      <c r="E219" s="1">
        <f>+E213/(50*12)</f>
        <v>2.9666666666666668</v>
      </c>
      <c r="F219" s="1" t="str">
        <f ca="1">+_xlfn.FORMULATEXT(E219)</f>
        <v>=+E213/(50*12)</v>
      </c>
    </row>
    <row r="221" spans="2:6" x14ac:dyDescent="0.2">
      <c r="B221" s="1" t="s">
        <v>486</v>
      </c>
    </row>
    <row r="222" spans="2:6" x14ac:dyDescent="0.2">
      <c r="B222" s="1" t="s">
        <v>100</v>
      </c>
    </row>
    <row r="223" spans="2:6" x14ac:dyDescent="0.2">
      <c r="B223" s="1" t="s">
        <v>487</v>
      </c>
    </row>
    <row r="225" spans="2:6" x14ac:dyDescent="0.2">
      <c r="B225" s="1" t="s">
        <v>486</v>
      </c>
    </row>
    <row r="226" spans="2:6" x14ac:dyDescent="0.2">
      <c r="B226" s="1" t="s">
        <v>168</v>
      </c>
      <c r="C226" s="22">
        <v>44834</v>
      </c>
      <c r="E226" s="23">
        <f>+D204</f>
        <v>19584</v>
      </c>
    </row>
    <row r="227" spans="2:6" x14ac:dyDescent="0.2">
      <c r="B227" s="1" t="s">
        <v>168</v>
      </c>
      <c r="C227" s="22">
        <v>45016</v>
      </c>
      <c r="D227" s="1">
        <f>+D208/2</f>
        <v>204</v>
      </c>
      <c r="E227" s="23">
        <f>+E226-D227</f>
        <v>19380</v>
      </c>
      <c r="F227" s="1" t="str">
        <f ca="1">_xlfn.FORMULATEXT(D227)</f>
        <v>=+D208/2</v>
      </c>
    </row>
    <row r="228" spans="2:6" x14ac:dyDescent="0.2">
      <c r="B228" s="1" t="s">
        <v>481</v>
      </c>
      <c r="C228" s="22">
        <v>45016</v>
      </c>
      <c r="E228" s="23">
        <f>+C214</f>
        <v>23500</v>
      </c>
    </row>
    <row r="229" spans="2:6" x14ac:dyDescent="0.2">
      <c r="B229" s="1" t="s">
        <v>482</v>
      </c>
      <c r="E229" s="23">
        <f>+E228-E227</f>
        <v>4120</v>
      </c>
    </row>
    <row r="231" spans="2:6" x14ac:dyDescent="0.2">
      <c r="B231" s="1" t="s">
        <v>490</v>
      </c>
      <c r="E231" s="23">
        <f>+F233-F232</f>
        <v>3100</v>
      </c>
    </row>
    <row r="232" spans="2:6" x14ac:dyDescent="0.2">
      <c r="C232" s="1" t="s">
        <v>491</v>
      </c>
      <c r="F232" s="23">
        <f>+D227-D203</f>
        <v>1020</v>
      </c>
    </row>
    <row r="233" spans="2:6" x14ac:dyDescent="0.2">
      <c r="C233" s="1" t="s">
        <v>492</v>
      </c>
      <c r="F233" s="23">
        <f>+E229</f>
        <v>4120</v>
      </c>
    </row>
    <row r="234" spans="2:6" x14ac:dyDescent="0.2">
      <c r="B234" s="1" t="s">
        <v>508</v>
      </c>
    </row>
    <row r="237" spans="2:6" x14ac:dyDescent="0.2">
      <c r="B237" s="1" t="s">
        <v>100</v>
      </c>
    </row>
    <row r="238" spans="2:6" x14ac:dyDescent="0.2">
      <c r="B238" s="1" t="s">
        <v>493</v>
      </c>
    </row>
    <row r="240" spans="2:6" x14ac:dyDescent="0.2">
      <c r="B240" s="1" t="s">
        <v>494</v>
      </c>
      <c r="D240" s="1">
        <f>+D209</f>
        <v>204</v>
      </c>
    </row>
    <row r="241" spans="2:7" x14ac:dyDescent="0.2">
      <c r="B241" s="1" t="s">
        <v>495</v>
      </c>
      <c r="D241" s="23">
        <f>+C214/(40*12)*6</f>
        <v>293.75</v>
      </c>
    </row>
    <row r="242" spans="2:7" x14ac:dyDescent="0.2">
      <c r="B242" s="1" t="s">
        <v>496</v>
      </c>
      <c r="D242" s="23">
        <f>SUM(D240:D241)</f>
        <v>497.75</v>
      </c>
      <c r="E242" s="1" t="s">
        <v>497</v>
      </c>
    </row>
    <row r="244" spans="2:7" x14ac:dyDescent="0.2">
      <c r="B244" s="1" t="s">
        <v>498</v>
      </c>
      <c r="E244" s="23">
        <f>+D242</f>
        <v>497.75</v>
      </c>
    </row>
    <row r="245" spans="2:7" x14ac:dyDescent="0.2">
      <c r="C245" s="1" t="s">
        <v>499</v>
      </c>
      <c r="F245" s="23">
        <f>+E244</f>
        <v>497.75</v>
      </c>
    </row>
    <row r="246" spans="2:7" x14ac:dyDescent="0.2">
      <c r="B246" s="1" t="s">
        <v>500</v>
      </c>
    </row>
    <row r="247" spans="2:7" x14ac:dyDescent="0.2">
      <c r="B247" s="1" t="s">
        <v>509</v>
      </c>
    </row>
    <row r="249" spans="2:7" x14ac:dyDescent="0.2">
      <c r="B249" s="1" t="s">
        <v>501</v>
      </c>
      <c r="D249" s="1" t="s">
        <v>502</v>
      </c>
      <c r="E249" s="1" t="s">
        <v>503</v>
      </c>
    </row>
    <row r="250" spans="2:7" x14ac:dyDescent="0.2">
      <c r="B250" s="1" t="s">
        <v>281</v>
      </c>
      <c r="D250" s="23">
        <f>+E213</f>
        <v>1780</v>
      </c>
      <c r="E250" s="23">
        <f>+D250+F233-D251</f>
        <v>5882.2</v>
      </c>
    </row>
    <row r="251" spans="2:7" x14ac:dyDescent="0.2">
      <c r="B251" s="1" t="s">
        <v>504</v>
      </c>
      <c r="D251" s="23">
        <f>6*D250/D207</f>
        <v>17.8</v>
      </c>
      <c r="E251" s="23">
        <f>6*E250/(40*12)</f>
        <v>73.527499999999989</v>
      </c>
      <c r="F251" s="1" t="str" cm="1">
        <f t="array" aca="1" ref="F251:G251" ca="1">_xlfn.FORMULATEXT(D250:E250)</f>
        <v>=+E213</v>
      </c>
      <c r="G251" s="1" t="str">
        <f ca="1"/>
        <v>=+D250+F233-D251</v>
      </c>
    </row>
    <row r="252" spans="2:7" x14ac:dyDescent="0.2">
      <c r="E252" s="23">
        <f>SUM(D250:E250)</f>
        <v>7662.2</v>
      </c>
    </row>
    <row r="254" spans="2:7" x14ac:dyDescent="0.2">
      <c r="B254" s="1" t="s">
        <v>505</v>
      </c>
      <c r="E254" s="23">
        <f>+E252</f>
        <v>7662.2</v>
      </c>
    </row>
    <row r="255" spans="2:7" x14ac:dyDescent="0.2">
      <c r="C255" s="1" t="s">
        <v>506</v>
      </c>
      <c r="F255" s="23">
        <f>+E254</f>
        <v>7662.2</v>
      </c>
    </row>
    <row r="256" spans="2:7" x14ac:dyDescent="0.2">
      <c r="B256" s="1" t="s">
        <v>510</v>
      </c>
    </row>
    <row r="259" spans="2:7" x14ac:dyDescent="0.2">
      <c r="B259" s="1" t="s">
        <v>507</v>
      </c>
    </row>
    <row r="261" spans="2:7" x14ac:dyDescent="0.2">
      <c r="B261" s="22">
        <v>44865</v>
      </c>
      <c r="C261" s="1" t="s">
        <v>511</v>
      </c>
      <c r="E261" s="1">
        <v>144</v>
      </c>
      <c r="F261" s="1" t="s">
        <v>518</v>
      </c>
    </row>
    <row r="262" spans="2:7" x14ac:dyDescent="0.2">
      <c r="B262" s="22">
        <v>44895</v>
      </c>
      <c r="C262" s="1" t="s">
        <v>512</v>
      </c>
      <c r="E262" s="1">
        <v>105</v>
      </c>
      <c r="F262" s="1" t="s">
        <v>519</v>
      </c>
    </row>
    <row r="263" spans="2:7" x14ac:dyDescent="0.2">
      <c r="B263" s="22">
        <v>44926</v>
      </c>
      <c r="C263" s="1" t="s">
        <v>513</v>
      </c>
      <c r="E263" s="1">
        <v>123</v>
      </c>
      <c r="F263" s="1" t="s">
        <v>520</v>
      </c>
    </row>
    <row r="264" spans="2:7" x14ac:dyDescent="0.2">
      <c r="B264" s="22">
        <v>44957</v>
      </c>
      <c r="C264" s="1" t="s">
        <v>514</v>
      </c>
      <c r="E264" s="1">
        <v>400</v>
      </c>
      <c r="F264" s="1" t="s">
        <v>520</v>
      </c>
    </row>
    <row r="265" spans="2:7" x14ac:dyDescent="0.2">
      <c r="B265" s="22">
        <v>45016</v>
      </c>
      <c r="C265" s="1" t="s">
        <v>514</v>
      </c>
      <c r="E265" s="1">
        <v>450</v>
      </c>
      <c r="F265" s="1" t="s">
        <v>521</v>
      </c>
    </row>
    <row r="266" spans="2:7" ht="12.75" thickBot="1" x14ac:dyDescent="0.25">
      <c r="B266" s="113">
        <v>45046</v>
      </c>
      <c r="C266" s="114" t="s">
        <v>515</v>
      </c>
      <c r="D266" s="114"/>
      <c r="E266" s="114">
        <v>48</v>
      </c>
      <c r="F266" s="114" t="s">
        <v>518</v>
      </c>
      <c r="G266" s="1" t="s">
        <v>523</v>
      </c>
    </row>
    <row r="267" spans="2:7" x14ac:dyDescent="0.2">
      <c r="B267" s="22">
        <v>45077</v>
      </c>
      <c r="C267" s="1" t="s">
        <v>514</v>
      </c>
      <c r="E267" s="1">
        <v>130</v>
      </c>
      <c r="F267" s="1" t="s">
        <v>518</v>
      </c>
    </row>
    <row r="268" spans="2:7" x14ac:dyDescent="0.2">
      <c r="B268" s="22">
        <v>45107</v>
      </c>
      <c r="C268" s="1" t="s">
        <v>516</v>
      </c>
      <c r="E268" s="1">
        <v>80</v>
      </c>
      <c r="F268" s="1" t="s">
        <v>518</v>
      </c>
    </row>
    <row r="269" spans="2:7" x14ac:dyDescent="0.2">
      <c r="B269" s="22">
        <v>45138</v>
      </c>
      <c r="C269" s="1" t="s">
        <v>517</v>
      </c>
      <c r="E269" s="1">
        <v>60</v>
      </c>
      <c r="F269" s="1" t="s">
        <v>518</v>
      </c>
    </row>
    <row r="270" spans="2:7" x14ac:dyDescent="0.2">
      <c r="E270" s="1">
        <f>SUM(E261:E269)</f>
        <v>1540</v>
      </c>
    </row>
    <row r="271" spans="2:7" x14ac:dyDescent="0.2">
      <c r="B271" s="1" t="s">
        <v>522</v>
      </c>
      <c r="E271" s="1">
        <v>50</v>
      </c>
    </row>
    <row r="272" spans="2:7" x14ac:dyDescent="0.2">
      <c r="E272" s="1">
        <f>SUM(E270:E271)</f>
        <v>1590</v>
      </c>
    </row>
    <row r="273" spans="2:13" x14ac:dyDescent="0.2">
      <c r="B273" s="1" t="s">
        <v>654</v>
      </c>
    </row>
    <row r="274" spans="2:13" x14ac:dyDescent="0.2">
      <c r="B274" s="1" t="s">
        <v>655</v>
      </c>
      <c r="D274" s="1">
        <f>-E269</f>
        <v>-60</v>
      </c>
    </row>
    <row r="275" spans="2:13" x14ac:dyDescent="0.2">
      <c r="B275" s="1" t="s">
        <v>656</v>
      </c>
      <c r="D275" s="1">
        <f>-E268</f>
        <v>-80</v>
      </c>
      <c r="E275" s="1">
        <f>SUM(D274:D275)</f>
        <v>-140</v>
      </c>
    </row>
    <row r="276" spans="2:13" x14ac:dyDescent="0.2">
      <c r="E276" s="1">
        <f>SUM(E272:E275)</f>
        <v>1450</v>
      </c>
    </row>
    <row r="279" spans="2:13" x14ac:dyDescent="0.2">
      <c r="B279" s="1" t="s">
        <v>524</v>
      </c>
    </row>
    <row r="281" spans="2:13" ht="15" x14ac:dyDescent="0.25">
      <c r="B281" s="115" t="s">
        <v>525</v>
      </c>
      <c r="C281"/>
      <c r="D281"/>
      <c r="E281"/>
      <c r="F281"/>
      <c r="G281"/>
      <c r="H281"/>
      <c r="I281" s="115" t="s">
        <v>526</v>
      </c>
      <c r="J281"/>
      <c r="K281"/>
      <c r="L281"/>
      <c r="M281"/>
    </row>
    <row r="282" spans="2:13" ht="15" x14ac:dyDescent="0.25">
      <c r="B282" s="115" t="s">
        <v>527</v>
      </c>
      <c r="C282"/>
      <c r="D282"/>
      <c r="E282"/>
      <c r="F282"/>
      <c r="G282"/>
      <c r="H282"/>
      <c r="I282"/>
      <c r="J282"/>
      <c r="K282"/>
      <c r="L282"/>
      <c r="M282"/>
    </row>
    <row r="283" spans="2:13" ht="15" x14ac:dyDescent="0.25">
      <c r="B283" s="115" t="s">
        <v>528</v>
      </c>
      <c r="C283"/>
      <c r="D283"/>
      <c r="E283"/>
      <c r="F283"/>
      <c r="G283"/>
      <c r="H283"/>
      <c r="I283"/>
      <c r="J283"/>
      <c r="K283"/>
      <c r="L283"/>
      <c r="M283"/>
    </row>
    <row r="284" spans="2:13" ht="15" x14ac:dyDescent="0.25">
      <c r="B284" s="115" t="s">
        <v>529</v>
      </c>
      <c r="C284"/>
      <c r="D284"/>
      <c r="E284"/>
      <c r="F284"/>
      <c r="G284"/>
      <c r="H284"/>
      <c r="I284"/>
      <c r="J284"/>
      <c r="K284"/>
      <c r="L284"/>
      <c r="M284"/>
    </row>
    <row r="285" spans="2:13" ht="15" x14ac:dyDescent="0.25">
      <c r="B285" s="116" t="s">
        <v>530</v>
      </c>
      <c r="C285"/>
      <c r="D285"/>
      <c r="E285"/>
      <c r="F285"/>
      <c r="G285"/>
      <c r="H285"/>
      <c r="I285"/>
      <c r="J285"/>
      <c r="K285"/>
      <c r="L285"/>
      <c r="M285"/>
    </row>
    <row r="286" spans="2:13" ht="15" x14ac:dyDescent="0.25">
      <c r="B286" t="s">
        <v>531</v>
      </c>
      <c r="C286"/>
      <c r="D286"/>
      <c r="E286" s="117">
        <v>45047</v>
      </c>
      <c r="F286"/>
      <c r="G286"/>
      <c r="H286"/>
      <c r="I286"/>
      <c r="J286"/>
      <c r="K286"/>
      <c r="L286"/>
      <c r="M286"/>
    </row>
    <row r="287" spans="2:13" ht="30.75" thickBot="1" x14ac:dyDescent="0.3">
      <c r="B287" s="116" t="s">
        <v>532</v>
      </c>
      <c r="C287" s="118" t="s">
        <v>533</v>
      </c>
      <c r="D287" s="119" t="s">
        <v>534</v>
      </c>
      <c r="E287" s="116" t="s">
        <v>535</v>
      </c>
      <c r="F287" s="116" t="s">
        <v>536</v>
      </c>
      <c r="G287" s="120" t="s">
        <v>537</v>
      </c>
      <c r="H287" s="116" t="s">
        <v>538</v>
      </c>
      <c r="I287"/>
      <c r="J287"/>
      <c r="K287"/>
      <c r="L287"/>
      <c r="M287"/>
    </row>
    <row r="288" spans="2:13" ht="15" x14ac:dyDescent="0.25">
      <c r="B288" s="121" t="s">
        <v>512</v>
      </c>
      <c r="C288" s="122">
        <v>105</v>
      </c>
      <c r="D288" s="123">
        <v>44895</v>
      </c>
      <c r="E288" s="124"/>
      <c r="F288" s="125">
        <v>0.08</v>
      </c>
      <c r="G288" s="126">
        <f>YEARFRAC(D288,$E$286)*12</f>
        <v>5.0333333333333332</v>
      </c>
      <c r="H288" s="133">
        <f>F288*(G288-E288)/12*C288</f>
        <v>3.523333333333333</v>
      </c>
      <c r="I288" s="134"/>
      <c r="J288"/>
      <c r="K288"/>
      <c r="L288"/>
      <c r="M288"/>
    </row>
    <row r="289" spans="2:18" ht="15" x14ac:dyDescent="0.25">
      <c r="B289" s="127" t="s">
        <v>513</v>
      </c>
      <c r="C289" s="128">
        <v>123</v>
      </c>
      <c r="D289" s="117">
        <v>44926</v>
      </c>
      <c r="E289" s="129"/>
      <c r="F289" s="130">
        <v>0.08</v>
      </c>
      <c r="G289" s="131">
        <f>YEARFRAC(D289,$E$286)*12</f>
        <v>4.0333333333333332</v>
      </c>
      <c r="H289" s="135">
        <f>F289*(G289-E289)/12*C289</f>
        <v>3.3073333333333332</v>
      </c>
      <c r="I289" s="134"/>
      <c r="J289"/>
      <c r="K289"/>
      <c r="L289"/>
      <c r="M289"/>
    </row>
    <row r="290" spans="2:18" ht="15" x14ac:dyDescent="0.25">
      <c r="B290" s="127" t="s">
        <v>514</v>
      </c>
      <c r="C290" s="128">
        <v>400</v>
      </c>
      <c r="D290" s="117">
        <v>44957</v>
      </c>
      <c r="E290" s="129"/>
      <c r="F290" s="130">
        <v>7.0000000000000007E-2</v>
      </c>
      <c r="G290" s="131">
        <f>YEARFRAC(D290,$E$286)*12</f>
        <v>3.0333333333333332</v>
      </c>
      <c r="H290" s="135">
        <f>F290*(G290-E290)/12*C290</f>
        <v>7.0777777777777784</v>
      </c>
      <c r="I290" s="134"/>
      <c r="J290"/>
      <c r="K290"/>
      <c r="L290"/>
      <c r="M290"/>
    </row>
    <row r="291" spans="2:18" ht="15" x14ac:dyDescent="0.25">
      <c r="B291" s="127" t="s">
        <v>514</v>
      </c>
      <c r="C291" s="128">
        <v>450</v>
      </c>
      <c r="D291" s="117">
        <v>45016</v>
      </c>
      <c r="E291" s="129"/>
      <c r="F291" s="130">
        <v>7.0000000000000007E-2</v>
      </c>
      <c r="G291" s="131">
        <f>YEARFRAC(D291,$E$286)*12</f>
        <v>1.0333333333333332</v>
      </c>
      <c r="H291" s="135">
        <f>F291*(G291-E291)/12*C291</f>
        <v>2.7124999999999999</v>
      </c>
      <c r="I291" s="134"/>
      <c r="J291"/>
      <c r="K291"/>
      <c r="L291"/>
      <c r="M291"/>
    </row>
    <row r="292" spans="2:18" ht="15" x14ac:dyDescent="0.25">
      <c r="B292" s="127" t="s">
        <v>511</v>
      </c>
      <c r="C292" s="128">
        <v>144</v>
      </c>
      <c r="D292" s="117">
        <v>44865</v>
      </c>
      <c r="E292" s="129"/>
      <c r="F292" s="130">
        <v>0.08</v>
      </c>
      <c r="G292" s="131">
        <f>YEARFRAC(D292,$E$286)*12</f>
        <v>6.0333333333333332</v>
      </c>
      <c r="H292" s="135">
        <f>F292*(G292-E292)/12*C292</f>
        <v>5.7919999999999998</v>
      </c>
      <c r="I292" s="134"/>
      <c r="J292"/>
      <c r="K292"/>
      <c r="L292"/>
      <c r="M292"/>
    </row>
    <row r="293" spans="2:18" ht="15" x14ac:dyDescent="0.25">
      <c r="B293" s="127" t="s">
        <v>522</v>
      </c>
      <c r="C293" s="128">
        <v>50</v>
      </c>
      <c r="D293" s="117">
        <v>45046</v>
      </c>
      <c r="E293" s="129"/>
      <c r="F293" s="130">
        <v>0.08</v>
      </c>
      <c r="G293" s="131">
        <f>YEARFRAC(D293,$E$286)*12</f>
        <v>3.3333333333333333E-2</v>
      </c>
      <c r="H293" s="135">
        <f>F293*(G293-E293)/12*C293</f>
        <v>1.111111111111111E-2</v>
      </c>
      <c r="I293" s="134"/>
      <c r="J293"/>
      <c r="K293"/>
      <c r="L293"/>
      <c r="M293"/>
    </row>
    <row r="294" spans="2:18" ht="15" x14ac:dyDescent="0.25">
      <c r="B294"/>
      <c r="C294"/>
      <c r="D294"/>
      <c r="E294"/>
      <c r="F294"/>
      <c r="G294" t="s">
        <v>539</v>
      </c>
      <c r="H294" s="136">
        <f>SUM(H288:H293)</f>
        <v>22.424055555555555</v>
      </c>
      <c r="I294" s="134"/>
      <c r="J294" s="116"/>
      <c r="K294"/>
      <c r="L294"/>
      <c r="M294"/>
    </row>
    <row r="295" spans="2:18" customFormat="1" ht="15" x14ac:dyDescent="0.25">
      <c r="C295" s="128">
        <f>SUM(C288:C294)</f>
        <v>1272</v>
      </c>
      <c r="G295" t="s">
        <v>540</v>
      </c>
      <c r="H295" s="137">
        <v>37</v>
      </c>
      <c r="I295" s="134"/>
      <c r="N295" s="1"/>
      <c r="O295" s="1"/>
      <c r="P295" s="1"/>
      <c r="Q295" s="1"/>
      <c r="R295" s="1"/>
    </row>
    <row r="296" spans="2:18" customFormat="1" ht="15" x14ac:dyDescent="0.25">
      <c r="H296" s="136">
        <f>SUM(H295:H295)</f>
        <v>37</v>
      </c>
      <c r="I296" s="134"/>
    </row>
    <row r="297" spans="2:18" customFormat="1" ht="15" x14ac:dyDescent="0.25">
      <c r="G297" t="s">
        <v>538</v>
      </c>
      <c r="H297" s="136">
        <f>IF(H294&lt;H296,H294,H296)</f>
        <v>22.424055555555555</v>
      </c>
      <c r="I297" s="134"/>
    </row>
    <row r="298" spans="2:18" customFormat="1" ht="15" x14ac:dyDescent="0.25">
      <c r="B298" s="1"/>
      <c r="C298" s="1"/>
      <c r="D298" s="1"/>
      <c r="H298" s="134"/>
      <c r="I298" s="134"/>
    </row>
    <row r="299" spans="2:18" customFormat="1" ht="15" x14ac:dyDescent="0.25">
      <c r="B299" s="1"/>
      <c r="C299" s="1"/>
      <c r="D299" s="1"/>
      <c r="G299" s="115" t="str">
        <f>IF(H294&lt;H296,("The potentially allowable borrowing costs are less than actual finance costs incurred, therefore can capitalise £"&amp;H294),"As potentially allowable borrowing costs are more than actual finance costs, the maximum that can be capitalised is £"&amp;"I75")</f>
        <v>The potentially allowable borrowing costs are less than actual finance costs incurred, therefore can capitalise £22.4240555555556</v>
      </c>
      <c r="H299" s="134"/>
      <c r="I299" s="134"/>
    </row>
    <row r="300" spans="2:18" customFormat="1" ht="15" x14ac:dyDescent="0.25">
      <c r="B300" s="1"/>
      <c r="C300" s="1"/>
      <c r="D300" s="1"/>
      <c r="E300" s="132"/>
      <c r="H300" s="134"/>
      <c r="I300" s="134"/>
    </row>
    <row r="301" spans="2:18" customFormat="1" ht="15" x14ac:dyDescent="0.25">
      <c r="B301" s="1"/>
      <c r="C301" s="1"/>
      <c r="D301" s="1"/>
      <c r="E301" s="1"/>
      <c r="F301" s="1"/>
      <c r="G301" s="1"/>
      <c r="H301" s="1"/>
      <c r="I301" s="1"/>
      <c r="J301" s="1"/>
      <c r="K301" s="1"/>
      <c r="L301" s="1"/>
      <c r="M301" s="1"/>
    </row>
    <row r="302" spans="2:18" customFormat="1" ht="15" x14ac:dyDescent="0.25">
      <c r="B302" s="1"/>
      <c r="C302" s="1"/>
      <c r="D302" s="1"/>
      <c r="E302" s="1"/>
      <c r="F302" s="1"/>
      <c r="G302" s="1"/>
      <c r="H302" s="1"/>
      <c r="I302" s="1"/>
      <c r="J302" s="1"/>
      <c r="K302" s="1"/>
      <c r="L302" s="1"/>
      <c r="M302" s="1"/>
    </row>
    <row r="303" spans="2:18" customFormat="1" ht="15" x14ac:dyDescent="0.25">
      <c r="B303" s="1" t="s">
        <v>542</v>
      </c>
      <c r="C303" s="1"/>
      <c r="D303" s="1"/>
      <c r="E303" s="138">
        <f>+E276+H297</f>
        <v>1472.4240555555555</v>
      </c>
      <c r="F303" s="1"/>
      <c r="G303" s="1"/>
      <c r="H303" s="1"/>
      <c r="I303" s="1"/>
      <c r="J303" s="1"/>
      <c r="K303" s="1"/>
      <c r="L303" s="1"/>
      <c r="M303" s="1"/>
    </row>
    <row r="304" spans="2:18" customFormat="1" ht="15" x14ac:dyDescent="0.25">
      <c r="B304" s="1"/>
      <c r="C304" s="1" t="s">
        <v>543</v>
      </c>
      <c r="D304" s="1"/>
      <c r="E304" s="138"/>
      <c r="F304" s="138">
        <f>+E303-F305-F306</f>
        <v>1400</v>
      </c>
      <c r="G304" s="1"/>
      <c r="H304" s="1"/>
      <c r="I304" s="1"/>
      <c r="J304" s="1"/>
      <c r="K304" s="1"/>
      <c r="L304" s="1"/>
      <c r="M304" s="1"/>
    </row>
    <row r="305" spans="2:18" customFormat="1" ht="15" x14ac:dyDescent="0.25">
      <c r="B305" s="1"/>
      <c r="C305" s="1" t="s">
        <v>544</v>
      </c>
      <c r="D305" s="1"/>
      <c r="E305" s="138"/>
      <c r="F305" s="138">
        <f>+C293</f>
        <v>50</v>
      </c>
      <c r="G305" s="1"/>
      <c r="H305" s="1"/>
      <c r="I305" s="1"/>
      <c r="J305" s="1"/>
      <c r="K305" s="1"/>
      <c r="L305" s="1"/>
      <c r="M305" s="1"/>
    </row>
    <row r="306" spans="2:18" s="52" customFormat="1" ht="15" x14ac:dyDescent="0.25">
      <c r="B306" s="134"/>
      <c r="C306" s="1" t="s">
        <v>541</v>
      </c>
      <c r="D306" s="1"/>
      <c r="E306" s="1"/>
      <c r="F306" s="138">
        <f>H297</f>
        <v>22.424055555555555</v>
      </c>
      <c r="G306" s="1"/>
      <c r="H306" s="138"/>
      <c r="I306" s="138"/>
      <c r="J306" s="1"/>
      <c r="K306" s="1"/>
      <c r="L306" s="1"/>
      <c r="M306" s="1"/>
      <c r="N306"/>
      <c r="O306"/>
      <c r="P306"/>
      <c r="Q306"/>
      <c r="R306"/>
    </row>
    <row r="307" spans="2:18" s="52" customFormat="1" ht="15" x14ac:dyDescent="0.25">
      <c r="B307" s="1" t="s">
        <v>545</v>
      </c>
      <c r="C307" s="1"/>
      <c r="D307" s="1"/>
      <c r="E307" s="1"/>
      <c r="F307" s="1"/>
      <c r="G307" s="1"/>
      <c r="H307" s="1"/>
      <c r="I307" s="1"/>
      <c r="J307" s="1"/>
      <c r="K307" s="1"/>
      <c r="L307" s="1"/>
      <c r="M307" s="1"/>
      <c r="N307" s="152"/>
      <c r="O307" s="152"/>
    </row>
    <row r="308" spans="2:18" s="52" customFormat="1" ht="15" x14ac:dyDescent="0.25">
      <c r="B308" s="1"/>
      <c r="C308" s="1"/>
      <c r="D308" s="1"/>
      <c r="E308" s="1"/>
      <c r="F308" s="1"/>
      <c r="G308" s="1"/>
      <c r="H308" s="1"/>
      <c r="I308" s="1"/>
      <c r="J308" s="1"/>
      <c r="K308" s="1"/>
      <c r="L308" s="1"/>
      <c r="M308" s="1"/>
      <c r="N308" s="152"/>
      <c r="O308" s="152"/>
    </row>
    <row r="309" spans="2:18" s="52" customFormat="1" ht="15" x14ac:dyDescent="0.25">
      <c r="B309" s="1"/>
      <c r="C309" s="1"/>
      <c r="D309" s="1"/>
      <c r="E309" s="1"/>
      <c r="F309" s="1"/>
      <c r="G309" s="1"/>
      <c r="H309" s="1"/>
      <c r="I309" s="1"/>
      <c r="J309" s="1"/>
      <c r="K309" s="1"/>
      <c r="L309" s="1"/>
      <c r="M309" s="1"/>
    </row>
    <row r="310" spans="2:18" s="52" customFormat="1" ht="15" x14ac:dyDescent="0.25">
      <c r="B310" s="1" t="s">
        <v>477</v>
      </c>
      <c r="C310" s="1"/>
      <c r="D310" s="1"/>
      <c r="E310" s="138">
        <f>+E303</f>
        <v>1472.4240555555555</v>
      </c>
      <c r="F310" s="1"/>
      <c r="G310" s="1"/>
      <c r="H310" s="1"/>
      <c r="I310" s="1"/>
      <c r="J310" s="1"/>
      <c r="K310" s="1"/>
      <c r="L310" s="1"/>
      <c r="M310" s="1"/>
    </row>
    <row r="311" spans="2:18" s="52" customFormat="1" ht="15" x14ac:dyDescent="0.25">
      <c r="B311" s="1" t="s">
        <v>546</v>
      </c>
      <c r="C311" s="1"/>
      <c r="D311" s="1"/>
      <c r="E311" s="1">
        <f>50*12</f>
        <v>600</v>
      </c>
      <c r="F311" s="1" t="str">
        <f ca="1">_xlfn.FORMULATEXT(E311)</f>
        <v>=50*12</v>
      </c>
      <c r="G311" s="1"/>
      <c r="H311" s="1"/>
      <c r="I311" s="1"/>
      <c r="J311" s="1"/>
      <c r="K311" s="1"/>
      <c r="L311" s="1"/>
      <c r="M311" s="1"/>
    </row>
    <row r="312" spans="2:18" s="52" customFormat="1" ht="15" x14ac:dyDescent="0.25">
      <c r="B312" s="1" t="s">
        <v>547</v>
      </c>
      <c r="C312" s="22">
        <v>45047</v>
      </c>
      <c r="D312" s="6">
        <f>+YEARFRAC(C312,C3)*12</f>
        <v>4.9666666666666668</v>
      </c>
      <c r="E312" s="1"/>
      <c r="F312" s="1"/>
      <c r="G312" s="1"/>
      <c r="H312" s="1"/>
      <c r="I312" s="1"/>
      <c r="J312" s="1"/>
      <c r="K312" s="1"/>
      <c r="L312" s="1"/>
      <c r="M312" s="1"/>
    </row>
    <row r="313" spans="2:18" s="52" customFormat="1" ht="15" x14ac:dyDescent="0.25">
      <c r="B313" s="1" t="s">
        <v>100</v>
      </c>
      <c r="C313" s="1"/>
      <c r="D313" s="1"/>
      <c r="E313" s="139">
        <f>+D312*E310/E311</f>
        <v>12.188399126543208</v>
      </c>
      <c r="F313" s="1"/>
      <c r="G313" s="1"/>
      <c r="H313" s="1"/>
      <c r="I313" s="1"/>
      <c r="J313" s="1"/>
      <c r="K313" s="1"/>
      <c r="L313" s="1"/>
      <c r="M313" s="1"/>
    </row>
    <row r="314" spans="2:18" ht="15" x14ac:dyDescent="0.25">
      <c r="N314" s="52"/>
      <c r="O314" s="52"/>
      <c r="P314" s="52"/>
      <c r="Q314" s="52"/>
      <c r="R314" s="52"/>
    </row>
    <row r="315" spans="2:18" x14ac:dyDescent="0.2">
      <c r="B315" s="1" t="s">
        <v>498</v>
      </c>
      <c r="E315" s="139">
        <f>+E313</f>
        <v>12.188399126543208</v>
      </c>
    </row>
    <row r="316" spans="2:18" x14ac:dyDescent="0.2">
      <c r="C316" s="1" t="s">
        <v>548</v>
      </c>
      <c r="F316" s="139">
        <f>+E315</f>
        <v>12.188399126543208</v>
      </c>
    </row>
    <row r="317" spans="2:18" x14ac:dyDescent="0.2">
      <c r="B317" s="1" t="s">
        <v>643</v>
      </c>
    </row>
    <row r="320" spans="2:18" x14ac:dyDescent="0.2">
      <c r="B320" s="1" t="s">
        <v>549</v>
      </c>
      <c r="C320" s="1">
        <v>4963</v>
      </c>
    </row>
    <row r="321" spans="2:7" x14ac:dyDescent="0.2">
      <c r="B321" s="22">
        <v>45078</v>
      </c>
      <c r="C321" s="23">
        <f>+YEARFRAC(B321,C3)*12</f>
        <v>3.9666666666666668</v>
      </c>
    </row>
    <row r="322" spans="2:7" x14ac:dyDescent="0.2">
      <c r="B322" s="1" t="s">
        <v>100</v>
      </c>
      <c r="C322" s="23">
        <f>+C321/E207*C320</f>
        <v>164.05472222222221</v>
      </c>
    </row>
    <row r="325" spans="2:7" x14ac:dyDescent="0.2">
      <c r="B325" s="1" t="s">
        <v>550</v>
      </c>
      <c r="E325" s="23">
        <v>2193</v>
      </c>
      <c r="G325" s="1" t="s">
        <v>657</v>
      </c>
    </row>
    <row r="326" spans="2:7" x14ac:dyDescent="0.2">
      <c r="C326" s="1" t="s">
        <v>551</v>
      </c>
      <c r="F326" s="23">
        <f>+E325</f>
        <v>2193</v>
      </c>
    </row>
    <row r="327" spans="2:7" x14ac:dyDescent="0.2">
      <c r="B327" s="1" t="s">
        <v>641</v>
      </c>
    </row>
    <row r="330" spans="2:7" x14ac:dyDescent="0.2">
      <c r="B330" s="1" t="s">
        <v>552</v>
      </c>
    </row>
    <row r="331" spans="2:7" x14ac:dyDescent="0.2">
      <c r="B331" s="22">
        <v>44986</v>
      </c>
    </row>
    <row r="332" spans="2:7" x14ac:dyDescent="0.2">
      <c r="B332" s="1" t="s">
        <v>553</v>
      </c>
      <c r="C332" s="22">
        <v>44986</v>
      </c>
      <c r="D332" s="1">
        <v>1250</v>
      </c>
      <c r="E332" s="1" t="s">
        <v>554</v>
      </c>
    </row>
    <row r="333" spans="2:7" x14ac:dyDescent="0.2">
      <c r="B333" s="1" t="s">
        <v>167</v>
      </c>
      <c r="D333" s="1">
        <v>1480</v>
      </c>
    </row>
    <row r="334" spans="2:7" x14ac:dyDescent="0.2">
      <c r="B334" s="1" t="s">
        <v>171</v>
      </c>
      <c r="C334" s="22">
        <v>44834</v>
      </c>
      <c r="D334" s="1">
        <v>-592</v>
      </c>
    </row>
    <row r="335" spans="2:7" x14ac:dyDescent="0.2">
      <c r="C335" s="140">
        <f>+YEARFRAC(C334,C332)*12</f>
        <v>5.0333333333333332</v>
      </c>
    </row>
    <row r="337" spans="2:6" x14ac:dyDescent="0.2">
      <c r="B337" s="1" t="s">
        <v>555</v>
      </c>
    </row>
    <row r="338" spans="2:6" x14ac:dyDescent="0.2">
      <c r="D338" s="23">
        <f>+C335*D333/E207</f>
        <v>62.077777777777776</v>
      </c>
    </row>
    <row r="339" spans="2:6" x14ac:dyDescent="0.2">
      <c r="B339" s="1" t="s">
        <v>168</v>
      </c>
      <c r="C339" s="22">
        <v>44986</v>
      </c>
      <c r="D339" s="23">
        <f>+D333+D334-D338</f>
        <v>825.92222222222222</v>
      </c>
    </row>
    <row r="340" spans="2:6" x14ac:dyDescent="0.2">
      <c r="B340" s="1" t="s">
        <v>72</v>
      </c>
      <c r="D340" s="23">
        <f>+D332-D339</f>
        <v>424.07777777777778</v>
      </c>
    </row>
    <row r="342" spans="2:6" x14ac:dyDescent="0.2">
      <c r="B342" s="1" t="s">
        <v>557</v>
      </c>
      <c r="E342" s="156">
        <f>-D334+D338</f>
        <v>654.07777777777778</v>
      </c>
    </row>
    <row r="343" spans="2:6" x14ac:dyDescent="0.2">
      <c r="B343" s="1" t="s">
        <v>559</v>
      </c>
      <c r="E343" s="156">
        <v>1250</v>
      </c>
    </row>
    <row r="344" spans="2:6" x14ac:dyDescent="0.2">
      <c r="C344" s="1" t="s">
        <v>556</v>
      </c>
      <c r="F344" s="18">
        <f>+D333</f>
        <v>1480</v>
      </c>
    </row>
    <row r="345" spans="2:6" x14ac:dyDescent="0.2">
      <c r="B345" s="23"/>
      <c r="C345" s="1" t="s">
        <v>558</v>
      </c>
      <c r="F345" s="156">
        <f>+D340</f>
        <v>424.07777777777778</v>
      </c>
    </row>
    <row r="346" spans="2:6" x14ac:dyDescent="0.2">
      <c r="B346" s="1" t="s">
        <v>642</v>
      </c>
    </row>
    <row r="350" spans="2:6" x14ac:dyDescent="0.2">
      <c r="B350" s="1" t="s">
        <v>560</v>
      </c>
    </row>
    <row r="351" spans="2:6" x14ac:dyDescent="0.2">
      <c r="B351" s="1" t="s">
        <v>561</v>
      </c>
    </row>
    <row r="352" spans="2:6" x14ac:dyDescent="0.2">
      <c r="B352" s="1" t="s">
        <v>167</v>
      </c>
      <c r="D352" s="138">
        <f>+E303</f>
        <v>1472.4240555555555</v>
      </c>
    </row>
    <row r="353" spans="2:8" x14ac:dyDescent="0.2">
      <c r="B353" s="1" t="s">
        <v>659</v>
      </c>
      <c r="D353" s="138">
        <f>-E261-E266</f>
        <v>-192</v>
      </c>
    </row>
    <row r="354" spans="2:8" x14ac:dyDescent="0.2">
      <c r="B354" s="1" t="s">
        <v>660</v>
      </c>
      <c r="D354" s="138">
        <f>-F306</f>
        <v>-22.424055555555555</v>
      </c>
    </row>
    <row r="355" spans="2:8" x14ac:dyDescent="0.2">
      <c r="D355" s="138">
        <f>SUM(D352:D354)</f>
        <v>1258</v>
      </c>
    </row>
    <row r="356" spans="2:8" x14ac:dyDescent="0.2">
      <c r="D356" s="112">
        <v>0.12</v>
      </c>
    </row>
    <row r="357" spans="2:8" x14ac:dyDescent="0.2">
      <c r="D357" s="23">
        <f>+D355*D356</f>
        <v>150.96</v>
      </c>
    </row>
    <row r="359" spans="2:8" ht="15" x14ac:dyDescent="0.25">
      <c r="B359" t="s">
        <v>562</v>
      </c>
      <c r="C359"/>
      <c r="D359" s="134">
        <f>+D357</f>
        <v>150.96</v>
      </c>
      <c r="E359"/>
      <c r="F359"/>
      <c r="G359"/>
      <c r="H359" t="s">
        <v>563</v>
      </c>
    </row>
    <row r="360" spans="2:8" ht="15" x14ac:dyDescent="0.25">
      <c r="B360"/>
      <c r="C360"/>
      <c r="D360" s="134"/>
      <c r="E360"/>
      <c r="F360"/>
      <c r="G360"/>
      <c r="H360"/>
    </row>
    <row r="361" spans="2:8" ht="15" x14ac:dyDescent="0.25">
      <c r="B361" t="s">
        <v>661</v>
      </c>
      <c r="C361"/>
      <c r="D361" s="134"/>
      <c r="E361"/>
      <c r="F361"/>
      <c r="G361"/>
      <c r="H361"/>
    </row>
    <row r="362" spans="2:8" ht="15" x14ac:dyDescent="0.25">
      <c r="B362" t="s">
        <v>662</v>
      </c>
      <c r="C362"/>
      <c r="D362" s="134"/>
      <c r="E362" s="134">
        <f>+D359</f>
        <v>150.96</v>
      </c>
      <c r="F362"/>
      <c r="G362"/>
      <c r="H362"/>
    </row>
    <row r="363" spans="2:8" ht="15" x14ac:dyDescent="0.25">
      <c r="B363"/>
      <c r="C363" t="s">
        <v>663</v>
      </c>
      <c r="D363" s="134"/>
      <c r="E363"/>
      <c r="F363" s="134">
        <f>+E362</f>
        <v>150.96</v>
      </c>
      <c r="G363"/>
      <c r="H363"/>
    </row>
    <row r="364" spans="2:8" ht="15" x14ac:dyDescent="0.25">
      <c r="B364" t="s">
        <v>664</v>
      </c>
      <c r="C364"/>
      <c r="D364" s="134"/>
      <c r="E364"/>
      <c r="F364"/>
      <c r="G364"/>
      <c r="H364"/>
    </row>
    <row r="365" spans="2:8" ht="15" x14ac:dyDescent="0.25">
      <c r="B365"/>
      <c r="C365"/>
      <c r="D365" s="134"/>
      <c r="E365"/>
      <c r="F365"/>
      <c r="G365"/>
      <c r="H365"/>
    </row>
    <row r="366" spans="2:8" ht="15" x14ac:dyDescent="0.25">
      <c r="B366"/>
      <c r="C366"/>
      <c r="D366"/>
      <c r="E366"/>
      <c r="F366"/>
      <c r="G366"/>
      <c r="H366"/>
    </row>
    <row r="367" spans="2:8" ht="15" x14ac:dyDescent="0.25">
      <c r="B367" t="s">
        <v>564</v>
      </c>
      <c r="C367"/>
      <c r="D367"/>
      <c r="E367">
        <v>5</v>
      </c>
      <c r="F367" t="s">
        <v>565</v>
      </c>
      <c r="G367"/>
      <c r="H367"/>
    </row>
    <row r="368" spans="2:8" ht="15" x14ac:dyDescent="0.25">
      <c r="B368" t="s">
        <v>566</v>
      </c>
      <c r="C368"/>
      <c r="D368"/>
      <c r="E368">
        <v>50</v>
      </c>
      <c r="F368" t="s">
        <v>565</v>
      </c>
      <c r="G368"/>
      <c r="H368"/>
    </row>
    <row r="369" spans="2:8" ht="15" x14ac:dyDescent="0.25">
      <c r="B369"/>
      <c r="C369"/>
      <c r="D369"/>
      <c r="E369"/>
      <c r="F369"/>
      <c r="G369"/>
      <c r="H369"/>
    </row>
    <row r="370" spans="2:8" ht="15" x14ac:dyDescent="0.25">
      <c r="B370" t="s">
        <v>567</v>
      </c>
      <c r="C370"/>
      <c r="D370"/>
      <c r="E370">
        <f>5/(50*12)</f>
        <v>8.3333333333333332E-3</v>
      </c>
      <c r="F370"/>
      <c r="G370"/>
      <c r="H370"/>
    </row>
    <row r="371" spans="2:8" ht="15" x14ac:dyDescent="0.25">
      <c r="B371"/>
      <c r="C371"/>
      <c r="D371"/>
      <c r="E371"/>
      <c r="F371"/>
      <c r="G371"/>
      <c r="H371"/>
    </row>
    <row r="372" spans="2:8" ht="15" x14ac:dyDescent="0.25">
      <c r="B372" t="s">
        <v>568</v>
      </c>
      <c r="C372"/>
      <c r="D372"/>
      <c r="E372">
        <f>D359*E370</f>
        <v>1.258</v>
      </c>
      <c r="F372"/>
      <c r="G372"/>
      <c r="H372"/>
    </row>
    <row r="373" spans="2:8" ht="15" x14ac:dyDescent="0.25">
      <c r="B373"/>
      <c r="C373"/>
      <c r="D373"/>
      <c r="E373"/>
      <c r="F373"/>
      <c r="G373"/>
      <c r="H373"/>
    </row>
    <row r="374" spans="2:8" ht="15" x14ac:dyDescent="0.25">
      <c r="B374" t="s">
        <v>570</v>
      </c>
      <c r="C374"/>
      <c r="D374" s="157">
        <v>1</v>
      </c>
      <c r="E374"/>
      <c r="F374"/>
      <c r="G374"/>
      <c r="H374"/>
    </row>
    <row r="375" spans="2:8" ht="15" x14ac:dyDescent="0.25">
      <c r="B375" t="s">
        <v>569</v>
      </c>
      <c r="C375"/>
      <c r="D375"/>
      <c r="E375" s="157">
        <v>1</v>
      </c>
      <c r="F375"/>
      <c r="G375"/>
      <c r="H375"/>
    </row>
    <row r="376" spans="2:8" x14ac:dyDescent="0.2">
      <c r="B376" s="1">
        <v>83</v>
      </c>
    </row>
    <row r="377" spans="2:8" x14ac:dyDescent="0.2">
      <c r="B377" s="1" t="s">
        <v>658</v>
      </c>
    </row>
    <row r="379" spans="2:8" x14ac:dyDescent="0.2">
      <c r="B379" s="1" t="s">
        <v>571</v>
      </c>
    </row>
    <row r="381" spans="2:8" ht="12.75" thickBot="1" x14ac:dyDescent="0.25">
      <c r="B381" s="1" t="s">
        <v>572</v>
      </c>
    </row>
    <row r="382" spans="2:8" ht="15" x14ac:dyDescent="0.25">
      <c r="B382" s="141" t="s">
        <v>573</v>
      </c>
      <c r="C382" s="142"/>
      <c r="D382" s="142"/>
      <c r="E382" s="142"/>
      <c r="F382" s="143"/>
      <c r="G382" s="52"/>
    </row>
    <row r="383" spans="2:8" ht="15" x14ac:dyDescent="0.25">
      <c r="B383" s="144" t="s">
        <v>574</v>
      </c>
      <c r="C383" s="98" t="s">
        <v>575</v>
      </c>
      <c r="D383" s="52"/>
      <c r="E383" s="52"/>
      <c r="F383" s="145"/>
      <c r="G383" s="106" t="s">
        <v>576</v>
      </c>
    </row>
    <row r="384" spans="2:8" ht="15" x14ac:dyDescent="0.25">
      <c r="B384" s="144" t="s">
        <v>577</v>
      </c>
      <c r="C384" s="98" t="s">
        <v>584</v>
      </c>
      <c r="D384" s="52"/>
      <c r="E384" s="52"/>
      <c r="F384" s="145"/>
      <c r="G384" s="106"/>
    </row>
    <row r="385" spans="2:7" ht="15" x14ac:dyDescent="0.25">
      <c r="B385" s="144" t="s">
        <v>578</v>
      </c>
      <c r="C385" s="98" t="s">
        <v>584</v>
      </c>
      <c r="D385" s="52"/>
      <c r="E385" s="52"/>
      <c r="F385" s="145"/>
      <c r="G385" s="106" t="s">
        <v>579</v>
      </c>
    </row>
    <row r="386" spans="2:7" ht="15" x14ac:dyDescent="0.25">
      <c r="B386" s="144" t="s">
        <v>580</v>
      </c>
      <c r="C386" s="98" t="s">
        <v>584</v>
      </c>
      <c r="D386" s="52"/>
      <c r="E386" s="52"/>
      <c r="F386" s="145"/>
      <c r="G386" s="106" t="s">
        <v>581</v>
      </c>
    </row>
    <row r="387" spans="2:7" ht="15" x14ac:dyDescent="0.25">
      <c r="B387" s="144" t="s">
        <v>582</v>
      </c>
      <c r="C387" s="98" t="s">
        <v>584</v>
      </c>
      <c r="D387" s="52"/>
      <c r="E387" s="52"/>
      <c r="F387" s="145"/>
      <c r="G387" s="52"/>
    </row>
    <row r="388" spans="2:7" ht="15" x14ac:dyDescent="0.25">
      <c r="B388" s="144"/>
      <c r="C388" s="52"/>
      <c r="D388" s="52"/>
      <c r="E388" s="52"/>
      <c r="F388" s="145"/>
      <c r="G388" s="52"/>
    </row>
    <row r="389" spans="2:7" ht="15.75" thickBot="1" x14ac:dyDescent="0.3">
      <c r="B389" s="146" t="s">
        <v>583</v>
      </c>
      <c r="C389" s="147" t="str" cm="1">
        <f t="array" ref="C389">_xlfn.IFS(C383="Yes","Property, plant and equipment",C384="No","No asset exists",OR(C385="Yes",C387="Yes"),"Intangible asset",AND(C387="No",C385="No",C384="Yes",C383="No"),"Intangible asset is part of goodwill")</f>
        <v>No asset exists</v>
      </c>
      <c r="D389" s="148"/>
      <c r="E389" s="148"/>
      <c r="F389" s="149"/>
      <c r="G389" s="52"/>
    </row>
    <row r="391" spans="2:7" ht="12.75" thickBot="1" x14ac:dyDescent="0.25">
      <c r="B391" s="1" t="s">
        <v>585</v>
      </c>
    </row>
    <row r="392" spans="2:7" ht="15" x14ac:dyDescent="0.25">
      <c r="B392" s="141" t="s">
        <v>573</v>
      </c>
      <c r="C392" s="142"/>
      <c r="D392" s="142"/>
      <c r="E392" s="142"/>
      <c r="F392" s="143"/>
      <c r="G392" s="52"/>
    </row>
    <row r="393" spans="2:7" ht="15" x14ac:dyDescent="0.25">
      <c r="B393" s="144" t="s">
        <v>574</v>
      </c>
      <c r="C393" s="98" t="s">
        <v>575</v>
      </c>
      <c r="D393" s="52"/>
      <c r="E393" s="52"/>
      <c r="F393" s="145"/>
      <c r="G393" s="106" t="s">
        <v>576</v>
      </c>
    </row>
    <row r="394" spans="2:7" ht="15" x14ac:dyDescent="0.25">
      <c r="B394" s="144" t="s">
        <v>577</v>
      </c>
      <c r="C394" s="98" t="s">
        <v>586</v>
      </c>
      <c r="D394" s="52"/>
      <c r="E394" s="52"/>
      <c r="F394" s="145"/>
      <c r="G394" s="106"/>
    </row>
    <row r="395" spans="2:7" ht="15" x14ac:dyDescent="0.25">
      <c r="B395" s="144" t="s">
        <v>578</v>
      </c>
      <c r="C395" s="98" t="s">
        <v>586</v>
      </c>
      <c r="D395" s="52"/>
      <c r="E395" s="52"/>
      <c r="F395" s="145"/>
      <c r="G395" s="106" t="s">
        <v>579</v>
      </c>
    </row>
    <row r="396" spans="2:7" ht="15" x14ac:dyDescent="0.25">
      <c r="B396" s="144" t="s">
        <v>580</v>
      </c>
      <c r="C396" s="98" t="s">
        <v>586</v>
      </c>
      <c r="D396" s="52"/>
      <c r="E396" s="52"/>
      <c r="F396" s="145"/>
      <c r="G396" s="106" t="s">
        <v>581</v>
      </c>
    </row>
    <row r="397" spans="2:7" ht="15" x14ac:dyDescent="0.25">
      <c r="B397" s="144" t="s">
        <v>582</v>
      </c>
      <c r="C397" s="98" t="s">
        <v>584</v>
      </c>
      <c r="D397" s="52"/>
      <c r="E397" s="52"/>
      <c r="F397" s="145"/>
      <c r="G397" s="52"/>
    </row>
    <row r="398" spans="2:7" ht="15" x14ac:dyDescent="0.25">
      <c r="B398" s="144"/>
      <c r="C398" s="52"/>
      <c r="D398" s="52"/>
      <c r="E398" s="52"/>
      <c r="F398" s="145"/>
      <c r="G398" s="52"/>
    </row>
    <row r="399" spans="2:7" ht="15.75" thickBot="1" x14ac:dyDescent="0.3">
      <c r="B399" s="146" t="s">
        <v>583</v>
      </c>
      <c r="C399" s="147" t="str" cm="1">
        <f t="array" ref="C399">_xlfn.IFS(C393="Yes","Property, plant and equipment",C394="No","No asset exists",OR(C395="Yes",C397="Yes"),"Intangible asset",AND(C397="No",C395="No",C394="Yes",C393="No"),"Intangible asset is part of goodwill")</f>
        <v>Intangible asset</v>
      </c>
      <c r="D399" s="148"/>
      <c r="E399" s="148"/>
      <c r="F399" s="149"/>
      <c r="G399" s="52"/>
    </row>
    <row r="401" spans="2:6" x14ac:dyDescent="0.2">
      <c r="B401" s="22">
        <v>44835</v>
      </c>
      <c r="C401" s="1">
        <v>720</v>
      </c>
    </row>
    <row r="402" spans="2:6" x14ac:dyDescent="0.2">
      <c r="B402" s="1" t="s">
        <v>587</v>
      </c>
      <c r="C402" s="1">
        <f>8*12</f>
        <v>96</v>
      </c>
      <c r="D402" s="1" t="s">
        <v>588</v>
      </c>
    </row>
    <row r="403" spans="2:6" x14ac:dyDescent="0.2">
      <c r="B403" s="1" t="s">
        <v>589</v>
      </c>
      <c r="C403" s="23">
        <f>+YEARFRAC(B401,C3)*12</f>
        <v>11.966666666666667</v>
      </c>
    </row>
    <row r="404" spans="2:6" x14ac:dyDescent="0.2">
      <c r="B404" s="1" t="s">
        <v>590</v>
      </c>
      <c r="C404" s="23">
        <f>+C403*C401/C402</f>
        <v>89.75</v>
      </c>
    </row>
    <row r="406" spans="2:6" x14ac:dyDescent="0.2">
      <c r="B406" s="1" t="s">
        <v>593</v>
      </c>
      <c r="E406" s="18">
        <f>+C401</f>
        <v>720</v>
      </c>
    </row>
    <row r="407" spans="2:6" x14ac:dyDescent="0.2">
      <c r="C407" s="1" t="s">
        <v>594</v>
      </c>
      <c r="F407" s="18">
        <f>+E406</f>
        <v>720</v>
      </c>
    </row>
    <row r="408" spans="2:6" x14ac:dyDescent="0.2">
      <c r="B408" s="1" t="s">
        <v>645</v>
      </c>
    </row>
    <row r="410" spans="2:6" x14ac:dyDescent="0.2">
      <c r="B410" s="1" t="s">
        <v>591</v>
      </c>
      <c r="E410" s="156">
        <f>+C404</f>
        <v>89.75</v>
      </c>
    </row>
    <row r="411" spans="2:6" x14ac:dyDescent="0.2">
      <c r="C411" s="1" t="s">
        <v>592</v>
      </c>
      <c r="F411" s="156">
        <f>+E410</f>
        <v>89.75</v>
      </c>
    </row>
    <row r="412" spans="2:6" x14ac:dyDescent="0.2">
      <c r="B412" s="1" t="s">
        <v>646</v>
      </c>
    </row>
    <row r="416" spans="2:6" x14ac:dyDescent="0.2">
      <c r="B416" s="1" t="s">
        <v>595</v>
      </c>
    </row>
    <row r="418" spans="2:13" x14ac:dyDescent="0.2">
      <c r="B418" s="1" t="s">
        <v>596</v>
      </c>
    </row>
    <row r="419" spans="2:13" x14ac:dyDescent="0.2">
      <c r="B419" s="1" t="s">
        <v>597</v>
      </c>
      <c r="D419" s="1">
        <v>65</v>
      </c>
      <c r="E419" s="1" t="s">
        <v>600</v>
      </c>
    </row>
    <row r="420" spans="2:13" x14ac:dyDescent="0.2">
      <c r="B420" s="1" t="s">
        <v>598</v>
      </c>
      <c r="D420" s="1">
        <v>10</v>
      </c>
      <c r="E420" s="1" t="s">
        <v>600</v>
      </c>
    </row>
    <row r="421" spans="2:13" x14ac:dyDescent="0.2">
      <c r="B421" s="1" t="s">
        <v>601</v>
      </c>
      <c r="D421" s="1">
        <v>25</v>
      </c>
      <c r="E421" s="1" t="s">
        <v>599</v>
      </c>
    </row>
    <row r="424" spans="2:13" ht="15" x14ac:dyDescent="0.25">
      <c r="B424" s="116" t="s">
        <v>602</v>
      </c>
      <c r="C424"/>
      <c r="D424"/>
      <c r="E424"/>
      <c r="F424" s="150" t="s">
        <v>603</v>
      </c>
      <c r="G424"/>
      <c r="H424" s="115" t="s">
        <v>604</v>
      </c>
      <c r="I424"/>
      <c r="J424"/>
      <c r="K424"/>
      <c r="L424"/>
      <c r="M424"/>
    </row>
    <row r="425" spans="2:13" ht="15" x14ac:dyDescent="0.25">
      <c r="B425" s="151" t="s">
        <v>605</v>
      </c>
      <c r="C425" s="151"/>
      <c r="D425" s="151"/>
      <c r="E425"/>
      <c r="F425" s="150"/>
      <c r="G425"/>
      <c r="H425"/>
      <c r="I425"/>
      <c r="J425" s="115"/>
      <c r="K425"/>
      <c r="L425"/>
      <c r="M425"/>
    </row>
    <row r="426" spans="2:13" ht="15" x14ac:dyDescent="0.25">
      <c r="B426" s="151"/>
      <c r="C426" s="151"/>
      <c r="D426" s="151"/>
      <c r="E426"/>
      <c r="F426" s="150"/>
      <c r="G426"/>
      <c r="H426"/>
      <c r="I426"/>
      <c r="J426" s="115"/>
      <c r="K426"/>
      <c r="L426"/>
      <c r="M426"/>
    </row>
    <row r="427" spans="2:13" ht="15" x14ac:dyDescent="0.25">
      <c r="B427" s="151"/>
      <c r="C427" s="151"/>
      <c r="D427" s="151"/>
      <c r="E427"/>
      <c r="F427" s="150"/>
      <c r="G427"/>
      <c r="H427"/>
      <c r="I427"/>
      <c r="J427" s="115"/>
      <c r="K427"/>
      <c r="L427"/>
      <c r="M427"/>
    </row>
    <row r="428" spans="2:13" ht="15" x14ac:dyDescent="0.25">
      <c r="B428" s="151"/>
      <c r="C428" s="151"/>
      <c r="D428" s="151"/>
      <c r="E428"/>
      <c r="F428" s="150"/>
      <c r="G428"/>
      <c r="H428"/>
      <c r="I428"/>
      <c r="J428" s="115"/>
      <c r="K428"/>
      <c r="L428"/>
      <c r="M428"/>
    </row>
    <row r="429" spans="2:13" ht="15" x14ac:dyDescent="0.25">
      <c r="B429" s="151"/>
      <c r="C429" s="151"/>
      <c r="D429" s="151"/>
      <c r="E429"/>
      <c r="F429" s="150"/>
      <c r="G429"/>
      <c r="H429"/>
      <c r="I429"/>
      <c r="J429" s="115"/>
      <c r="K429"/>
      <c r="L429"/>
      <c r="M429"/>
    </row>
    <row r="430" spans="2:13" ht="15" x14ac:dyDescent="0.25">
      <c r="B430" s="151"/>
      <c r="C430" s="151"/>
      <c r="D430" s="151"/>
      <c r="E430"/>
      <c r="F430" s="150"/>
      <c r="G430"/>
      <c r="H430"/>
      <c r="I430"/>
      <c r="J430" s="115"/>
      <c r="K430"/>
      <c r="L430"/>
      <c r="M430"/>
    </row>
    <row r="431" spans="2:13" ht="15" x14ac:dyDescent="0.25">
      <c r="B431" s="151"/>
      <c r="C431" s="151"/>
      <c r="D431" s="151"/>
      <c r="E431"/>
      <c r="F431" s="150"/>
      <c r="G431"/>
      <c r="H431"/>
      <c r="I431"/>
      <c r="J431" s="115"/>
      <c r="K431"/>
      <c r="L431"/>
      <c r="M431"/>
    </row>
    <row r="432" spans="2:13" ht="15" x14ac:dyDescent="0.25">
      <c r="B432" s="151"/>
      <c r="C432" s="151"/>
      <c r="D432" s="151"/>
      <c r="E432"/>
      <c r="F432" s="150"/>
      <c r="G432"/>
      <c r="H432"/>
      <c r="I432"/>
      <c r="J432" s="115"/>
      <c r="K432"/>
      <c r="L432"/>
      <c r="M432"/>
    </row>
    <row r="433" spans="2:13" ht="15" x14ac:dyDescent="0.25">
      <c r="B433" s="151"/>
      <c r="C433" s="151"/>
      <c r="D433" s="151"/>
      <c r="E433"/>
      <c r="F433" s="150"/>
      <c r="G433"/>
      <c r="H433"/>
      <c r="I433"/>
      <c r="J433" s="115"/>
      <c r="K433"/>
      <c r="L433"/>
      <c r="M433"/>
    </row>
    <row r="434" spans="2:13" ht="15" x14ac:dyDescent="0.25">
      <c r="B434" s="151"/>
      <c r="C434" s="151"/>
      <c r="D434" s="151"/>
      <c r="E434"/>
      <c r="F434" s="150"/>
      <c r="G434"/>
      <c r="H434"/>
      <c r="I434"/>
      <c r="J434"/>
      <c r="K434"/>
      <c r="L434"/>
      <c r="M434"/>
    </row>
    <row r="435" spans="2:13" ht="15" x14ac:dyDescent="0.25">
      <c r="B435" s="52" t="s">
        <v>606</v>
      </c>
      <c r="C435" s="153" t="s">
        <v>618</v>
      </c>
      <c r="D435" s="98"/>
      <c r="E435" s="52"/>
      <c r="F435" s="106" t="s">
        <v>608</v>
      </c>
      <c r="G435" s="52"/>
      <c r="H435" s="52"/>
      <c r="I435" s="52"/>
      <c r="J435" s="154"/>
      <c r="K435" s="152"/>
      <c r="L435" s="152"/>
      <c r="M435" s="152"/>
    </row>
    <row r="436" spans="2:13" ht="15" x14ac:dyDescent="0.25">
      <c r="B436" s="52" t="s">
        <v>609</v>
      </c>
      <c r="C436" s="153" t="s">
        <v>607</v>
      </c>
      <c r="D436" s="155"/>
      <c r="E436" s="52"/>
      <c r="F436" s="52"/>
      <c r="G436" s="52"/>
      <c r="H436" s="52"/>
      <c r="I436" s="52"/>
      <c r="J436" s="152"/>
      <c r="K436" s="152"/>
      <c r="L436" s="152"/>
      <c r="M436" s="152"/>
    </row>
    <row r="437" spans="2:13" ht="15" x14ac:dyDescent="0.25">
      <c r="B437" s="52" t="s">
        <v>610</v>
      </c>
      <c r="C437" s="153" t="s">
        <v>618</v>
      </c>
      <c r="D437" s="98"/>
      <c r="E437" s="106" t="s">
        <v>611</v>
      </c>
      <c r="F437" s="106" t="s">
        <v>612</v>
      </c>
      <c r="G437" s="52"/>
      <c r="H437" s="52"/>
      <c r="I437" s="52"/>
      <c r="J437" s="52"/>
      <c r="K437" s="52"/>
      <c r="L437" s="52"/>
      <c r="M437" s="52"/>
    </row>
    <row r="438" spans="2:13" ht="15" x14ac:dyDescent="0.25">
      <c r="B438" s="52" t="s">
        <v>613</v>
      </c>
      <c r="C438" s="153" t="s">
        <v>618</v>
      </c>
      <c r="D438" s="98"/>
      <c r="E438" s="52"/>
      <c r="F438" s="106" t="s">
        <v>614</v>
      </c>
      <c r="G438" s="52"/>
      <c r="H438" s="52"/>
      <c r="I438" s="52"/>
      <c r="J438" s="52"/>
      <c r="K438" s="52"/>
      <c r="L438" s="52"/>
      <c r="M438" s="52"/>
    </row>
    <row r="439" spans="2:13" ht="15" x14ac:dyDescent="0.25">
      <c r="B439" s="52" t="s">
        <v>615</v>
      </c>
      <c r="C439" s="153" t="s">
        <v>607</v>
      </c>
      <c r="D439" s="155"/>
      <c r="E439" s="52"/>
      <c r="F439" s="52"/>
      <c r="G439" s="52"/>
      <c r="H439" s="52"/>
      <c r="I439" s="52"/>
      <c r="J439" s="52"/>
      <c r="K439" s="52"/>
      <c r="L439" s="52"/>
      <c r="M439" s="52"/>
    </row>
    <row r="440" spans="2:13" ht="15" x14ac:dyDescent="0.25">
      <c r="B440" s="52" t="s">
        <v>616</v>
      </c>
      <c r="C440" s="153" t="s">
        <v>607</v>
      </c>
      <c r="D440" s="155"/>
      <c r="E440" s="52"/>
      <c r="F440" s="52"/>
      <c r="G440" s="52"/>
      <c r="H440" s="52"/>
      <c r="I440" s="52"/>
      <c r="J440" s="52"/>
      <c r="K440" s="52"/>
      <c r="L440" s="52"/>
      <c r="M440" s="52"/>
    </row>
    <row r="441" spans="2:13" ht="15" x14ac:dyDescent="0.25">
      <c r="B441" s="52"/>
      <c r="C441" s="52"/>
      <c r="D441" s="52"/>
      <c r="E441" s="52"/>
      <c r="F441" s="52"/>
      <c r="G441" s="52"/>
      <c r="H441" s="52"/>
      <c r="I441" s="52"/>
      <c r="J441" s="52"/>
      <c r="K441" s="52"/>
      <c r="L441" s="52"/>
      <c r="M441" s="52"/>
    </row>
    <row r="442" spans="2:13" ht="15" x14ac:dyDescent="0.25">
      <c r="B442" s="52" t="s">
        <v>617</v>
      </c>
      <c r="C442" s="52" t="str">
        <f>IF(AND(C435="MET",C436="MET",C437="MET",C438="MET",C439="MET",C440="MET"),"Expenditure must be capitalised","Expenditure must be recognised as an expense")</f>
        <v>Expenditure must be recognised as an expense</v>
      </c>
      <c r="D442" s="52"/>
      <c r="E442" s="52"/>
      <c r="F442" s="52"/>
      <c r="G442" s="52"/>
      <c r="H442" s="52"/>
      <c r="I442" s="52"/>
      <c r="J442" s="52"/>
      <c r="K442" s="52"/>
      <c r="L442" s="52"/>
      <c r="M442" s="52"/>
    </row>
    <row r="446" spans="2:13" x14ac:dyDescent="0.2">
      <c r="B446" s="1" t="s">
        <v>619</v>
      </c>
    </row>
    <row r="447" spans="2:13" x14ac:dyDescent="0.2">
      <c r="B447" s="1" t="s">
        <v>620</v>
      </c>
    </row>
    <row r="449" spans="2:6" x14ac:dyDescent="0.2">
      <c r="B449" s="1" t="s">
        <v>621</v>
      </c>
      <c r="E449" s="18">
        <f>+D421</f>
        <v>25</v>
      </c>
    </row>
    <row r="450" spans="2:6" x14ac:dyDescent="0.2">
      <c r="C450" s="1" t="s">
        <v>622</v>
      </c>
      <c r="F450" s="18">
        <f>+E449</f>
        <v>25</v>
      </c>
    </row>
    <row r="451" spans="2:6" x14ac:dyDescent="0.2">
      <c r="B451" s="1" t="s">
        <v>649</v>
      </c>
    </row>
    <row r="455" spans="2:6" x14ac:dyDescent="0.2">
      <c r="B455" s="1" t="s">
        <v>107</v>
      </c>
    </row>
    <row r="456" spans="2:6" x14ac:dyDescent="0.2">
      <c r="B456" s="1" t="s">
        <v>623</v>
      </c>
    </row>
    <row r="459" spans="2:6" x14ac:dyDescent="0.2">
      <c r="C459" s="1" t="s">
        <v>625</v>
      </c>
      <c r="D459" s="1" t="s">
        <v>624</v>
      </c>
    </row>
    <row r="460" spans="2:6" x14ac:dyDescent="0.2">
      <c r="B460" s="1" t="s">
        <v>626</v>
      </c>
      <c r="C460" s="1">
        <v>630</v>
      </c>
      <c r="D460" s="1">
        <v>540</v>
      </c>
    </row>
    <row r="461" spans="2:6" x14ac:dyDescent="0.2">
      <c r="B461" s="1" t="s">
        <v>627</v>
      </c>
      <c r="E461" s="1">
        <v>170</v>
      </c>
    </row>
    <row r="463" spans="2:6" x14ac:dyDescent="0.2">
      <c r="B463" s="1" t="s">
        <v>628</v>
      </c>
    </row>
    <row r="465" spans="2:6" x14ac:dyDescent="0.2">
      <c r="B465" s="1" t="s">
        <v>261</v>
      </c>
    </row>
    <row r="466" spans="2:6" x14ac:dyDescent="0.2">
      <c r="B466" s="22">
        <v>44469</v>
      </c>
      <c r="C466" s="1" t="s">
        <v>665</v>
      </c>
      <c r="F466" s="23">
        <f>+D460</f>
        <v>540</v>
      </c>
    </row>
    <row r="467" spans="2:6" x14ac:dyDescent="0.2">
      <c r="B467" s="22">
        <v>44834</v>
      </c>
      <c r="C467" s="1" t="s">
        <v>666</v>
      </c>
      <c r="F467" s="23">
        <f>+F466</f>
        <v>540</v>
      </c>
    </row>
    <row r="468" spans="2:6" x14ac:dyDescent="0.2">
      <c r="C468" s="1" t="s">
        <v>667</v>
      </c>
      <c r="F468" s="23">
        <f>+C460</f>
        <v>630</v>
      </c>
    </row>
    <row r="469" spans="2:6" x14ac:dyDescent="0.2">
      <c r="C469" s="1" t="s">
        <v>668</v>
      </c>
      <c r="F469" s="23">
        <f>+F468-F467</f>
        <v>90</v>
      </c>
    </row>
    <row r="470" spans="2:6" x14ac:dyDescent="0.2">
      <c r="B470" s="22">
        <v>45199</v>
      </c>
      <c r="C470" s="1" t="s">
        <v>669</v>
      </c>
      <c r="F470" s="23">
        <f>+C460</f>
        <v>630</v>
      </c>
    </row>
    <row r="471" spans="2:6" x14ac:dyDescent="0.2">
      <c r="B471" s="22">
        <v>45199</v>
      </c>
      <c r="C471" s="1" t="s">
        <v>670</v>
      </c>
      <c r="F471" s="23">
        <v>-170</v>
      </c>
    </row>
    <row r="472" spans="2:6" x14ac:dyDescent="0.2">
      <c r="B472" s="22">
        <v>45199</v>
      </c>
      <c r="C472" s="1" t="s">
        <v>671</v>
      </c>
      <c r="F472" s="23">
        <f>SUM(F470:F471)</f>
        <v>460</v>
      </c>
    </row>
    <row r="473" spans="2:6" x14ac:dyDescent="0.2">
      <c r="B473" s="22"/>
    </row>
    <row r="475" spans="2:6" x14ac:dyDescent="0.2">
      <c r="B475" s="1" t="s">
        <v>629</v>
      </c>
    </row>
    <row r="476" spans="2:6" x14ac:dyDescent="0.2">
      <c r="B476" s="1" t="s">
        <v>630</v>
      </c>
    </row>
    <row r="477" spans="2:6" x14ac:dyDescent="0.2">
      <c r="B477" s="1" t="s">
        <v>632</v>
      </c>
    </row>
    <row r="478" spans="2:6" x14ac:dyDescent="0.2">
      <c r="B478" s="1" t="s">
        <v>497</v>
      </c>
      <c r="E478" s="23">
        <f>+F472</f>
        <v>460</v>
      </c>
    </row>
    <row r="479" spans="2:6" x14ac:dyDescent="0.2">
      <c r="B479" s="1" t="s">
        <v>634</v>
      </c>
      <c r="E479" s="23">
        <f>-F471</f>
        <v>170</v>
      </c>
    </row>
    <row r="480" spans="2:6" x14ac:dyDescent="0.2">
      <c r="C480" s="1" t="s">
        <v>631</v>
      </c>
      <c r="F480" s="23">
        <f>+F470</f>
        <v>630</v>
      </c>
    </row>
    <row r="481" spans="2:6" x14ac:dyDescent="0.2">
      <c r="B481" s="1" t="s">
        <v>650</v>
      </c>
    </row>
    <row r="483" spans="2:6" x14ac:dyDescent="0.2">
      <c r="B483" s="1" t="s">
        <v>633</v>
      </c>
    </row>
    <row r="484" spans="2:6" x14ac:dyDescent="0.2">
      <c r="B484" s="1" t="s">
        <v>630</v>
      </c>
    </row>
    <row r="485" spans="2:6" x14ac:dyDescent="0.2">
      <c r="B485" s="1" t="s">
        <v>632</v>
      </c>
    </row>
    <row r="486" spans="2:6" x14ac:dyDescent="0.2">
      <c r="B486" s="1" t="s">
        <v>497</v>
      </c>
      <c r="E486" s="1">
        <f>+C460</f>
        <v>630</v>
      </c>
    </row>
    <row r="487" spans="2:6" x14ac:dyDescent="0.2">
      <c r="C487" s="1" t="s">
        <v>631</v>
      </c>
      <c r="F487" s="1">
        <f>+E486</f>
        <v>630</v>
      </c>
    </row>
    <row r="488" spans="2:6" x14ac:dyDescent="0.2">
      <c r="B488" s="1" t="s">
        <v>651</v>
      </c>
    </row>
    <row r="490" spans="2:6" x14ac:dyDescent="0.2">
      <c r="B490" s="1" t="s">
        <v>113</v>
      </c>
    </row>
    <row r="491" spans="2:6" x14ac:dyDescent="0.2">
      <c r="B491" s="1" t="s">
        <v>652</v>
      </c>
    </row>
    <row r="494" spans="2:6" x14ac:dyDescent="0.2">
      <c r="B494" s="1" t="s">
        <v>635</v>
      </c>
    </row>
    <row r="496" spans="2:6" x14ac:dyDescent="0.2">
      <c r="B496" s="1" t="s">
        <v>636</v>
      </c>
      <c r="E496" s="23">
        <f>+E17</f>
        <v>19689</v>
      </c>
    </row>
    <row r="497" spans="2:7" x14ac:dyDescent="0.2">
      <c r="E497" s="1">
        <f>+F487</f>
        <v>630</v>
      </c>
      <c r="F497" s="1" t="s">
        <v>461</v>
      </c>
    </row>
    <row r="498" spans="2:7" x14ac:dyDescent="0.2">
      <c r="E498" s="23">
        <f>+E496-E497</f>
        <v>19059</v>
      </c>
    </row>
    <row r="499" spans="2:7" x14ac:dyDescent="0.2">
      <c r="B499" s="1" t="s">
        <v>637</v>
      </c>
      <c r="E499" s="1">
        <v>21658</v>
      </c>
    </row>
    <row r="500" spans="2:7" x14ac:dyDescent="0.2">
      <c r="E500" s="23">
        <f>+E499-E498</f>
        <v>2599</v>
      </c>
      <c r="F500" s="1" t="s">
        <v>460</v>
      </c>
    </row>
    <row r="502" spans="2:7" x14ac:dyDescent="0.2">
      <c r="B502" s="1" t="s">
        <v>638</v>
      </c>
      <c r="E502" s="23">
        <f>+E500</f>
        <v>2599</v>
      </c>
    </row>
    <row r="503" spans="2:7" x14ac:dyDescent="0.2">
      <c r="C503" s="1" t="s">
        <v>594</v>
      </c>
      <c r="F503" s="23">
        <f>+E502</f>
        <v>2599</v>
      </c>
    </row>
    <row r="504" spans="2:7" x14ac:dyDescent="0.2">
      <c r="B504" s="1" t="s">
        <v>672</v>
      </c>
    </row>
    <row r="508" spans="2:7" x14ac:dyDescent="0.2">
      <c r="B508" s="1" t="s">
        <v>673</v>
      </c>
      <c r="F508" s="23">
        <f>+E244</f>
        <v>497.75</v>
      </c>
      <c r="G508" s="1" t="s">
        <v>460</v>
      </c>
    </row>
    <row r="509" spans="2:7" x14ac:dyDescent="0.2">
      <c r="B509" s="1" t="s">
        <v>674</v>
      </c>
      <c r="F509" s="23">
        <f>+F304</f>
        <v>1400</v>
      </c>
      <c r="G509" s="1" t="s">
        <v>461</v>
      </c>
    </row>
    <row r="510" spans="2:7" x14ac:dyDescent="0.2">
      <c r="B510" s="1" t="s">
        <v>674</v>
      </c>
      <c r="F510" s="23">
        <f>+F306</f>
        <v>22.424055555555555</v>
      </c>
      <c r="G510" s="1" t="s">
        <v>461</v>
      </c>
    </row>
    <row r="511" spans="2:7" x14ac:dyDescent="0.2">
      <c r="B511" s="1" t="s">
        <v>675</v>
      </c>
      <c r="F511" s="23">
        <f>+E315</f>
        <v>12.188399126543208</v>
      </c>
      <c r="G511" s="1" t="s">
        <v>460</v>
      </c>
    </row>
    <row r="512" spans="2:7" x14ac:dyDescent="0.2">
      <c r="B512" s="1" t="s">
        <v>676</v>
      </c>
      <c r="F512" s="23">
        <f>+E343</f>
        <v>1250</v>
      </c>
      <c r="G512" s="1" t="s">
        <v>460</v>
      </c>
    </row>
    <row r="513" spans="2:7" x14ac:dyDescent="0.2">
      <c r="B513" s="1" t="s">
        <v>676</v>
      </c>
      <c r="F513" s="23">
        <f>+F345</f>
        <v>424.07777777777778</v>
      </c>
      <c r="G513" s="1" t="s">
        <v>461</v>
      </c>
    </row>
    <row r="514" spans="2:7" x14ac:dyDescent="0.2">
      <c r="B514" s="1" t="s">
        <v>677</v>
      </c>
      <c r="F514" s="23">
        <f>+E325</f>
        <v>2193</v>
      </c>
      <c r="G514" s="1" t="s">
        <v>460</v>
      </c>
    </row>
    <row r="515" spans="2:7" x14ac:dyDescent="0.2">
      <c r="B515" s="1" t="s">
        <v>678</v>
      </c>
      <c r="F515" s="23">
        <f>+E362</f>
        <v>150.96</v>
      </c>
      <c r="G515" s="1" t="s">
        <v>460</v>
      </c>
    </row>
    <row r="516" spans="2:7" x14ac:dyDescent="0.2">
      <c r="B516" s="1" t="s">
        <v>679</v>
      </c>
      <c r="F516" s="23">
        <f>+E375</f>
        <v>1</v>
      </c>
      <c r="G516" s="1" t="s">
        <v>461</v>
      </c>
    </row>
    <row r="517" spans="2:7" x14ac:dyDescent="0.2">
      <c r="B517" s="1" t="s">
        <v>680</v>
      </c>
      <c r="F517" s="23">
        <f>+F407</f>
        <v>720</v>
      </c>
      <c r="G517" s="1" t="s">
        <v>461</v>
      </c>
    </row>
    <row r="518" spans="2:7" x14ac:dyDescent="0.2">
      <c r="B518" s="1" t="s">
        <v>681</v>
      </c>
      <c r="F518" s="23">
        <f>+E410</f>
        <v>89.75</v>
      </c>
      <c r="G518" s="1" t="s">
        <v>460</v>
      </c>
    </row>
    <row r="519" spans="2:7" x14ac:dyDescent="0.2">
      <c r="B519" s="1" t="s">
        <v>682</v>
      </c>
      <c r="F519" s="23">
        <f>+E449</f>
        <v>25</v>
      </c>
      <c r="G519" s="1" t="s">
        <v>460</v>
      </c>
    </row>
    <row r="520" spans="2:7" x14ac:dyDescent="0.2">
      <c r="B520" s="1" t="s">
        <v>683</v>
      </c>
      <c r="F520" s="23">
        <f>+F503</f>
        <v>2599</v>
      </c>
      <c r="G520" s="1" t="s">
        <v>461</v>
      </c>
    </row>
    <row r="521" spans="2:7" ht="12.75" thickBot="1" x14ac:dyDescent="0.25">
      <c r="F521" s="24">
        <f>SUMIF(G508:G520,"dr",F508:F520)-SUMIF(G508:G520,"cr",F508:F520)</f>
        <v>-947.85343420679055</v>
      </c>
      <c r="G521" s="1" t="s">
        <v>461</v>
      </c>
    </row>
    <row r="522" spans="2:7" ht="12.75" thickTop="1" x14ac:dyDescent="0.2"/>
    <row r="523" spans="2:7" x14ac:dyDescent="0.2">
      <c r="F523" s="1">
        <v>0.19</v>
      </c>
    </row>
    <row r="524" spans="2:7" x14ac:dyDescent="0.2">
      <c r="B524" s="1" t="s">
        <v>684</v>
      </c>
      <c r="F524" s="23">
        <f>+F523*F521</f>
        <v>-180.09215249929019</v>
      </c>
    </row>
    <row r="526" spans="2:7" x14ac:dyDescent="0.2">
      <c r="B526" s="1" t="s">
        <v>685</v>
      </c>
      <c r="E526" s="23">
        <f>-F524</f>
        <v>180.09215249929019</v>
      </c>
    </row>
    <row r="527" spans="2:7" x14ac:dyDescent="0.2">
      <c r="C527" s="1" t="s">
        <v>686</v>
      </c>
      <c r="F527" s="23">
        <f>+E526</f>
        <v>180.09215249929019</v>
      </c>
      <c r="G527" s="1" t="s">
        <v>460</v>
      </c>
    </row>
    <row r="528" spans="2:7" x14ac:dyDescent="0.2">
      <c r="B528" s="1" t="s">
        <v>687</v>
      </c>
    </row>
    <row r="530" spans="2:7" x14ac:dyDescent="0.2">
      <c r="B530" s="1" t="s">
        <v>688</v>
      </c>
      <c r="F530" s="23">
        <f>+F521+F527</f>
        <v>-767.7612817075003</v>
      </c>
      <c r="G530" s="1" t="s">
        <v>461</v>
      </c>
    </row>
  </sheetData>
  <mergeCells count="1">
    <mergeCell ref="B425:D434"/>
  </mergeCells>
  <conditionalFormatting sqref="C123">
    <cfRule type="cellIs" dxfId="1" priority="1" operator="lessThan">
      <formula>0</formula>
    </cfRule>
    <cfRule type="cellIs" dxfId="0" priority="2" operator="greaterThan">
      <formula>0</formula>
    </cfRule>
  </conditionalFormatting>
  <hyperlinks>
    <hyperlink ref="A1" location="Main!A1" display="Main" xr:uid="{29AE5732-F21E-45BD-AE0E-E20585B2DB7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Module 24</vt:lpstr>
      <vt:lpstr>WSE24.1</vt:lpstr>
      <vt:lpstr>WSE24.2</vt:lpstr>
      <vt:lpstr>WSE24.3</vt:lpstr>
      <vt:lpstr>WSE24.4</vt:lpstr>
      <vt:lpstr>WSE24.5</vt:lpstr>
      <vt:lpstr>WSE24.6</vt:lpstr>
      <vt:lpstr>WSE24.7</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cp:lastPrinted>2023-05-28T20:50:08Z</cp:lastPrinted>
  <dcterms:created xsi:type="dcterms:W3CDTF">2023-05-16T23:48:54Z</dcterms:created>
  <dcterms:modified xsi:type="dcterms:W3CDTF">2023-06-02T13:38:07Z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2023-05-16T23:48:58Z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2c3ab3eb-0715-4f49-b770-90fb57392227</vt:lpwstr>
  </property>
  <property fmtid="{D5CDD505-2E9C-101B-9397-08002B2CF9AE}" pid="8" name="MSIP_Label_ea60d57e-af5b-4752-ac57-3e4f28ca11dc_ContentBits">
    <vt:lpwstr>0</vt:lpwstr>
  </property>
</Properties>
</file>