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https://ukdeloitte-my.sharepoint.com/personal/bcornish_deloitte_co_uk/Documents/ICAS/TPS/FINREP/Bob's FINREP Class Notes/"/>
    </mc:Choice>
  </mc:AlternateContent>
  <xr:revisionPtr revIDLastSave="4738" documentId="1_{2C476DAE-516C-48DE-8BFB-07AC045FC549}" xr6:coauthVersionLast="47" xr6:coauthVersionMax="47" xr10:uidLastSave="{F9A6F9DF-2B38-4789-9D14-C11F12280892}"/>
  <bookViews>
    <workbookView xWindow="4320" yWindow="-11955" windowWidth="21600" windowHeight="11160" activeTab="2" xr2:uid="{1C089FCC-7092-42F7-B3CE-D42C9E012232}"/>
  </bookViews>
  <sheets>
    <sheet name="Sheet1" sheetId="17" r:id="rId1"/>
    <sheet name="Sheet2" sheetId="18" r:id="rId2"/>
    <sheet name="Main" sheetId="1" r:id="rId3"/>
    <sheet name="AMQ1" sheetId="7" r:id="rId4"/>
    <sheet name="AMQ3" sheetId="9" r:id="rId5"/>
    <sheet name="AMQ6" sheetId="14" r:id="rId6"/>
    <sheet name="AMQ7" sheetId="16" r:id="rId7"/>
    <sheet name="AMQ10" sheetId="15" r:id="rId8"/>
    <sheet name="AMQ17" sheetId="5" r:id="rId9"/>
    <sheet name="AMQ18" sheetId="6" r:id="rId10"/>
    <sheet name="AMQ20" sheetId="10" r:id="rId11"/>
    <sheet name="AMQ22" sheetId="11" r:id="rId12"/>
    <sheet name="AMQ23" sheetId="13" r:id="rId13"/>
    <sheet name="AMQ24" sheetId="12" r:id="rId14"/>
    <sheet name="AMQ35" sheetId="4" r:id="rId15"/>
    <sheet name="AMQ38" sheetId="3" r:id="rId16"/>
    <sheet name="AMQ42" sheetId="8" r:id="rId17"/>
  </sheets>
  <definedNames>
    <definedName name="_xlnm._FilterDatabase" localSheetId="2" hidden="1">Main!$S$17:$T$68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101" i="6" l="1"/>
  <c r="C347" i="15" a="1"/>
  <c r="C347" i="15" s="1"/>
  <c r="C351" i="15" s="1"/>
  <c r="B347" i="15" a="1"/>
  <c r="B347" i="15" s="1"/>
  <c r="C342" i="15"/>
  <c r="C343" i="15"/>
  <c r="C341" i="15"/>
  <c r="B341" i="15" a="1"/>
  <c r="B341" i="15" s="1"/>
  <c r="B336" i="15" a="1"/>
  <c r="B336" i="15" s="1"/>
  <c r="C337" i="15"/>
  <c r="C338" i="15"/>
  <c r="C336" i="15"/>
  <c r="C339" i="15" s="1"/>
  <c r="B329" i="15" a="1"/>
  <c r="B329" i="15" s="1"/>
  <c r="C328" i="15"/>
  <c r="C327" i="15"/>
  <c r="C324" i="15"/>
  <c r="C323" i="15"/>
  <c r="C322" i="15"/>
  <c r="J12" i="15"/>
  <c r="K12" i="15"/>
  <c r="J13" i="15"/>
  <c r="K13" i="15"/>
  <c r="J14" i="15"/>
  <c r="K14" i="15"/>
  <c r="J15" i="15"/>
  <c r="K15" i="15"/>
  <c r="J16" i="15"/>
  <c r="K16" i="15"/>
  <c r="J17" i="15"/>
  <c r="K17" i="15"/>
  <c r="J18" i="15"/>
  <c r="K18" i="15"/>
  <c r="J19" i="15"/>
  <c r="K19" i="15"/>
  <c r="J20" i="15"/>
  <c r="K20" i="15"/>
  <c r="J21" i="15"/>
  <c r="K21" i="15"/>
  <c r="J22" i="15"/>
  <c r="K22" i="15"/>
  <c r="J23" i="15"/>
  <c r="K23" i="15"/>
  <c r="J24" i="15"/>
  <c r="K24" i="15"/>
  <c r="J25" i="15"/>
  <c r="K25" i="15"/>
  <c r="J26" i="15"/>
  <c r="K26" i="15"/>
  <c r="J27" i="15"/>
  <c r="K27" i="15"/>
  <c r="J28" i="15"/>
  <c r="K28" i="15"/>
  <c r="J29" i="15"/>
  <c r="K29" i="15"/>
  <c r="J30" i="15"/>
  <c r="K30" i="15"/>
  <c r="J31" i="15"/>
  <c r="J32" i="15"/>
  <c r="L32" i="15" s="1"/>
  <c r="J33" i="15"/>
  <c r="L33" i="15" s="1"/>
  <c r="K11" i="15"/>
  <c r="I31" i="15"/>
  <c r="K31" i="15" s="1"/>
  <c r="E294" i="15"/>
  <c r="F295" i="15" s="1"/>
  <c r="F281" i="15"/>
  <c r="C272" i="15"/>
  <c r="F275" i="15" s="1"/>
  <c r="E274" i="15" s="1"/>
  <c r="F286" i="15" s="1"/>
  <c r="E254" i="15"/>
  <c r="F285" i="15" s="1"/>
  <c r="C245" i="15"/>
  <c r="D245" i="15" s="1"/>
  <c r="C246" i="15"/>
  <c r="D246" i="15" s="1"/>
  <c r="C244" i="15"/>
  <c r="D244" i="15" s="1"/>
  <c r="E189" i="15"/>
  <c r="F190" i="15" s="1"/>
  <c r="F283" i="15" s="1"/>
  <c r="G182" i="15"/>
  <c r="G184" i="15" s="1"/>
  <c r="F182" i="15"/>
  <c r="F184" i="15" s="1"/>
  <c r="G179" i="15"/>
  <c r="G180" i="15" s="1"/>
  <c r="F178" i="15"/>
  <c r="F177" i="15"/>
  <c r="E79" i="15"/>
  <c r="E77" i="15"/>
  <c r="E53" i="15"/>
  <c r="E45" i="15"/>
  <c r="D46" i="15"/>
  <c r="C46" i="15"/>
  <c r="C45" i="15"/>
  <c r="A2" i="15"/>
  <c r="B1" i="15" s="1"/>
  <c r="B239" i="15"/>
  <c r="E223" i="15"/>
  <c r="F229" i="15" s="1"/>
  <c r="C223" i="15"/>
  <c r="D223" i="15"/>
  <c r="D210" i="15"/>
  <c r="C210" i="15"/>
  <c r="C212" i="15" s="1"/>
  <c r="G203" i="15"/>
  <c r="E203" i="15"/>
  <c r="E202" i="15"/>
  <c r="H202" i="15" s="1"/>
  <c r="F174" i="15"/>
  <c r="C344" i="15" l="1"/>
  <c r="C353" i="15" s="1"/>
  <c r="L18" i="15"/>
  <c r="L30" i="15"/>
  <c r="L29" i="15"/>
  <c r="L13" i="15"/>
  <c r="L16" i="15"/>
  <c r="L21" i="15"/>
  <c r="L24" i="15"/>
  <c r="L31" i="15"/>
  <c r="L28" i="15"/>
  <c r="L12" i="15"/>
  <c r="L14" i="15"/>
  <c r="L15" i="15"/>
  <c r="L25" i="15"/>
  <c r="L17" i="15"/>
  <c r="C325" i="15"/>
  <c r="L26" i="15"/>
  <c r="L27" i="15"/>
  <c r="L23" i="15"/>
  <c r="L19" i="15"/>
  <c r="J34" i="15"/>
  <c r="K34" i="15"/>
  <c r="L22" i="15"/>
  <c r="C331" i="15"/>
  <c r="L20" i="15"/>
  <c r="F255" i="15"/>
  <c r="C247" i="15"/>
  <c r="G186" i="15"/>
  <c r="E194" i="15" s="1"/>
  <c r="F180" i="15"/>
  <c r="F186" i="15" s="1"/>
  <c r="F195" i="15" s="1"/>
  <c r="C47" i="15"/>
  <c r="C56" i="15" s="1"/>
  <c r="F228" i="15"/>
  <c r="H203" i="15"/>
  <c r="E214" i="15"/>
  <c r="F215" i="15"/>
  <c r="F223" i="15"/>
  <c r="C333" i="15" l="1"/>
  <c r="L34" i="15"/>
  <c r="E193" i="15"/>
  <c r="F284" i="15" s="1"/>
  <c r="E227" i="15"/>
  <c r="C158" i="15" l="1"/>
  <c r="C154" i="15"/>
  <c r="C155" i="15" s="1"/>
  <c r="E138" i="15"/>
  <c r="D50" i="15" s="1"/>
  <c r="E139" i="15"/>
  <c r="D51" i="15" s="1"/>
  <c r="E140" i="15"/>
  <c r="D52" i="15" s="1"/>
  <c r="E137" i="15"/>
  <c r="D49" i="15" s="1"/>
  <c r="C131" i="15"/>
  <c r="D119" i="15"/>
  <c r="F96" i="15"/>
  <c r="F108" i="15" s="1"/>
  <c r="D42" i="15"/>
  <c r="E42" i="15"/>
  <c r="C42" i="15"/>
  <c r="F40" i="15"/>
  <c r="F39" i="15"/>
  <c r="F34" i="15"/>
  <c r="E34" i="15"/>
  <c r="D249" i="14"/>
  <c r="D247" i="14"/>
  <c r="H232" i="14"/>
  <c r="I232" i="14" s="1"/>
  <c r="H229" i="14"/>
  <c r="I229" i="14" s="1"/>
  <c r="H230" i="14"/>
  <c r="I230" i="14" s="1"/>
  <c r="H231" i="14"/>
  <c r="I231" i="14" s="1"/>
  <c r="H233" i="14"/>
  <c r="F213" i="14"/>
  <c r="E212" i="14"/>
  <c r="F209" i="14"/>
  <c r="E207" i="14"/>
  <c r="C140" i="14"/>
  <c r="D140" i="14" s="1"/>
  <c r="E159" i="14" s="1"/>
  <c r="C117" i="14"/>
  <c r="C114" i="14"/>
  <c r="A2" i="14"/>
  <c r="B1" i="14" s="1"/>
  <c r="E272" i="14"/>
  <c r="F273" i="14" s="1"/>
  <c r="D79" i="14"/>
  <c r="J24" i="14"/>
  <c r="I24" i="14"/>
  <c r="J22" i="14"/>
  <c r="I22" i="14"/>
  <c r="J14" i="14"/>
  <c r="I14" i="14"/>
  <c r="J10" i="14"/>
  <c r="I10" i="14"/>
  <c r="C249" i="14"/>
  <c r="D248" i="14"/>
  <c r="I233" i="14"/>
  <c r="I237" i="14"/>
  <c r="C235" i="14"/>
  <c r="D43" i="15" l="1"/>
  <c r="D60" i="15" s="1"/>
  <c r="C43" i="15"/>
  <c r="C61" i="15" s="1"/>
  <c r="D53" i="15"/>
  <c r="E43" i="15"/>
  <c r="E100" i="15"/>
  <c r="C132" i="15"/>
  <c r="D45" i="15"/>
  <c r="D47" i="15" s="1"/>
  <c r="D56" i="15" s="1"/>
  <c r="C159" i="15"/>
  <c r="E46" i="15"/>
  <c r="E47" i="15" s="1"/>
  <c r="E56" i="15" s="1"/>
  <c r="C163" i="15"/>
  <c r="F167" i="15"/>
  <c r="E141" i="15"/>
  <c r="F43" i="15"/>
  <c r="F95" i="15" s="1"/>
  <c r="F97" i="15" s="1"/>
  <c r="C100" i="15"/>
  <c r="D100" i="15"/>
  <c r="K14" i="14"/>
  <c r="K10" i="14"/>
  <c r="K24" i="14"/>
  <c r="K22" i="14"/>
  <c r="L22" i="14" s="1"/>
  <c r="E251" i="14"/>
  <c r="F252" i="14" s="1"/>
  <c r="E208" i="14"/>
  <c r="C55" i="15" l="1"/>
  <c r="C57" i="15" s="1"/>
  <c r="C69" i="15" s="1"/>
  <c r="D120" i="15"/>
  <c r="C60" i="15"/>
  <c r="E55" i="15"/>
  <c r="E57" i="15" s="1"/>
  <c r="E61" i="15"/>
  <c r="E60" i="15"/>
  <c r="D55" i="15"/>
  <c r="D57" i="15" s="1"/>
  <c r="D61" i="15"/>
  <c r="D101" i="15"/>
  <c r="D102" i="15" s="1"/>
  <c r="C101" i="15"/>
  <c r="C102" i="15" s="1"/>
  <c r="E101" i="15"/>
  <c r="E102" i="15" s="1"/>
  <c r="L14" i="14"/>
  <c r="C64" i="15" l="1"/>
  <c r="C65" i="15"/>
  <c r="C68" i="15"/>
  <c r="C70" i="15" s="1"/>
  <c r="C66" i="15"/>
  <c r="E75" i="15"/>
  <c r="E68" i="15"/>
  <c r="E70" i="15" s="1"/>
  <c r="D69" i="15"/>
  <c r="E83" i="15" s="1" a="1"/>
  <c r="E83" i="15" s="1"/>
  <c r="F89" i="15" s="1"/>
  <c r="D68" i="15"/>
  <c r="D65" i="15"/>
  <c r="D64" i="15"/>
  <c r="E65" i="15"/>
  <c r="E64" i="15"/>
  <c r="F111" i="15"/>
  <c r="E104" i="15"/>
  <c r="C161" i="15" s="1"/>
  <c r="F109" i="15"/>
  <c r="C104" i="15"/>
  <c r="F110" i="15"/>
  <c r="D104" i="15"/>
  <c r="E142" i="15" s="1"/>
  <c r="E143" i="15" s="1"/>
  <c r="E145" i="15" s="1"/>
  <c r="D121" i="15"/>
  <c r="F124" i="15" s="1"/>
  <c r="E123" i="15" s="1"/>
  <c r="C221" i="14"/>
  <c r="D202" i="14"/>
  <c r="E201" i="14"/>
  <c r="E200" i="14"/>
  <c r="D197" i="14"/>
  <c r="E163" i="14"/>
  <c r="F164" i="14"/>
  <c r="D139" i="14"/>
  <c r="C115" i="14"/>
  <c r="E125" i="14"/>
  <c r="F126" i="14" s="1"/>
  <c r="C112" i="14"/>
  <c r="E121" i="14" s="1"/>
  <c r="F122" i="14" s="1"/>
  <c r="E82" i="14"/>
  <c r="G19" i="14" s="1"/>
  <c r="C80" i="14"/>
  <c r="D77" i="14"/>
  <c r="D62" i="14"/>
  <c r="E61" i="14"/>
  <c r="E60" i="14"/>
  <c r="E64" i="14" s="1"/>
  <c r="E56" i="14"/>
  <c r="D30" i="14"/>
  <c r="D29" i="14"/>
  <c r="F23" i="13"/>
  <c r="E24" i="13"/>
  <c r="C89" i="13"/>
  <c r="C78" i="13"/>
  <c r="C90" i="13" s="1"/>
  <c r="E82" i="13"/>
  <c r="F83" i="13" s="1"/>
  <c r="E43" i="13"/>
  <c r="E50" i="13" s="1"/>
  <c r="C15" i="13"/>
  <c r="F71" i="11"/>
  <c r="E70" i="11"/>
  <c r="F66" i="11"/>
  <c r="E65" i="11"/>
  <c r="C55" i="11"/>
  <c r="D48" i="11"/>
  <c r="C48" i="11"/>
  <c r="F29" i="11"/>
  <c r="E28" i="11" s="1"/>
  <c r="C10" i="11"/>
  <c r="E12" i="11" s="1"/>
  <c r="F13" i="11" s="1"/>
  <c r="E46" i="11"/>
  <c r="E48" i="11" s="1"/>
  <c r="E42" i="11"/>
  <c r="E43" i="11"/>
  <c r="E44" i="11"/>
  <c r="E45" i="11"/>
  <c r="E41" i="11"/>
  <c r="D47" i="11"/>
  <c r="C47" i="11"/>
  <c r="E35" i="11"/>
  <c r="F36" i="11" s="1"/>
  <c r="F116" i="8"/>
  <c r="D113" i="8"/>
  <c r="E113" i="8"/>
  <c r="E116" i="8" s="1"/>
  <c r="F117" i="8"/>
  <c r="E117" i="8"/>
  <c r="F135" i="8"/>
  <c r="E122" i="8"/>
  <c r="E126" i="8" s="1"/>
  <c r="D120" i="8"/>
  <c r="E120" i="8"/>
  <c r="C120" i="8"/>
  <c r="E131" i="8"/>
  <c r="E101" i="8"/>
  <c r="C101" i="8"/>
  <c r="D101" i="8"/>
  <c r="D110" i="8"/>
  <c r="D112" i="8" s="1"/>
  <c r="E110" i="8"/>
  <c r="E112" i="8" s="1"/>
  <c r="C110" i="8"/>
  <c r="C112" i="8" s="1"/>
  <c r="D84" i="8"/>
  <c r="D83" i="8"/>
  <c r="D82" i="8"/>
  <c r="E68" i="8"/>
  <c r="F69" i="8" s="1"/>
  <c r="E51" i="8"/>
  <c r="F52" i="8" s="1"/>
  <c r="D43" i="8"/>
  <c r="D41" i="8"/>
  <c r="D24" i="8"/>
  <c r="E24" i="8" s="1"/>
  <c r="D23" i="8"/>
  <c r="D16" i="8"/>
  <c r="D15" i="8"/>
  <c r="E62" i="7"/>
  <c r="F63" i="7"/>
  <c r="D57" i="7"/>
  <c r="D56" i="7"/>
  <c r="D55" i="7"/>
  <c r="D52" i="7"/>
  <c r="D51" i="7"/>
  <c r="F46" i="7"/>
  <c r="E45" i="7"/>
  <c r="D43" i="7"/>
  <c r="D42" i="7"/>
  <c r="D41" i="7"/>
  <c r="D40" i="7"/>
  <c r="D39" i="7"/>
  <c r="D36" i="7"/>
  <c r="D35" i="7"/>
  <c r="D34" i="7"/>
  <c r="D17" i="7"/>
  <c r="A2" i="6"/>
  <c r="C2" i="6" s="1"/>
  <c r="F55" i="6"/>
  <c r="F29" i="6"/>
  <c r="E45" i="6"/>
  <c r="E47" i="6"/>
  <c r="F48" i="6" s="1"/>
  <c r="E125" i="6"/>
  <c r="F126" i="6" s="1"/>
  <c r="F109" i="6"/>
  <c r="G105" i="6"/>
  <c r="F106" i="6"/>
  <c r="H102" i="6"/>
  <c r="F102" i="6"/>
  <c r="E78" i="6"/>
  <c r="F79" i="6" s="1"/>
  <c r="C71" i="6"/>
  <c r="E74" i="6" s="1"/>
  <c r="F75" i="6" s="1"/>
  <c r="H106" i="6" l="1"/>
  <c r="G108" i="6"/>
  <c r="D70" i="15"/>
  <c r="E82" i="15"/>
  <c r="F88" i="15" s="1"/>
  <c r="E76" i="15"/>
  <c r="E78" i="15" s="1"/>
  <c r="E80" i="15" s="1"/>
  <c r="E84" i="15" s="1"/>
  <c r="F90" i="15" s="1"/>
  <c r="E66" i="15"/>
  <c r="D66" i="15"/>
  <c r="C162" i="15"/>
  <c r="C164" i="15" s="1"/>
  <c r="F168" i="15" s="1"/>
  <c r="E166" i="15" s="1"/>
  <c r="E107" i="15"/>
  <c r="D141" i="14"/>
  <c r="D143" i="14" s="1"/>
  <c r="F160" i="14" s="1"/>
  <c r="E158" i="14" s="1"/>
  <c r="C177" i="14"/>
  <c r="F179" i="14" s="1"/>
  <c r="E178" i="14" s="1"/>
  <c r="C116" i="14"/>
  <c r="C118" i="14" s="1"/>
  <c r="E129" i="14" s="1"/>
  <c r="F130" i="14" s="1"/>
  <c r="D33" i="14"/>
  <c r="E202" i="14"/>
  <c r="C144" i="14"/>
  <c r="D144" i="14" s="1"/>
  <c r="D148" i="14" s="1"/>
  <c r="F83" i="14"/>
  <c r="E62" i="14"/>
  <c r="E68" i="14" s="1"/>
  <c r="F69" i="14" s="1"/>
  <c r="D80" i="14"/>
  <c r="E86" i="14" s="1"/>
  <c r="F87" i="14" s="1"/>
  <c r="H21" i="14" s="1"/>
  <c r="D31" i="14"/>
  <c r="F24" i="13"/>
  <c r="F26" i="13"/>
  <c r="C91" i="13"/>
  <c r="E93" i="13" s="1"/>
  <c r="F94" i="13" s="1"/>
  <c r="F51" i="13"/>
  <c r="C49" i="11"/>
  <c r="D49" i="11"/>
  <c r="E16" i="11"/>
  <c r="F17" i="11" s="1"/>
  <c r="E47" i="11"/>
  <c r="D86" i="8"/>
  <c r="E89" i="8" s="1"/>
  <c r="F91" i="8" s="1"/>
  <c r="D87" i="8"/>
  <c r="E90" i="8" s="1"/>
  <c r="F92" i="8" s="1"/>
  <c r="E23" i="8"/>
  <c r="E25" i="8" s="1"/>
  <c r="E27" i="8" s="1"/>
  <c r="F28" i="8" s="1"/>
  <c r="D44" i="8"/>
  <c r="E72" i="8" s="1"/>
  <c r="F73" i="8" s="1"/>
  <c r="D53" i="7"/>
  <c r="E87" i="15" l="1"/>
  <c r="F282" i="15" s="1"/>
  <c r="F287" i="15" s="1"/>
  <c r="E289" i="15" s="1"/>
  <c r="E85" i="15"/>
  <c r="E40" i="14"/>
  <c r="D35" i="14"/>
  <c r="D36" i="14" s="1"/>
  <c r="D38" i="14" s="1"/>
  <c r="I18" i="14"/>
  <c r="I234" i="14"/>
  <c r="I238" i="14" s="1"/>
  <c r="E241" i="14" s="1"/>
  <c r="F242" i="14" s="1"/>
  <c r="E150" i="14"/>
  <c r="F151" i="14" s="1"/>
  <c r="D154" i="14"/>
  <c r="D156" i="14" s="1"/>
  <c r="F25" i="13"/>
  <c r="F27" i="13" s="1"/>
  <c r="E30" i="13"/>
  <c r="E49" i="11"/>
  <c r="F49" i="11" s="1"/>
  <c r="C56" i="11" s="1"/>
  <c r="C57" i="11" s="1"/>
  <c r="E55" i="8"/>
  <c r="F56" i="8" s="1"/>
  <c r="H109" i="6"/>
  <c r="F112" i="6" s="1"/>
  <c r="E111" i="6"/>
  <c r="F290" i="15" l="1"/>
  <c r="H11" i="15"/>
  <c r="J11" i="15" s="1"/>
  <c r="L11" i="15" s="1"/>
  <c r="F65" i="14"/>
  <c r="F41" i="14"/>
  <c r="H20" i="14" s="1"/>
  <c r="J20" i="14" s="1"/>
  <c r="K20" i="14" s="1"/>
  <c r="D34" i="14"/>
  <c r="E31" i="13"/>
  <c r="F32" i="13"/>
  <c r="F60" i="11"/>
  <c r="E59" i="11"/>
  <c r="F46" i="6"/>
  <c r="E13" i="6"/>
  <c r="C14" i="6"/>
  <c r="C16" i="6"/>
  <c r="F28" i="6"/>
  <c r="E44" i="14" l="1"/>
  <c r="F45" i="14" s="1"/>
  <c r="H18" i="14" s="1"/>
  <c r="J18" i="14" s="1"/>
  <c r="K18" i="14" s="1"/>
  <c r="L20" i="14" s="1"/>
  <c r="L25" i="14" s="1"/>
  <c r="C17" i="6"/>
  <c r="H45" i="6"/>
  <c r="E27" i="6" l="1"/>
  <c r="A2" i="5"/>
  <c r="C2" i="5" s="1"/>
  <c r="E112" i="5"/>
  <c r="F192" i="5"/>
  <c r="F198" i="5"/>
  <c r="F190" i="5"/>
  <c r="F177" i="5" l="1"/>
  <c r="F188" i="5" s="1"/>
  <c r="D180" i="5"/>
  <c r="D181" i="5" s="1"/>
  <c r="E180" i="5"/>
  <c r="E181" i="5" s="1"/>
  <c r="C180" i="5"/>
  <c r="D165" i="5"/>
  <c r="C139" i="5"/>
  <c r="C140" i="5" s="1"/>
  <c r="C148" i="5" s="1"/>
  <c r="F181" i="5" l="1"/>
  <c r="F143" i="5"/>
  <c r="E142" i="5"/>
  <c r="F144" i="5" s="1"/>
  <c r="F191" i="5" l="1"/>
  <c r="F193" i="5" s="1"/>
  <c r="F197" i="5" s="1"/>
  <c r="E196" i="5" s="1"/>
  <c r="G181" i="5"/>
  <c r="D162" i="5" l="1"/>
  <c r="D163" i="5"/>
  <c r="D164" i="5"/>
  <c r="C161" i="5"/>
  <c r="E161" i="5" s="1"/>
  <c r="E156" i="5" s="1"/>
  <c r="F157" i="5" s="1"/>
  <c r="E136" i="5"/>
  <c r="F137" i="5" s="1"/>
  <c r="C129" i="5"/>
  <c r="C149" i="5" s="1"/>
  <c r="C150" i="5" s="1"/>
  <c r="E152" i="5" s="1"/>
  <c r="F153" i="5" s="1"/>
  <c r="E113" i="5"/>
  <c r="E106" i="5"/>
  <c r="F108" i="5"/>
  <c r="E105" i="5"/>
  <c r="E97" i="5"/>
  <c r="F98" i="5" s="1"/>
  <c r="D80" i="5"/>
  <c r="D81" i="5" s="1"/>
  <c r="E107" i="5" s="1"/>
  <c r="C72" i="5"/>
  <c r="C73" i="5"/>
  <c r="E119" i="5" s="1"/>
  <c r="F120" i="5" s="1"/>
  <c r="C68" i="5"/>
  <c r="C67" i="5"/>
  <c r="C65" i="5"/>
  <c r="E48" i="5"/>
  <c r="E50" i="5" s="1"/>
  <c r="E53" i="5" s="1"/>
  <c r="F54" i="5" s="1"/>
  <c r="F37" i="5"/>
  <c r="E34" i="5"/>
  <c r="C30" i="5"/>
  <c r="D28" i="5"/>
  <c r="C26" i="5"/>
  <c r="C25" i="5"/>
  <c r="D29" i="5" s="1"/>
  <c r="E35" i="5" s="1"/>
  <c r="D13" i="5"/>
  <c r="E22" i="5" s="1"/>
  <c r="F23" i="5" s="1"/>
  <c r="E42" i="5" s="1"/>
  <c r="F164" i="4"/>
  <c r="F165" i="4" s="1"/>
  <c r="F166" i="4" s="1"/>
  <c r="C172" i="4"/>
  <c r="D181" i="4" s="1"/>
  <c r="E171" i="4"/>
  <c r="E170" i="4"/>
  <c r="E169" i="4"/>
  <c r="E168" i="4"/>
  <c r="E167" i="4"/>
  <c r="E166" i="4"/>
  <c r="E165" i="4"/>
  <c r="E164" i="4"/>
  <c r="C69" i="5" l="1"/>
  <c r="E172" i="4"/>
  <c r="D178" i="4" s="1"/>
  <c r="C87" i="5"/>
  <c r="E89" i="5" s="1"/>
  <c r="F90" i="5" s="1"/>
  <c r="F161" i="5"/>
  <c r="F114" i="5"/>
  <c r="E93" i="5"/>
  <c r="F94" i="5" s="1"/>
  <c r="F44" i="5"/>
  <c r="E41" i="5"/>
  <c r="F43" i="5" s="1"/>
  <c r="F36" i="5"/>
  <c r="D30" i="5"/>
  <c r="D32" i="5" s="1"/>
  <c r="F167" i="4"/>
  <c r="G165" i="4"/>
  <c r="I165" i="4" s="1"/>
  <c r="H165" i="4"/>
  <c r="D179" i="4"/>
  <c r="D180" i="4" s="1"/>
  <c r="D182" i="4" s="1"/>
  <c r="G164" i="4"/>
  <c r="H164" i="4"/>
  <c r="C162" i="5" l="1"/>
  <c r="E162" i="5"/>
  <c r="F162" i="5" s="1"/>
  <c r="C163" i="5" s="1"/>
  <c r="E163" i="5" s="1"/>
  <c r="F163" i="5" s="1"/>
  <c r="C164" i="5" s="1"/>
  <c r="F168" i="4"/>
  <c r="H168" i="4" s="1"/>
  <c r="H167" i="4"/>
  <c r="G167" i="4"/>
  <c r="I167" i="4" s="1"/>
  <c r="I164" i="4"/>
  <c r="H166" i="4"/>
  <c r="G166" i="4"/>
  <c r="I166" i="4" s="1"/>
  <c r="F169" i="4" l="1"/>
  <c r="F170" i="4" s="1"/>
  <c r="G168" i="4"/>
  <c r="I168" i="4" s="1"/>
  <c r="C168" i="5"/>
  <c r="C169" i="5" s="1"/>
  <c r="E164" i="5"/>
  <c r="F164" i="5" s="1"/>
  <c r="C165" i="5" s="1"/>
  <c r="E165" i="5" s="1"/>
  <c r="F165" i="5" s="1"/>
  <c r="H169" i="4"/>
  <c r="G169" i="4"/>
  <c r="I169" i="4" s="1"/>
  <c r="F171" i="4" l="1"/>
  <c r="F172" i="4" s="1"/>
  <c r="H170" i="4"/>
  <c r="G170" i="4"/>
  <c r="I170" i="4" s="1"/>
  <c r="H171" i="4" l="1"/>
  <c r="H172" i="4" s="1"/>
  <c r="G171" i="4"/>
  <c r="I171" i="4" s="1"/>
  <c r="I172" i="4" s="1"/>
  <c r="D184" i="4" s="1"/>
  <c r="D186" i="4" s="1"/>
  <c r="E188" i="4" s="1"/>
  <c r="F189" i="4" s="1"/>
  <c r="G172" i="4" l="1"/>
  <c r="C132" i="4"/>
  <c r="C107" i="4"/>
  <c r="C40" i="4"/>
  <c r="C34" i="4"/>
  <c r="E32" i="4"/>
  <c r="D31" i="4"/>
  <c r="D30" i="4"/>
  <c r="C22" i="4"/>
  <c r="C136" i="4" l="1"/>
  <c r="C131" i="4"/>
  <c r="C99" i="4"/>
  <c r="C115" i="4"/>
  <c r="C116" i="4"/>
  <c r="C102" i="4"/>
  <c r="C113" i="4" s="1"/>
  <c r="C101" i="4"/>
  <c r="C112" i="4" s="1"/>
  <c r="C114" i="4"/>
  <c r="C108" i="4"/>
  <c r="C106" i="4"/>
  <c r="C97" i="4"/>
  <c r="C76" i="4"/>
  <c r="E53" i="4"/>
  <c r="E49" i="4"/>
  <c r="F66" i="4"/>
  <c r="F64" i="4"/>
  <c r="E48" i="4"/>
  <c r="D63" i="4"/>
  <c r="D64" i="4" s="1"/>
  <c r="C50" i="4"/>
  <c r="F15" i="1"/>
  <c r="E15" i="1"/>
  <c r="D15" i="1"/>
  <c r="C15" i="1"/>
  <c r="E14" i="1"/>
  <c r="D14" i="1"/>
  <c r="C14" i="1"/>
  <c r="C141" i="4" l="1"/>
  <c r="C133" i="4"/>
  <c r="C140" i="4" s="1"/>
  <c r="C30" i="4"/>
  <c r="E30" i="4" s="1"/>
  <c r="G64" i="4"/>
  <c r="C31" i="4"/>
  <c r="E31" i="4" s="1"/>
  <c r="C26" i="4"/>
  <c r="G66" i="4"/>
  <c r="C24" i="4"/>
  <c r="C117" i="4"/>
  <c r="C119" i="4" s="1"/>
  <c r="C103" i="4"/>
  <c r="C109" i="4"/>
  <c r="C54" i="4"/>
  <c r="F222" i="3"/>
  <c r="E221" i="3"/>
  <c r="C100" i="3"/>
  <c r="F96" i="3"/>
  <c r="E71" i="3"/>
  <c r="D63" i="3"/>
  <c r="D64" i="3" s="1"/>
  <c r="C44" i="3"/>
  <c r="C14" i="3"/>
  <c r="C13" i="3"/>
  <c r="C32" i="3" s="1"/>
  <c r="C31" i="3"/>
  <c r="E27" i="3"/>
  <c r="F28" i="3" s="1"/>
  <c r="C121" i="4" l="1"/>
  <c r="C127" i="4" s="1"/>
  <c r="E33" i="4"/>
  <c r="C35" i="4" s="1"/>
  <c r="C36" i="4" s="1"/>
  <c r="C41" i="4" s="1"/>
  <c r="C42" i="4" s="1"/>
  <c r="E47" i="4"/>
  <c r="E50" i="4" s="1"/>
  <c r="E58" i="4" s="1"/>
  <c r="E59" i="4" s="1"/>
  <c r="G67" i="4"/>
  <c r="C25" i="4" s="1"/>
  <c r="C27" i="4" s="1"/>
  <c r="C58" i="4" s="1"/>
  <c r="C59" i="4" s="1"/>
  <c r="E82" i="4" s="1"/>
  <c r="C101" i="3"/>
  <c r="C102" i="3" s="1"/>
  <c r="E104" i="3" s="1"/>
  <c r="F105" i="3" s="1"/>
  <c r="C33" i="3"/>
  <c r="C34" i="3" s="1"/>
  <c r="E36" i="3" s="1"/>
  <c r="F37" i="3" s="1"/>
  <c r="C45" i="3"/>
  <c r="C46" i="3" s="1"/>
  <c r="C186" i="3"/>
  <c r="C197" i="3"/>
  <c r="E197" i="3" s="1"/>
  <c r="E196" i="3"/>
  <c r="E195" i="3"/>
  <c r="E194" i="3"/>
  <c r="E193" i="3"/>
  <c r="E146" i="3"/>
  <c r="E147" i="3"/>
  <c r="E148" i="3"/>
  <c r="E145" i="3"/>
  <c r="D168" i="3"/>
  <c r="E203" i="3"/>
  <c r="E202" i="3"/>
  <c r="D204" i="3"/>
  <c r="C183" i="3" s="1"/>
  <c r="C204" i="3"/>
  <c r="C132" i="3"/>
  <c r="C133" i="3" s="1"/>
  <c r="C124" i="3"/>
  <c r="C123" i="3"/>
  <c r="C114" i="3"/>
  <c r="C112" i="3"/>
  <c r="D88" i="3"/>
  <c r="D87" i="3"/>
  <c r="C92" i="3"/>
  <c r="C56" i="3"/>
  <c r="D56" i="3" s="1"/>
  <c r="D57" i="3" s="1"/>
  <c r="D59" i="3" s="1"/>
  <c r="E40" i="3"/>
  <c r="F41" i="3" s="1"/>
  <c r="C21" i="3"/>
  <c r="E54" i="4" l="1"/>
  <c r="C73" i="4"/>
  <c r="C78" i="4" s="1"/>
  <c r="F83" i="4"/>
  <c r="C143" i="4"/>
  <c r="E145" i="4" s="1"/>
  <c r="F146" i="4" s="1"/>
  <c r="E173" i="3"/>
  <c r="F177" i="3" s="1"/>
  <c r="C152" i="3"/>
  <c r="D67" i="3"/>
  <c r="C47" i="3"/>
  <c r="E49" i="3" s="1"/>
  <c r="F50" i="3" s="1"/>
  <c r="C187" i="3"/>
  <c r="E206" i="3" s="1"/>
  <c r="F207" i="3" s="1"/>
  <c r="E198" i="3"/>
  <c r="C185" i="3" s="1"/>
  <c r="E149" i="3"/>
  <c r="C154" i="3" s="1"/>
  <c r="C155" i="3" s="1"/>
  <c r="C87" i="3"/>
  <c r="E204" i="3"/>
  <c r="E212" i="3" s="1"/>
  <c r="C125" i="3"/>
  <c r="C156" i="3" l="1"/>
  <c r="E161" i="3" s="1"/>
  <c r="C88" i="3"/>
  <c r="E94" i="3" s="1"/>
  <c r="E95" i="3"/>
  <c r="D68" i="3"/>
  <c r="F73" i="3" s="1"/>
  <c r="F74" i="3"/>
  <c r="E160" i="3" l="1"/>
  <c r="E162" i="3" s="1"/>
  <c r="E174" i="3" s="1"/>
  <c r="D69" i="3"/>
  <c r="E72" i="3" s="1"/>
  <c r="E176" i="3" l="1"/>
  <c r="E213" i="3" s="1"/>
  <c r="E215" i="3" s="1"/>
  <c r="E217" i="3" s="1"/>
  <c r="E172" i="3"/>
  <c r="F178" i="3" s="1"/>
  <c r="E54" i="6" l="1"/>
  <c r="D121" i="8"/>
  <c r="D123" i="8" l="1"/>
  <c r="E118" i="8"/>
  <c r="E123" i="8" s="1"/>
  <c r="E121" i="8" s="1"/>
  <c r="E125" i="8" s="1"/>
  <c r="E127" i="8" l="1"/>
  <c r="E133" i="8" s="1"/>
  <c r="F134" i="8"/>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<sst xmlns="http://schemas.openxmlformats.org/spreadsheetml/2006/main" count="2042" uniqueCount="1265">
  <si>
    <t>Main</t>
  </si>
  <si>
    <t>AMQ38</t>
  </si>
  <si>
    <t>AMQ35</t>
  </si>
  <si>
    <t>Module</t>
  </si>
  <si>
    <t>Nesbo</t>
  </si>
  <si>
    <t>YE</t>
  </si>
  <si>
    <t>two new contracts</t>
  </si>
  <si>
    <t>finance manager unsure if therse constitute leases</t>
  </si>
  <si>
    <t>consider the impairments in appx 3</t>
  </si>
  <si>
    <t>R1</t>
  </si>
  <si>
    <t>workings and JE to account correctly for PPE matters</t>
  </si>
  <si>
    <t xml:space="preserve">depr policy </t>
  </si>
  <si>
    <t>Property</t>
  </si>
  <si>
    <t>SL</t>
  </si>
  <si>
    <t>P&amp;M</t>
  </si>
  <si>
    <t>Belfast factory</t>
  </si>
  <si>
    <t>damages</t>
  </si>
  <si>
    <t>repairs cost</t>
  </si>
  <si>
    <t>repairs completed</t>
  </si>
  <si>
    <t>capitalised</t>
  </si>
  <si>
    <t>admin exp</t>
  </si>
  <si>
    <t>dr</t>
  </si>
  <si>
    <t>HSE guards</t>
  </si>
  <si>
    <t>&lt;&lt;&lt;need to be capitalised as part of HSE requirement</t>
  </si>
  <si>
    <t>HSE installed</t>
  </si>
  <si>
    <t>debited to admin incorrectly.  This will need ot be corrected</t>
  </si>
  <si>
    <t xml:space="preserve"> </t>
  </si>
  <si>
    <t>need to corrct the HSE journal out of admin expenses and into building cost</t>
  </si>
  <si>
    <t>dr - factory cost</t>
  </si>
  <si>
    <t>dr - SPL admin expenses</t>
  </si>
  <si>
    <t>being correction to correctly capitalise the improvement necessitated by health and safety</t>
  </si>
  <si>
    <t>Edinburgh head office</t>
  </si>
  <si>
    <t>FV</t>
  </si>
  <si>
    <t>CA</t>
  </si>
  <si>
    <t>Cost</t>
  </si>
  <si>
    <t>AD</t>
  </si>
  <si>
    <t>dr - SPL impairment loss</t>
  </si>
  <si>
    <t>Liverpool site</t>
  </si>
  <si>
    <t>NCAHFS</t>
  </si>
  <si>
    <t>the boards have decided to sell the asset - agreement at jan22</t>
  </si>
  <si>
    <t>property went on the market at 30/09/2022</t>
  </si>
  <si>
    <t>they have already had interest from potential committed buyers</t>
  </si>
  <si>
    <t>This asset qualifies as a NCAHFS as of 30/09/22</t>
  </si>
  <si>
    <t>this should be reclassified at year end and depreciation not be charged.</t>
  </si>
  <si>
    <t>£'000</t>
  </si>
  <si>
    <t>LCTS</t>
  </si>
  <si>
    <t>FVLCTS</t>
  </si>
  <si>
    <t>dr - NCAHFS</t>
  </si>
  <si>
    <t>cr - cost</t>
  </si>
  <si>
    <t>R2</t>
  </si>
  <si>
    <t>Mankel</t>
  </si>
  <si>
    <t>udeful life</t>
  </si>
  <si>
    <t>months</t>
  </si>
  <si>
    <t>=to the present value of payments due under the contract</t>
  </si>
  <si>
    <t>term</t>
  </si>
  <si>
    <t>annual payment</t>
  </si>
  <si>
    <t>a lease arrangement is certainly in action here</t>
  </si>
  <si>
    <t>a right of use asset will need to be created.</t>
  </si>
  <si>
    <t>and a lease liabilty which will unwind over the term of the lease</t>
  </si>
  <si>
    <t>the finance cost element of the lease will also need to be accouted for</t>
  </si>
  <si>
    <t>this finance element will be equal to th edifference between the nominal value and the PV of future payments over the life of the lease</t>
  </si>
  <si>
    <t>nominal</t>
  </si>
  <si>
    <t>PV</t>
  </si>
  <si>
    <t>finance cost</t>
  </si>
  <si>
    <t>Holt</t>
  </si>
  <si>
    <t xml:space="preserve">This is not a long term leasing arrangement.  </t>
  </si>
  <si>
    <t>we do not have control or possesion of the machines</t>
  </si>
  <si>
    <t>this represents a contract for usage</t>
  </si>
  <si>
    <t>Fixed cost</t>
  </si>
  <si>
    <t>variable cost</t>
  </si>
  <si>
    <t>There is not lease contract here.  But a cost contract does appear to exist.  Can add a CL/NCL elemeent to the  balance sheet to reflect this or just recognise the cost as they accrue</t>
  </si>
  <si>
    <t>as the mojority of the expense is from the incremental variable cost and there is not punishment for failure to meet the contract.  A contract does not exist in this instance.  No adjustments to financial statements needed.</t>
  </si>
  <si>
    <t>R3</t>
  </si>
  <si>
    <t>Helsinki</t>
  </si>
  <si>
    <t>Turku</t>
  </si>
  <si>
    <t>I-NCA</t>
  </si>
  <si>
    <t>tang. NCA</t>
  </si>
  <si>
    <t>GW</t>
  </si>
  <si>
    <t>FVLCOD</t>
  </si>
  <si>
    <t>impairment loss</t>
  </si>
  <si>
    <t>cr - GW</t>
  </si>
  <si>
    <t>Tangible</t>
  </si>
  <si>
    <t xml:space="preserve">restricted IA impairment </t>
  </si>
  <si>
    <t>VU</t>
  </si>
  <si>
    <t>higher of Vu and FVLCOD</t>
  </si>
  <si>
    <t>cr - IA acc Amor.</t>
  </si>
  <si>
    <t>being impairment loss on intangible assets</t>
  </si>
  <si>
    <t>need to take out the future restructuring.  This cannot be included.</t>
  </si>
  <si>
    <t>1,104 - 701</t>
  </si>
  <si>
    <t>higher of VU and FVLCOD</t>
  </si>
  <si>
    <t>dr- SPL impairment loss</t>
  </si>
  <si>
    <t>cr - Turku AD</t>
  </si>
  <si>
    <t>ROUA</t>
  </si>
  <si>
    <t>dr - SPL repairs and maintenance expenses</t>
  </si>
  <si>
    <t>cr - property cost</t>
  </si>
  <si>
    <t>beign correct classification of repairs and maintenacne expense</t>
  </si>
  <si>
    <t>Depreciation</t>
  </si>
  <si>
    <t>dr - property - accumulated depreciation</t>
  </si>
  <si>
    <t>cr - SPL depreciation charge</t>
  </si>
  <si>
    <t>being reduction in depreciation after reclassifying repairs and maintenance</t>
  </si>
  <si>
    <t>&lt;&lt;&lt;got this bit right</t>
  </si>
  <si>
    <t>&lt;&lt;&lt;&lt;missed the journals to correct the main cost in the questoins</t>
  </si>
  <si>
    <t>&lt;&lt;&lt;&lt;and then the journal to depreciate costs which should have been capitalised</t>
  </si>
  <si>
    <t>Depreciation charge</t>
  </si>
  <si>
    <t>months to charge</t>
  </si>
  <si>
    <t>dr - SPL - depreciation charge</t>
  </si>
  <si>
    <t>cr - P&amp;M AD</t>
  </si>
  <si>
    <t>being increase in depreciation after reclassifying safety equipment</t>
  </si>
  <si>
    <t>&lt;&lt;&lt;45 years as this is the remaining life following the revaluation</t>
  </si>
  <si>
    <t>reval increase</t>
  </si>
  <si>
    <t>Theoretical carrying amount had no revaluation occurred</t>
  </si>
  <si>
    <t>Theory CA</t>
  </si>
  <si>
    <t>Allocation of revlauation increase</t>
  </si>
  <si>
    <t>reversal of revaluation decrease to profit or loss</t>
  </si>
  <si>
    <t>revaluatoin increase to revaluation surplus</t>
  </si>
  <si>
    <t>Total revaluatoin increase</t>
  </si>
  <si>
    <t>&lt;&lt;&lt;restricted to theoretical carrying value</t>
  </si>
  <si>
    <t>&lt;&lt;&lt;then the rest goes to the revaluation surplus</t>
  </si>
  <si>
    <t>dr - property - cost</t>
  </si>
  <si>
    <t>dr - property - AD</t>
  </si>
  <si>
    <t>cr - reval surplus</t>
  </si>
  <si>
    <t>cr - SPL - reversal of revaluation decrease</t>
  </si>
  <si>
    <t>being reversal of revaluation decreae and revaluation increasee to revaluation surplus</t>
  </si>
  <si>
    <t>&lt;&lt;&lt;got all this bit right</t>
  </si>
  <si>
    <t>dr - property AD</t>
  </si>
  <si>
    <t>being transfer of property to NCAHFS</t>
  </si>
  <si>
    <t>Depreciation adjustment</t>
  </si>
  <si>
    <t>dr - AD</t>
  </si>
  <si>
    <t>being removal of last three months of depr'n charge after reclassifying property</t>
  </si>
  <si>
    <t>this is a contract for services and any expenses should go directly into SPL</t>
  </si>
  <si>
    <t>Assets are held at the lower of their carrying amount and recoverable amount with the recoverable amount calculated as the higher of the assets' value in use and fair valur less costs of disposal</t>
  </si>
  <si>
    <t>Impairment</t>
  </si>
  <si>
    <t>Allocation</t>
  </si>
  <si>
    <t>the impairment would ordinarily be written off pro-rata:</t>
  </si>
  <si>
    <t>Intang.</t>
  </si>
  <si>
    <t>2890/3490*1303</t>
  </si>
  <si>
    <t>600/3490*1303</t>
  </si>
  <si>
    <t>However, as the individual intangible asset has a fair value of £450k, the maximum impairment that can be written offf to intangible assets is £150k,</t>
  </si>
  <si>
    <t>The remaining impairment must be allocated to tangible NCA and so it will exceed £1079 of apportioned impairment</t>
  </si>
  <si>
    <t>cr - tang AD</t>
  </si>
  <si>
    <t>being recognition of impairment loss when measuring value in use.</t>
  </si>
  <si>
    <t>Impairment of goodwill</t>
  </si>
  <si>
    <t>&lt;&lt;&lt;got down to here all fine for the TURKU section</t>
  </si>
  <si>
    <t>CA incl. GW</t>
  </si>
  <si>
    <t>impairment of GW</t>
  </si>
  <si>
    <t>As the individual factories have been reviewed for impairment already, the remaining impairment must relate to GW</t>
  </si>
  <si>
    <t>being impairment of goodwill over both factories</t>
  </si>
  <si>
    <t>&lt;&lt;&lt;&lt;Chapter 5 needs revisiting.  And goodwilll impairments following asset impairments</t>
  </si>
  <si>
    <t>Smyth LLP</t>
  </si>
  <si>
    <t>Module number</t>
  </si>
  <si>
    <t>1: Accounting principles and the Conceptual Framework</t>
  </si>
  <si>
    <t>2: Presentation of financial statements</t>
  </si>
  <si>
    <t>3: Accounting policies, changes in accounting estimates and errors</t>
  </si>
  <si>
    <t>4: Discontinued operations</t>
  </si>
  <si>
    <t>5: Non-current assets: Property, plant and equipment</t>
  </si>
  <si>
    <t>6: Non-current assets: Investment property</t>
  </si>
  <si>
    <t>7: Non-current assets: Held for sale</t>
  </si>
  <si>
    <t>8: Non-current assets: Leases</t>
  </si>
  <si>
    <t>9: Non-current assets: Intangible assets</t>
  </si>
  <si>
    <t>10: Non-current assets: Impairment</t>
  </si>
  <si>
    <t>11: Inventories</t>
  </si>
  <si>
    <t>12: Financial instruments: Presentation, classification and measurement</t>
  </si>
  <si>
    <t>13: Financial instruments: Impairment of financial assets</t>
  </si>
  <si>
    <t>14: Financial instruments: Derecognition</t>
  </si>
  <si>
    <t>15: Share capital</t>
  </si>
  <si>
    <t>16: Retained earnings and distributable profits</t>
  </si>
  <si>
    <t>17: Share-based payment</t>
  </si>
  <si>
    <t>18: Employee benefits</t>
  </si>
  <si>
    <t>19: Taxation: Current tax</t>
  </si>
  <si>
    <t>20: Taxation: Deferred tax</t>
  </si>
  <si>
    <t>21: Provisions, contingent liabilities and contingent assets</t>
  </si>
  <si>
    <t>22: Events after the reporting period</t>
  </si>
  <si>
    <t>23: Revenue from contracts with customers</t>
  </si>
  <si>
    <t>24: Statement of cash flows</t>
  </si>
  <si>
    <t>26: Consolidated financial statements: Acquisition accounting</t>
  </si>
  <si>
    <t>27: Consolidated financial statements: Intercompany transactions and balances</t>
  </si>
  <si>
    <t>28: Consolidated financial statements: Fair values and goodwill</t>
  </si>
  <si>
    <t>29: Consolidated financial statements: Changes in ownership</t>
  </si>
  <si>
    <t>31: Consolidated financial statements: Associates and joint ventures</t>
  </si>
  <si>
    <t>32: Consolidated financial statements: Accounting requirements</t>
  </si>
  <si>
    <t>35: Disclosure: Statement of profit or loss and other comprehensive income</t>
  </si>
  <si>
    <t>37: Disclosure: Corporate Reporting</t>
  </si>
  <si>
    <t>Occ1</t>
  </si>
  <si>
    <t>Occ7</t>
  </si>
  <si>
    <t>Occ8</t>
  </si>
  <si>
    <t>0: Assumed knowledge</t>
  </si>
  <si>
    <t>inventories and journals required</t>
  </si>
  <si>
    <t>Standard cost</t>
  </si>
  <si>
    <t>adjustments</t>
  </si>
  <si>
    <t>gen admin</t>
  </si>
  <si>
    <t>SGA</t>
  </si>
  <si>
    <t>Variable</t>
  </si>
  <si>
    <t>D. mat</t>
  </si>
  <si>
    <t>d. lab</t>
  </si>
  <si>
    <t>d - exp</t>
  </si>
  <si>
    <t>Fixed</t>
  </si>
  <si>
    <t>P. o/h</t>
  </si>
  <si>
    <t>closing inventories</t>
  </si>
  <si>
    <t>unadjusted standard cost</t>
  </si>
  <si>
    <t>adjusted standard cost</t>
  </si>
  <si>
    <t>reduction in inventory value</t>
  </si>
  <si>
    <t>cr - inventory FG</t>
  </si>
  <si>
    <t>variances</t>
  </si>
  <si>
    <t>A</t>
  </si>
  <si>
    <t>F</t>
  </si>
  <si>
    <t>d mat</t>
  </si>
  <si>
    <t>d lab</t>
  </si>
  <si>
    <t>d exp</t>
  </si>
  <si>
    <t>var/unit</t>
  </si>
  <si>
    <t>abnormal var</t>
  </si>
  <si>
    <t>total d mat</t>
  </si>
  <si>
    <t>adj. d mat</t>
  </si>
  <si>
    <t>throughtout year</t>
  </si>
  <si>
    <t>throughout the year</t>
  </si>
  <si>
    <t>production is 200 units per month from april to end of august</t>
  </si>
  <si>
    <t>then 300 pm to YE</t>
  </si>
  <si>
    <t>only need to condise the 300 untis per month figure as the closing inventory is 450 so represent prioduction from mid-Feb to end of March</t>
  </si>
  <si>
    <t>cost</t>
  </si>
  <si>
    <t>NRV</t>
  </si>
  <si>
    <t>retail</t>
  </si>
  <si>
    <t>uniot</t>
  </si>
  <si>
    <t>Closing inventory</t>
  </si>
  <si>
    <t>recvoerable amount</t>
  </si>
  <si>
    <t>no adjustment to carry amount needed</t>
  </si>
  <si>
    <t>Journals</t>
  </si>
  <si>
    <t>dr - admin expense</t>
  </si>
  <si>
    <t>being correction of SGA costs incorrectly included in inventory cost and write down of inventory carry amount</t>
  </si>
  <si>
    <t>Vibee</t>
  </si>
  <si>
    <t>admin</t>
  </si>
  <si>
    <t>rent</t>
  </si>
  <si>
    <t>depr</t>
  </si>
  <si>
    <t>power</t>
  </si>
  <si>
    <t>Power</t>
  </si>
  <si>
    <t>p exp</t>
  </si>
  <si>
    <t>adjusted</t>
  </si>
  <si>
    <t>&lt;&lt;&lt;5% of rent is SGA</t>
  </si>
  <si>
    <t>derp</t>
  </si>
  <si>
    <t>&lt;&lt;&lt;non-prodcution rent (10%)</t>
  </si>
  <si>
    <t>&lt;&lt;&lt;non allowable.  260k relates to production so it allowable</t>
  </si>
  <si>
    <t>p expe</t>
  </si>
  <si>
    <t>selling cost</t>
  </si>
  <si>
    <t>Direct cost</t>
  </si>
  <si>
    <t>actual prod</t>
  </si>
  <si>
    <t>budget</t>
  </si>
  <si>
    <t>need to use actual numbers.  To use the budgeted production as the denominator would lead to an overstatement of inventory</t>
  </si>
  <si>
    <t>up to feb 23</t>
  </si>
  <si>
    <t>retial</t>
  </si>
  <si>
    <t>from feb 23</t>
  </si>
  <si>
    <t>units</t>
  </si>
  <si>
    <t>monthly actual productoin</t>
  </si>
  <si>
    <t>so all closing inventories have been incurred in March therefore the only selling price we need to consider is £117.</t>
  </si>
  <si>
    <t xml:space="preserve">unit cost </t>
  </si>
  <si>
    <t>£</t>
  </si>
  <si>
    <t>recoverable amount</t>
  </si>
  <si>
    <t>being reduction in inventory under IFRS, and correction of expenses incurred.</t>
  </si>
  <si>
    <t>inventory</t>
  </si>
  <si>
    <t>31/9/22</t>
  </si>
  <si>
    <t>FIFO</t>
  </si>
  <si>
    <t>Gen admin, overhead and distriubtion costs are not permitted costs under IAS 2 inventories</t>
  </si>
  <si>
    <t>standard costs should be adjusted for variances relating to closing inventoreis unless they relate to abnormal events</t>
  </si>
  <si>
    <t>the selling and distribution variance is irrelevant in arriving at the cost of inventories as the underlying expense is not permitted.</t>
  </si>
  <si>
    <t>D mat variance</t>
  </si>
  <si>
    <t>Selling and distribution</t>
  </si>
  <si>
    <t>units sold</t>
  </si>
  <si>
    <t>variances are applied to the total standard cost rather than just the fixed costs</t>
  </si>
  <si>
    <t>Variance</t>
  </si>
  <si>
    <t>Selling price</t>
  </si>
  <si>
    <t>VAT</t>
  </si>
  <si>
    <t>Selling cost</t>
  </si>
  <si>
    <t>Restrcitic on fixed costs</t>
  </si>
  <si>
    <t>total allowable costs of production</t>
  </si>
  <si>
    <t>Less Selling cost</t>
  </si>
  <si>
    <t>dr - inventories</t>
  </si>
  <si>
    <t>cr  - SPL cost of sale</t>
  </si>
  <si>
    <t>It is permissable under IAS 2 Inventories to use either the FIFO method or the average cost method</t>
  </si>
  <si>
    <t># of Units Sold</t>
  </si>
  <si>
    <t>&lt;&lt;&lt;Watch out for cut off dates</t>
  </si>
  <si>
    <t>Purchase Date</t>
  </si>
  <si>
    <t>Units Purchased</t>
  </si>
  <si>
    <t>Price per Unit</t>
  </si>
  <si>
    <t>Cost of Goods Purchased</t>
  </si>
  <si>
    <t>Units Sold</t>
  </si>
  <si>
    <t>Units Remaining</t>
  </si>
  <si>
    <t>Cost of Goods Sold</t>
  </si>
  <si>
    <t>Inventory Value</t>
  </si>
  <si>
    <t>Total</t>
  </si>
  <si>
    <t>Average cost</t>
  </si>
  <si>
    <t>Cost of goods purchase</t>
  </si>
  <si>
    <t>units purchased</t>
  </si>
  <si>
    <t>Closing inventoru</t>
  </si>
  <si>
    <t>Decrease in inventories and profit</t>
  </si>
  <si>
    <t>&lt;&lt;&lt;if this is a negative number then there is an increase in inventories and profit</t>
  </si>
  <si>
    <t>dr - COGS</t>
  </si>
  <si>
    <t>cr - RM</t>
  </si>
  <si>
    <t>bit sketchy in places.   Need to work on inventory variances.  Revenues mostly ok.  Have created a solver for FIFO and AVCO now so that is taken care of.</t>
  </si>
  <si>
    <t>Sally Supermarkets</t>
  </si>
  <si>
    <t>monthly straight line</t>
  </si>
  <si>
    <t>investment property under fair value model</t>
  </si>
  <si>
    <t>useful life</t>
  </si>
  <si>
    <t>residual value</t>
  </si>
  <si>
    <t>moved from PPE to investment property</t>
  </si>
  <si>
    <t>journals to correct</t>
  </si>
  <si>
    <t>dr - SPL depr</t>
  </si>
  <si>
    <t>cr -property AD</t>
  </si>
  <si>
    <t>months to charge PPE depreciation</t>
  </si>
  <si>
    <t>months to YE</t>
  </si>
  <si>
    <t>NBV</t>
  </si>
  <si>
    <t>revaluation increase</t>
  </si>
  <si>
    <t>cr - reval reserve</t>
  </si>
  <si>
    <t>dr - investment property</t>
  </si>
  <si>
    <t>dr - PPE Cost</t>
  </si>
  <si>
    <t>cr - PPE AD</t>
  </si>
  <si>
    <t>being revaluation of PPE and transfer to investment property as the change of use made form being used in the business to being let out as investments</t>
  </si>
  <si>
    <t>depreciation charge up to 30/04/22</t>
  </si>
  <si>
    <t>dr - SPL depr charge</t>
  </si>
  <si>
    <t>cr- PPE AD</t>
  </si>
  <si>
    <t>being correct depreciation charge</t>
  </si>
  <si>
    <t>cr - depr</t>
  </si>
  <si>
    <t>dr - Property AD</t>
  </si>
  <si>
    <t>550*5/600</t>
  </si>
  <si>
    <t>Investmemt propery</t>
  </si>
  <si>
    <t>fV increase</t>
  </si>
  <si>
    <t>recognise the increase as fair value model used to value investment property</t>
  </si>
  <si>
    <t>cr - SPL FV revaluatioin gain</t>
  </si>
  <si>
    <t>being increase in fair value of investment property</t>
  </si>
  <si>
    <t>Stirling</t>
  </si>
  <si>
    <t>Edinburgh</t>
  </si>
  <si>
    <t>No depreciation charge as FV model used</t>
  </si>
  <si>
    <t>refurb cost</t>
  </si>
  <si>
    <t>F&amp;F</t>
  </si>
  <si>
    <t>HSE</t>
  </si>
  <si>
    <t>staff training</t>
  </si>
  <si>
    <t>adjustment</t>
  </si>
  <si>
    <t>training costs cannot be capitalised</t>
  </si>
  <si>
    <t>HSE required expenditure can be capitalised</t>
  </si>
  <si>
    <t>revised refurb cost</t>
  </si>
  <si>
    <t>New F&amp;F</t>
  </si>
  <si>
    <t>Old F&amp;F</t>
  </si>
  <si>
    <t>proceeds</t>
  </si>
  <si>
    <t>cr - PPE</t>
  </si>
  <si>
    <t>dr - bank</t>
  </si>
  <si>
    <t>incorrect deprn jounrla</t>
  </si>
  <si>
    <t>343-5 * 9/180</t>
  </si>
  <si>
    <t>dr - SPL derp</t>
  </si>
  <si>
    <t>cr - F&amp;F</t>
  </si>
  <si>
    <t>cr - F&amp;F AD</t>
  </si>
  <si>
    <t>payments recorded in suspense account</t>
  </si>
  <si>
    <t>dr - suspense</t>
  </si>
  <si>
    <t>cr - bank</t>
  </si>
  <si>
    <t>receipts</t>
  </si>
  <si>
    <t>cr - SPL other income</t>
  </si>
  <si>
    <t>need to do the disposal</t>
  </si>
  <si>
    <t>then the acquisitoin</t>
  </si>
  <si>
    <t>then the correcting journals</t>
  </si>
  <si>
    <t>diposal</t>
  </si>
  <si>
    <t>dr - loss on sale</t>
  </si>
  <si>
    <t>Loss on salr</t>
  </si>
  <si>
    <t>dr SPL</t>
  </si>
  <si>
    <t>dr - SPL other income</t>
  </si>
  <si>
    <t>being the loss on disposal of old F&amp;F and correction of original posting</t>
  </si>
  <si>
    <t>acquisition</t>
  </si>
  <si>
    <t>dr - F&amp;F cost</t>
  </si>
  <si>
    <t>dr - SPL training</t>
  </si>
  <si>
    <t>cr - suspense</t>
  </si>
  <si>
    <t>correct depreciation charge for new assets</t>
  </si>
  <si>
    <t>dr - SPL charge</t>
  </si>
  <si>
    <t>Dr - F&amp;F AD</t>
  </si>
  <si>
    <t>no depr on training as SPL expense</t>
  </si>
  <si>
    <t>Office equipment</t>
  </si>
  <si>
    <t>commencement</t>
  </si>
  <si>
    <t>payments</t>
  </si>
  <si>
    <t>pa in advance</t>
  </si>
  <si>
    <t>first payment</t>
  </si>
  <si>
    <t>initial direct cost</t>
  </si>
  <si>
    <t xml:space="preserve">interest </t>
  </si>
  <si>
    <t>pa</t>
  </si>
  <si>
    <t>PV factor</t>
  </si>
  <si>
    <t>dr - SPL - lease charges</t>
  </si>
  <si>
    <t>cr - cash</t>
  </si>
  <si>
    <t>payment</t>
  </si>
  <si>
    <t>interest</t>
  </si>
  <si>
    <t>Lease payable</t>
  </si>
  <si>
    <t>dr - ROUA</t>
  </si>
  <si>
    <t>cr - lease payable</t>
  </si>
  <si>
    <t>cr - lease charges</t>
  </si>
  <si>
    <t>being correction of incorrect recognition of lease</t>
  </si>
  <si>
    <t>Depreciation of ROUA</t>
  </si>
  <si>
    <t>lesser of term and useful life</t>
  </si>
  <si>
    <t>depr - charge</t>
  </si>
  <si>
    <t>cr - ROUA AD</t>
  </si>
  <si>
    <t>being depr charge for the year on ROUA</t>
  </si>
  <si>
    <t>15185*12/60</t>
  </si>
  <si>
    <t>closing lease payable</t>
  </si>
  <si>
    <t>opening lease payable</t>
  </si>
  <si>
    <t>Finance cost</t>
  </si>
  <si>
    <t>CL</t>
  </si>
  <si>
    <t>NCL</t>
  </si>
  <si>
    <t>Glasgow Supermarkets</t>
  </si>
  <si>
    <t>Shares</t>
  </si>
  <si>
    <t>higher of FVLCTS and VU</t>
  </si>
  <si>
    <t>Central</t>
  </si>
  <si>
    <t>East</t>
  </si>
  <si>
    <t>West</t>
  </si>
  <si>
    <t>impairment</t>
  </si>
  <si>
    <t>Going to impair the East and West supermarkets to their recoverable amounts</t>
  </si>
  <si>
    <t>Will impair to GW first but are limited to £550k as this is the overall impairment</t>
  </si>
  <si>
    <t>the remaining impairment will have to go to AD</t>
  </si>
  <si>
    <t>Carrying amount of cash-generating units</t>
  </si>
  <si>
    <t>Impairment of cash-generating units</t>
  </si>
  <si>
    <t>Goodwill</t>
  </si>
  <si>
    <t>Carrying amount prior to impairment of goodwill</t>
  </si>
  <si>
    <t>Recoverable amount of cash-generating units</t>
  </si>
  <si>
    <t>being impairment of Glasgow Supermarkets</t>
  </si>
  <si>
    <t>being depreciation on F&amp;F purchase and HSE training</t>
  </si>
  <si>
    <t>dr - finance cahrge</t>
  </si>
  <si>
    <t>cr - lease lease payable</t>
  </si>
  <si>
    <t>being effective interest incurred for the year ended 31/12/22</t>
  </si>
  <si>
    <t>Good job on this one.  Definitely &gt;50% of marks achieved.</t>
  </si>
  <si>
    <t>being correction to refurbishmen expenditure</t>
  </si>
  <si>
    <t>3.037*5k</t>
  </si>
  <si>
    <t>lease liab plus payments made in advance plus the direct cost</t>
  </si>
  <si>
    <t>Diamond Sharp Ltd</t>
  </si>
  <si>
    <t>explanations, workings and journal entries</t>
  </si>
  <si>
    <t>Pep's</t>
  </si>
  <si>
    <t>contract entered</t>
  </si>
  <si>
    <t>delivery</t>
  </si>
  <si>
    <t>either</t>
  </si>
  <si>
    <t>on delivery</t>
  </si>
  <si>
    <t>or</t>
  </si>
  <si>
    <t>per 6m</t>
  </si>
  <si>
    <t>cr - Inventory</t>
  </si>
  <si>
    <t>so there is a nominal price and a financing element here</t>
  </si>
  <si>
    <t>Dr - AR</t>
  </si>
  <si>
    <t>cr - revenue</t>
  </si>
  <si>
    <t>cr - finance income</t>
  </si>
  <si>
    <t>Finance element</t>
  </si>
  <si>
    <t>months later</t>
  </si>
  <si>
    <t>6/30 * 175k</t>
  </si>
  <si>
    <t>finance income to YE</t>
  </si>
  <si>
    <t>being stand alone selling price recognised on the delivery of the machine and finance income for the six months to 31/02/2022</t>
  </si>
  <si>
    <t>Premium</t>
  </si>
  <si>
    <t>contract date</t>
  </si>
  <si>
    <t>silver price</t>
  </si>
  <si>
    <t>£/oz</t>
  </si>
  <si>
    <t>incentive</t>
  </si>
  <si>
    <t>oz</t>
  </si>
  <si>
    <t>incentive price</t>
  </si>
  <si>
    <t>refund issues in subsequent year</t>
  </si>
  <si>
    <t>exactly 100k ounces ordered in YE 31/12/22</t>
  </si>
  <si>
    <t>dr - AR</t>
  </si>
  <si>
    <t>cr - Rev</t>
  </si>
  <si>
    <t>cr - AR</t>
  </si>
  <si>
    <t>need to create a refund liability as we are going to have to pay premium back £1/oz for the 100k ounces they bought</t>
  </si>
  <si>
    <t>cr - refund liability</t>
  </si>
  <si>
    <t>dr - revenue</t>
  </si>
  <si>
    <t>Smitherby</t>
  </si>
  <si>
    <t>sold to Smitherby</t>
  </si>
  <si>
    <t>services from Smitherby</t>
  </si>
  <si>
    <t>COGS to Smitherby</t>
  </si>
  <si>
    <t>no accounting has taken place</t>
  </si>
  <si>
    <t>cr - rev</t>
  </si>
  <si>
    <t>cr - inventory</t>
  </si>
  <si>
    <t>establish the transaction price</t>
  </si>
  <si>
    <t>FV of the non-cash consideration</t>
  </si>
  <si>
    <t>COS is also the cost of the exchanged goods</t>
  </si>
  <si>
    <t>Dr - SPL valuation services</t>
  </si>
  <si>
    <t>cr - SPL revenue</t>
  </si>
  <si>
    <t>being revenue recognised at the fair value of services received and corresponding expense</t>
  </si>
  <si>
    <t>Dr - SPL COS</t>
  </si>
  <si>
    <t>cr - inventories</t>
  </si>
  <si>
    <t>being the cost of the exchanged goods</t>
  </si>
  <si>
    <t>Rubinrot GmbH</t>
  </si>
  <si>
    <t>entered</t>
  </si>
  <si>
    <t>invoice in Euro</t>
  </si>
  <si>
    <t>correctly accounted</t>
  </si>
  <si>
    <t>dr - spl COGS</t>
  </si>
  <si>
    <t>FX</t>
  </si>
  <si>
    <t>EUR/GBP</t>
  </si>
  <si>
    <t>rev and AR at transaction date</t>
  </si>
  <si>
    <t>EUR</t>
  </si>
  <si>
    <t>GBP</t>
  </si>
  <si>
    <t>rev and AR at YE</t>
  </si>
  <si>
    <t>cr - gain on FX</t>
  </si>
  <si>
    <t>dr AR</t>
  </si>
  <si>
    <t>being increase to AR and gain on FX due to currency movements from transaction date to YE</t>
  </si>
  <si>
    <t>Smartcuts</t>
  </si>
  <si>
    <t>trans. Date</t>
  </si>
  <si>
    <t>bonus</t>
  </si>
  <si>
    <t>dr - contract asset</t>
  </si>
  <si>
    <t>being recognition of likely bonus due based on performance of machine</t>
  </si>
  <si>
    <t>The transaction price includes a significant financing component</t>
  </si>
  <si>
    <t>There is no evidence the variable consideration will be reversed,  it must be esimated and included in the transaction price</t>
  </si>
  <si>
    <t>Diamond was entitled to 12/oz up to 100k oz so correctly invoiced for this amount</t>
  </si>
  <si>
    <t>being prov'n for refunds which will have to be paid out.  And reduction in revenue recognised at year end</t>
  </si>
  <si>
    <t>goods are exchanged for services, there is commercial substance to this agreement</t>
  </si>
  <si>
    <t>determined to be the the Fv of the valuation services received</t>
  </si>
  <si>
    <t>The AR balance is a foreign currency monetary asset and must be retranslated at the year end</t>
  </si>
  <si>
    <t>the foreign currency gain</t>
  </si>
  <si>
    <t>the transaction price includes a variable consideration -  the performance bonues</t>
  </si>
  <si>
    <t>most lilkey outcome should be used</t>
  </si>
  <si>
    <t>most likely that as at YE, the conditions are met</t>
  </si>
  <si>
    <t>AMQ17</t>
  </si>
  <si>
    <t>AMQ18</t>
  </si>
  <si>
    <t>Powertools</t>
  </si>
  <si>
    <t>The omission to not account for payroll will mean overstating bank and understating expenses</t>
  </si>
  <si>
    <t>this will make the total asset and total profits appear higher than is accurate</t>
  </si>
  <si>
    <t>correcting journals</t>
  </si>
  <si>
    <t>Profit share scheme accrual</t>
  </si>
  <si>
    <t>entitlement</t>
  </si>
  <si>
    <t>EE count</t>
  </si>
  <si>
    <t>leavers</t>
  </si>
  <si>
    <t>opening EE count</t>
  </si>
  <si>
    <t>average gross salary</t>
  </si>
  <si>
    <t>pp</t>
  </si>
  <si>
    <t>NIC applies to the profit share payment</t>
  </si>
  <si>
    <t>ER pension scheme contrib</t>
  </si>
  <si>
    <t>EE pension scheme contrib</t>
  </si>
  <si>
    <t>ER NIC</t>
  </si>
  <si>
    <t>EE NIC</t>
  </si>
  <si>
    <t>Net salaries paid</t>
  </si>
  <si>
    <t>Eligible Ees</t>
  </si>
  <si>
    <t>ineligible Ees whoi joined during the year</t>
  </si>
  <si>
    <t>Expectation of EE's to leave before bonues</t>
  </si>
  <si>
    <t>EE to leave before bonues</t>
  </si>
  <si>
    <t>per month</t>
  </si>
  <si>
    <t>Eligible EE for YE 31/5/22</t>
  </si>
  <si>
    <t>Bonus</t>
  </si>
  <si>
    <t>Required profit-share scheme accrual</t>
  </si>
  <si>
    <t>Profit share scheeme accrual recognised</t>
  </si>
  <si>
    <t>increase in profit share scheme accrual</t>
  </si>
  <si>
    <t>dr - SPL staff cost</t>
  </si>
  <si>
    <t>cr - accrued expenses</t>
  </si>
  <si>
    <t>being increase in profit share scheme accrual</t>
  </si>
  <si>
    <t>Salaries</t>
  </si>
  <si>
    <t>deduction s from EE salaries and ER contributions</t>
  </si>
  <si>
    <t>HMRC payable</t>
  </si>
  <si>
    <t>EE pension</t>
  </si>
  <si>
    <t>ER pension</t>
  </si>
  <si>
    <t>Explanations and advice</t>
  </si>
  <si>
    <t>The omission of deductions from EE salary and ER contributions has led to an understaement of oth staff costs in th eSPL and the relateed liabilities on the SOFP</t>
  </si>
  <si>
    <t>dr - staff cost</t>
  </si>
  <si>
    <t>cr - HMRC payable</t>
  </si>
  <si>
    <t>cr - pension liability</t>
  </si>
  <si>
    <t>pension liability</t>
  </si>
  <si>
    <t>being correctin to omitted staff costs and related liabilities</t>
  </si>
  <si>
    <t>AMQ1</t>
  </si>
  <si>
    <t>Smokehead ltd</t>
  </si>
  <si>
    <t>explain, workings and journals</t>
  </si>
  <si>
    <t>Patent</t>
  </si>
  <si>
    <t>AA</t>
  </si>
  <si>
    <t>original useful life</t>
  </si>
  <si>
    <t>updated useful life</t>
  </si>
  <si>
    <t>so this is definitely intagnible asset.  It is seperable and known and will provide future economic benfeift</t>
  </si>
  <si>
    <t>recognise the amortisation pre-reval and then post-reval</t>
  </si>
  <si>
    <t>pre-reval</t>
  </si>
  <si>
    <t>post-reval</t>
  </si>
  <si>
    <t>dr - SPL amortisation</t>
  </si>
  <si>
    <t>cr - acc'd amortisation</t>
  </si>
  <si>
    <t>being recognition of change in estimate for amortisation of intangible asset</t>
  </si>
  <si>
    <t>600*6/24</t>
  </si>
  <si>
    <t>1000k*6/120</t>
  </si>
  <si>
    <t>Development cost</t>
  </si>
  <si>
    <t>finalisation cost</t>
  </si>
  <si>
    <t>safety testing</t>
  </si>
  <si>
    <t>new prodn equipment</t>
  </si>
  <si>
    <t>legal fees for patent</t>
  </si>
  <si>
    <t>cost of stall at trade fair</t>
  </si>
  <si>
    <t>cost for final protype</t>
  </si>
  <si>
    <t>recruit new dev mgr</t>
  </si>
  <si>
    <t>R&amp;D protoypes</t>
  </si>
  <si>
    <t>june</t>
  </si>
  <si>
    <t>jan</t>
  </si>
  <si>
    <t>feb</t>
  </si>
  <si>
    <t>may</t>
  </si>
  <si>
    <t>jul</t>
  </si>
  <si>
    <t>aug</t>
  </si>
  <si>
    <t>adjust for disallowed development expenses</t>
  </si>
  <si>
    <t>research cannot be captialised into an intangible asset</t>
  </si>
  <si>
    <t>once and asset it as the development stage it can be classified as an intangible asset</t>
  </si>
  <si>
    <t>all cost incurred to completion within the year so no cut-off for date needed</t>
  </si>
  <si>
    <t>directly attributable cost</t>
  </si>
  <si>
    <t>as emplyed just for this IA.  Then can be capitalised as part of cost</t>
  </si>
  <si>
    <t>advertising and promotion cost cannot be capitalised</t>
  </si>
  <si>
    <t>patent fees definitely allowed</t>
  </si>
  <si>
    <t>allowed as used to create to IA</t>
  </si>
  <si>
    <t>Adjusted capital cost</t>
  </si>
  <si>
    <t>dr - SPL admin exp</t>
  </si>
  <si>
    <t>cr - IA cost</t>
  </si>
  <si>
    <t>cr - development cost</t>
  </si>
  <si>
    <t>to correct the disallowed marketing expense which was incorrectly capitalised</t>
  </si>
  <si>
    <t>dr - IA cost</t>
  </si>
  <si>
    <t>recognition of intangible asset</t>
  </si>
  <si>
    <t>Oven dev</t>
  </si>
  <si>
    <t>started</t>
  </si>
  <si>
    <t>completed</t>
  </si>
  <si>
    <t>HFS date</t>
  </si>
  <si>
    <t>the IA become held for sale at 31/5/2022 as a serious offer to buy was made.  The asset will be sold in the next 12 months so it is reasonable to carry this asset as held for sale</t>
  </si>
  <si>
    <t>IA</t>
  </si>
  <si>
    <t>dr - IA HFS</t>
  </si>
  <si>
    <t>movement to AHFS from IA as at 31/5/22.  Only these costs had been incurred to this point</t>
  </si>
  <si>
    <t>dr - AHFS</t>
  </si>
  <si>
    <t>cr - Balance sheet</t>
  </si>
  <si>
    <t>being increase to FV of AHFS at year end following remaining development costs</t>
  </si>
  <si>
    <t>6.  Patent</t>
  </si>
  <si>
    <t>internally generated IA cannot be capitalised until sold</t>
  </si>
  <si>
    <t>7.  Prodn equipment</t>
  </si>
  <si>
    <t xml:space="preserve">useful life </t>
  </si>
  <si>
    <t>PPE</t>
  </si>
  <si>
    <t>IA amor'n</t>
  </si>
  <si>
    <t>PPE depr'n</t>
  </si>
  <si>
    <t>Dr  -amortisation</t>
  </si>
  <si>
    <t>dr - depr</t>
  </si>
  <si>
    <t>cr - acc'd amor</t>
  </si>
  <si>
    <t>being split of amortisation and depreciation for the productoin  equipment purchased</t>
  </si>
  <si>
    <t>Antrim</t>
  </si>
  <si>
    <t>Down</t>
  </si>
  <si>
    <t>Tyrone</t>
  </si>
  <si>
    <t>head office</t>
  </si>
  <si>
    <t>IA NBV</t>
  </si>
  <si>
    <t>AMQ42</t>
  </si>
  <si>
    <t>Pro rating</t>
  </si>
  <si>
    <t>Restriction</t>
  </si>
  <si>
    <t>Intangible</t>
  </si>
  <si>
    <t>restrict IA impairmetn to the attributable IA imapairment</t>
  </si>
  <si>
    <t>Total PPE Impairment</t>
  </si>
  <si>
    <t>Total IA impairment</t>
  </si>
  <si>
    <t>Total impairment</t>
  </si>
  <si>
    <t>dr - SPL impairment</t>
  </si>
  <si>
    <t>cr - IA AD</t>
  </si>
  <si>
    <t>being impairment of three divisions and goodwill</t>
  </si>
  <si>
    <t xml:space="preserve">Pro-rate in terms of the PPE to IA.  </t>
  </si>
  <si>
    <t xml:space="preserve">Then restrict the IA by the individual amount. </t>
  </si>
  <si>
    <t>The rest goes back to AD</t>
  </si>
  <si>
    <t>AMQ3</t>
  </si>
  <si>
    <t>Investment property measured at fair value</t>
  </si>
  <si>
    <t>all other PPE measured at depreciated historical cost</t>
  </si>
  <si>
    <t>other entitie use FV to value property</t>
  </si>
  <si>
    <t>Historical depreciated cost</t>
  </si>
  <si>
    <t>the asset is held at cost and a depreciation charge is recognised on this asset and charged aginst taxable profits through the statement of profit and loss.</t>
  </si>
  <si>
    <t>for assets such as property which have very long useful lives and a commonly refurbished to extend the useful life.  It is common to mark the asset to the market fair price</t>
  </si>
  <si>
    <t>when assets are held at fair value, depreciation is not charged but the asset must undergo annual revaluatoins by and independent valuer.</t>
  </si>
  <si>
    <t>benefits to holding at fair value</t>
  </si>
  <si>
    <t>always have an accurate and recent vlauatoin for porperty</t>
  </si>
  <si>
    <t>do not have to depreciate property so have higher profits</t>
  </si>
  <si>
    <t>impariments on property can come suddenly is th emarket value drops - this if often due to external factors beyond the control of the company</t>
  </si>
  <si>
    <t>Fair value is the price which would be received to sell and asset in an orderly transactoin between two market participants at the measurement date</t>
  </si>
  <si>
    <t>takes into account the changing value of an asset from a seller's perspective throuhg recording any unreaslied gains or losses as they arise</t>
  </si>
  <si>
    <t>four enhancing qualitative characteristics in the Conceptual Framework for Financial reporting are comparability, verifiability, timeliness and understandibility</t>
  </si>
  <si>
    <t>one of the advangtages of having all property measured at FV is it would allow Storm to compare simliar assets held wihtin the company more easily and would also enable the compnay to have greater comparability with other companies in the same industry</t>
  </si>
  <si>
    <t>verifiability</t>
  </si>
  <si>
    <t>cost and usegul life is arguabluy more verifiable as based off solid documenteatoin such as purchased price and the only guess work is around estimated usefyl life.  FV would rely on more asssumptions and jusgements</t>
  </si>
  <si>
    <t>but provided an dindepenedant professional appraiser was used to claue the porperyies then is should be realiable enough</t>
  </si>
  <si>
    <t>FV is arguable more understandable than DHC</t>
  </si>
  <si>
    <t>AMQ20</t>
  </si>
  <si>
    <t>relevance</t>
  </si>
  <si>
    <t>faithful represenation</t>
  </si>
  <si>
    <t>accruals basis of accounting</t>
  </si>
  <si>
    <t>information used in the financial sattemetns needs to be relevant financial information</t>
  </si>
  <si>
    <t>faithful representation means financial statements should present a true and fair assesment of the finances of a company.  They should be prepared to the highest standard of accuracy</t>
  </si>
  <si>
    <t>accruals baisis of accounting is the idea that icome and expenses should be recognised in the period they occour rather than when cash is exchange.  This conecept alllws accouns to present a true and fair assesment of the financial state of a business</t>
  </si>
  <si>
    <t>relevant information</t>
  </si>
  <si>
    <t>the period the cost was incurrred - as this will be recoded as a purchase and payable account</t>
  </si>
  <si>
    <t>Delivery was when the transaction occoured.  A contract did not exist until title changed hands - this was on th edelivery date</t>
  </si>
  <si>
    <t>so the expense should be recorded in the year ended 30/06/2022</t>
  </si>
  <si>
    <t>this means a payable liability existed at year ended 30/06/2022</t>
  </si>
  <si>
    <t>It is good the invoice was pasid post year end as we know this liabilty was met</t>
  </si>
  <si>
    <t>we need to accrue an expense for the value of the goods received</t>
  </si>
  <si>
    <t>this expense accrual will reverse when we pay the invoice</t>
  </si>
  <si>
    <t>relevant information is capable of making a difference in the decision made by users</t>
  </si>
  <si>
    <t>this the case if it has either or both:</t>
  </si>
  <si>
    <t>predictive value (can help predict future outcomes)</t>
  </si>
  <si>
    <t>confirmatory value (confirms or changes previous evaluations)</t>
  </si>
  <si>
    <t>information is materail if omitting or misttating it could influence the decisions of the primary users</t>
  </si>
  <si>
    <t>Faithful representatoion has three characteristics</t>
  </si>
  <si>
    <t>complete</t>
  </si>
  <si>
    <t>neutral</t>
  </si>
  <si>
    <t>free from error</t>
  </si>
  <si>
    <t>to be complete, financial information must include all informationo necessart for an understanding, including narrative</t>
  </si>
  <si>
    <t>to be neitral, financial information must be selected and presented without bias and spported by prudence</t>
  </si>
  <si>
    <t>to be free from error, financial infomrations must have no errors in processes used or descriptions given (although estimattions can never be perfectly accurate)</t>
  </si>
  <si>
    <t>the expected sale price is also relevant for valuing inventories at the lower of cost and NRV</t>
  </si>
  <si>
    <t>By including the full number of widgets received in inventories using the value on the invoice (third-party evidence) and the full amount of the obligation to pay in creditors, this ensures that the transaction recorded in the financial statements is complete, neutral and free from error.</t>
  </si>
  <si>
    <t>The obligation to pay for those widgets should be recorded as an accrual for the same amount as the invoice was not received until after the year end and has a post year-end date.</t>
  </si>
  <si>
    <t>AMQ22</t>
  </si>
  <si>
    <t>&lt;&lt;&lt;remove from standard cost</t>
  </si>
  <si>
    <t>one-off  /abonormal costs are written off to SPL.  Cannot account for that in standard cost</t>
  </si>
  <si>
    <t>state the obvious.  Inventories must be stated at the lower of cost and net realisable value</t>
  </si>
  <si>
    <t>As cost is lower then NRV, inventories must be recorded at the lower value</t>
  </si>
  <si>
    <t>&lt;&lt;&lt;excluding general admin and SGA costs</t>
  </si>
  <si>
    <t>3 marks right away in stated obvious chat.  Lower of cost NRV.  Abnormal events.  Gen admin and selling cost excluded</t>
  </si>
  <si>
    <t>Briar Ridge</t>
  </si>
  <si>
    <t>explanations, working, JE</t>
  </si>
  <si>
    <t>contract agreed</t>
  </si>
  <si>
    <t>contract price</t>
  </si>
  <si>
    <t xml:space="preserve">does not need to pay until </t>
  </si>
  <si>
    <t xml:space="preserve">contract price includes a financing component of </t>
  </si>
  <si>
    <t>finance expense</t>
  </si>
  <si>
    <t>dr - rev</t>
  </si>
  <si>
    <t>being correction to revnue to account for the financing element of this unusual payment term which has extended more than 12m tso therefore invoices a financing element uner IFRS 23</t>
  </si>
  <si>
    <t>price</t>
  </si>
  <si>
    <t>per unit</t>
  </si>
  <si>
    <t xml:space="preserve">more than </t>
  </si>
  <si>
    <t>the price</t>
  </si>
  <si>
    <t>retrpospectively</t>
  </si>
  <si>
    <t>as the threshold for rebate has been hit we need to adjust our revnue figure down by the amount of the rebate</t>
  </si>
  <si>
    <t>cr - rebate liability</t>
  </si>
  <si>
    <t>being adjustment of revenue to factor in the incentive owes to Maggie as incentives target hit</t>
  </si>
  <si>
    <t>sold 5 dishwashers already</t>
  </si>
  <si>
    <t>being revenue for 5 sales</t>
  </si>
  <si>
    <t>record a normal sales journal.  The refund is accounted for in the above journal</t>
  </si>
  <si>
    <t>Hudson vet care</t>
  </si>
  <si>
    <t>C2C</t>
  </si>
  <si>
    <t>incurred</t>
  </si>
  <si>
    <t>total (est.)</t>
  </si>
  <si>
    <t>labour</t>
  </si>
  <si>
    <t>mat</t>
  </si>
  <si>
    <t>fees</t>
  </si>
  <si>
    <t>associated depr</t>
  </si>
  <si>
    <t>sub contract</t>
  </si>
  <si>
    <t>if before 15/04</t>
  </si>
  <si>
    <t>expected we will qualify for that incentive payment</t>
  </si>
  <si>
    <t>transaction price</t>
  </si>
  <si>
    <t>POC</t>
  </si>
  <si>
    <t>cr - SPL finance income</t>
  </si>
  <si>
    <t>being finance income for the one month to 31/12/2022</t>
  </si>
  <si>
    <t>adjust for disallowed expenditure</t>
  </si>
  <si>
    <t>&lt;&lt;&lt;&lt;general admin disallowed expense</t>
  </si>
  <si>
    <t>revenue not earned should be treated as a contract asset</t>
  </si>
  <si>
    <t>being revenue earned</t>
  </si>
  <si>
    <t>allowable costs to fulfil the contract should have been recorded in COS and not administrative expenses</t>
  </si>
  <si>
    <t>dr - SPL cost of sales</t>
  </si>
  <si>
    <t>cr - SPL admin expenses</t>
  </si>
  <si>
    <t>reallocation of allowable costs to fulfil contract</t>
  </si>
  <si>
    <t>dr - SPL revenue</t>
  </si>
  <si>
    <t>cr - contract asset</t>
  </si>
  <si>
    <t>being correction to record invoice in AR, adjust revenue and correctly reduce the contract asset.</t>
  </si>
  <si>
    <t>AMQ24</t>
  </si>
  <si>
    <t>Affogato Ices</t>
  </si>
  <si>
    <t>Question</t>
  </si>
  <si>
    <t>Marks</t>
  </si>
  <si>
    <t>marks</t>
  </si>
  <si>
    <t>question</t>
  </si>
  <si>
    <t>AMQ23</t>
  </si>
  <si>
    <t>Unbreakable Group</t>
  </si>
  <si>
    <t>explain, working, journals</t>
  </si>
  <si>
    <t>Provision 1</t>
  </si>
  <si>
    <t>Provision</t>
  </si>
  <si>
    <t>opening balance</t>
  </si>
  <si>
    <t>years</t>
  </si>
  <si>
    <t>total useful life</t>
  </si>
  <si>
    <t>obligation not transferable</t>
  </si>
  <si>
    <t>remaining useful life</t>
  </si>
  <si>
    <t>new provision estimate</t>
  </si>
  <si>
    <t>increase to provsions</t>
  </si>
  <si>
    <t>cr - decomm. Provision liability</t>
  </si>
  <si>
    <t>DR</t>
  </si>
  <si>
    <t>dr - finance cost</t>
  </si>
  <si>
    <t>2.  Employeee</t>
  </si>
  <si>
    <t>court case</t>
  </si>
  <si>
    <t>likely to lose</t>
  </si>
  <si>
    <t>probable cash outflow</t>
  </si>
  <si>
    <t>present obligation</t>
  </si>
  <si>
    <t>reliable estimate</t>
  </si>
  <si>
    <t>damages estimtae</t>
  </si>
  <si>
    <t>indidental legal costs</t>
  </si>
  <si>
    <t>cr - legal prov'n</t>
  </si>
  <si>
    <t>being provision for legal cost likely to be paid at year end</t>
  </si>
  <si>
    <t>3. restructuring</t>
  </si>
  <si>
    <t>4. destroyed</t>
  </si>
  <si>
    <t>5. Bad debt</t>
  </si>
  <si>
    <t>This bankruptcy of a key debtor need to be disclosed as a post balance sheet event</t>
  </si>
  <si>
    <t xml:space="preserve">the recvoerablility of asset held at YE has been imparied. </t>
  </si>
  <si>
    <t>this needs to be disclosed and financial impact adjusted for</t>
  </si>
  <si>
    <t>AR</t>
  </si>
  <si>
    <t>invenotry cost</t>
  </si>
  <si>
    <t>non-direct cost</t>
  </si>
  <si>
    <t>The AR value needs to be adjusted to the estimated recvoerable amount - or written off as bad debt</t>
  </si>
  <si>
    <t>reducing assets and profits</t>
  </si>
  <si>
    <t>Inventory needs to be held at the lower of cost and nrv</t>
  </si>
  <si>
    <t>dr  -SPL bad debt</t>
  </si>
  <si>
    <t>Bad debt written off</t>
  </si>
  <si>
    <t>the recvoerabillity of the inventory has been impaired as a key customer has gone beankrupt</t>
  </si>
  <si>
    <t>cpost</t>
  </si>
  <si>
    <t>nrv</t>
  </si>
  <si>
    <t>inventory reval loss</t>
  </si>
  <si>
    <t>dr - SPL COS</t>
  </si>
  <si>
    <t>being write down of inventory to the lower of cost and nrv</t>
  </si>
  <si>
    <t>As the effect of the time value of money is material, the present value of expected ex[penditure is recorded as a provision</t>
  </si>
  <si>
    <t>the obligaroin for decommissionoing cannot be avoided as it is in the planning permission and is not transferable</t>
  </si>
  <si>
    <t>the unwidning of the discount must be calculated first and this represents and finance cost</t>
  </si>
  <si>
    <t>the change in the relaible estimate must be calculated and this represents decommissiong costs, which should be capitalised</t>
  </si>
  <si>
    <t xml:space="preserve">Preovision </t>
  </si>
  <si>
    <t>Unwinding of discount</t>
  </si>
  <si>
    <t>beofre changeq</t>
  </si>
  <si>
    <t>after change</t>
  </si>
  <si>
    <t>Change in estimate</t>
  </si>
  <si>
    <t>dr - Oilwell cost</t>
  </si>
  <si>
    <t>The oil platform fire is an example of a non-adjusting event after the reporting period.</t>
  </si>
  <si>
    <t>Details of the oil platform fire, including the £2,700k estimated loss on plant and equipment and the £705k of damage to the platform, should be disclosed in the notes to the financial statements.</t>
  </si>
  <si>
    <t>Dividends are recognised only if they are declared by the reporting date and, therefore, this is a non-adjusting event after the reporting period.</t>
  </si>
  <si>
    <t>The dividend should be disclosed in the notes to the financial statements along with the amount.</t>
  </si>
  <si>
    <t>6. Dividends</t>
  </si>
  <si>
    <t>Changes in management structure, of which removing a layer of management is an example, constitute restructuring.</t>
  </si>
  <si>
    <t>Although a detailed formal plan exists, a valid expectation has not been created as the line managers were not informed at 31 March 2022 of their redundancy.</t>
  </si>
  <si>
    <t>Therefore, a constructive obligation does not exist and, furthermore, there is no legal obligation to restructure.</t>
  </si>
  <si>
    <t>No provision should be recognised at 31 March 2022 and, instead, this is a non-adjusting event after the reporting period.</t>
  </si>
  <si>
    <t>Details of the restructuring, including the estimate of £360k, should be disclosed in the notes to the financial statements.</t>
  </si>
  <si>
    <t>A legal obligation has been created through court action, from the accident at head office (a past event).</t>
  </si>
  <si>
    <t>It is probable that there will be an outflow of resource as damages and legal costs will need to be paid to settle the obligation.</t>
  </si>
  <si>
    <t>The legal counsel has provided reliable estimates to calculate a provision.</t>
  </si>
  <si>
    <t>Legal costs incurred to date are already paid and, therefore, do not require to be provided for.</t>
  </si>
  <si>
    <t>being finance cost in the year and increase in decomm. Liability at year end</t>
  </si>
  <si>
    <t>&lt;&lt;&lt;&lt;got the provision unwind and reval wrong.  Got all the other bit correct.  Need to focus more on the chat as I am not getting these marks</t>
  </si>
  <si>
    <t>&lt;&lt;&lt;&lt;get into the habit of writing out the chat first and doing the table and journals at the end</t>
  </si>
  <si>
    <t>the amount of the damage requires disclose as the amount is material (£3m)</t>
  </si>
  <si>
    <t>AMQ6</t>
  </si>
  <si>
    <t>Worldwide Digital plc</t>
  </si>
  <si>
    <t>Extracts from the trial balance as at 30 September 2022</t>
  </si>
  <si>
    <t>Trial balance (extracts)</t>
  </si>
  <si>
    <t>As at 30 September 2022</t>
  </si>
  <si>
    <t>Property, plant and equipment – cost</t>
  </si>
  <si>
    <t>Property, plant and equipment – accumulated depreciation</t>
  </si>
  <si>
    <t>Intangible assets – cost</t>
  </si>
  <si>
    <t>Investment property</t>
  </si>
  <si>
    <t>Capital work in progress</t>
  </si>
  <si>
    <t>cr</t>
  </si>
  <si>
    <t>Property, plant and equipment – AD</t>
  </si>
  <si>
    <t>Intangible assets – AA</t>
  </si>
  <si>
    <t>Appx. 2</t>
  </si>
  <si>
    <t>opening IA balace</t>
  </si>
  <si>
    <t>Amor. Charge</t>
  </si>
  <si>
    <t xml:space="preserve">FV </t>
  </si>
  <si>
    <t>cr - Acc'd amortisation</t>
  </si>
  <si>
    <t>being amortisation charge in the year</t>
  </si>
  <si>
    <t>dr - loss on FV impairment</t>
  </si>
  <si>
    <t>cr - IC cost</t>
  </si>
  <si>
    <t>being FV adjustment at year end</t>
  </si>
  <si>
    <t>Open</t>
  </si>
  <si>
    <t>Ajdustments</t>
  </si>
  <si>
    <t>dr -  SPL Amortisation charge</t>
  </si>
  <si>
    <t>Peoplesoft cost</t>
  </si>
  <si>
    <t>staff cost</t>
  </si>
  <si>
    <t>advertising and promotion</t>
  </si>
  <si>
    <t xml:space="preserve">market testing </t>
  </si>
  <si>
    <t>specialised computer hardware</t>
  </si>
  <si>
    <t>comsumables and materials</t>
  </si>
  <si>
    <t>time on IA job</t>
  </si>
  <si>
    <t>cr - admin expenses</t>
  </si>
  <si>
    <t>being correctoin to admin expenses to account for IA capitialisation</t>
  </si>
  <si>
    <t>Brechin</t>
  </si>
  <si>
    <t>dr  -  SPL Amortisation</t>
  </si>
  <si>
    <t>Dr - IA Cost</t>
  </si>
  <si>
    <t>cr - IA AA</t>
  </si>
  <si>
    <t>being depr for 9 months to 30/09/23</t>
  </si>
  <si>
    <t>cr- cost of sales</t>
  </si>
  <si>
    <t>being correction to account for purchase of IA</t>
  </si>
  <si>
    <t>Close</t>
  </si>
  <si>
    <t>Date of purchase</t>
  </si>
  <si>
    <t>Purchase price</t>
  </si>
  <si>
    <t>Estimated useful life at date of purchase</t>
  </si>
  <si>
    <t>Residual value</t>
  </si>
  <si>
    <t>Perth</t>
  </si>
  <si>
    <t>Stirling property</t>
  </si>
  <si>
    <t>ceased being investment property on 30/06/22 and became PPE</t>
  </si>
  <si>
    <t>dr - investment propety FV</t>
  </si>
  <si>
    <t>cr - SPL gain on revaluatoin</t>
  </si>
  <si>
    <t>being recognition of FV as disposal date</t>
  </si>
  <si>
    <t>dr - PPE</t>
  </si>
  <si>
    <t>dr - PPE cost</t>
  </si>
  <si>
    <t>cr - investment proprty FV</t>
  </si>
  <si>
    <t>being change to PPE from FV</t>
  </si>
  <si>
    <t>motnhs</t>
  </si>
  <si>
    <t>useful life used</t>
  </si>
  <si>
    <t>monthly depr charge</t>
  </si>
  <si>
    <t>depr charge</t>
  </si>
  <si>
    <t>cr - Stirling property AD</t>
  </si>
  <si>
    <t>being depre charge for 3m ended 30/09/22</t>
  </si>
  <si>
    <t>was PPE and moved to investment</t>
  </si>
  <si>
    <t>there will be a reval surplus opening balance</t>
  </si>
  <si>
    <t xml:space="preserve">NBV </t>
  </si>
  <si>
    <t>reval surplus</t>
  </si>
  <si>
    <t>Remaining useful life</t>
  </si>
  <si>
    <t>dr - depr charge to 30/06/2021</t>
  </si>
  <si>
    <t>monthst</t>
  </si>
  <si>
    <t xml:space="preserve">  </t>
  </si>
  <si>
    <t>being depr charge on revalued PPE for 6m to 30/06/2022</t>
  </si>
  <si>
    <t>nbv</t>
  </si>
  <si>
    <t>fv</t>
  </si>
  <si>
    <t>cr - reval reservce</t>
  </si>
  <si>
    <t>being FV reval of PPE before change of use</t>
  </si>
  <si>
    <t>cr - PPE cost</t>
  </si>
  <si>
    <t>being change of use from PPE used in the business to tenanted investment property</t>
  </si>
  <si>
    <t>reval at YE</t>
  </si>
  <si>
    <t>dr - loss on reval</t>
  </si>
  <si>
    <t>cr - investment property asset</t>
  </si>
  <si>
    <t>being impairment to investment property at year end</t>
  </si>
  <si>
    <t>note - the revaluation reserve remaing with the property until disposal</t>
  </si>
  <si>
    <t>it would then be swept to RE</t>
  </si>
  <si>
    <t>property built during the year 30/09/2022</t>
  </si>
  <si>
    <t>became operational</t>
  </si>
  <si>
    <t>costs which have gone into AUC</t>
  </si>
  <si>
    <t>total</t>
  </si>
  <si>
    <t>External costs of site preparation</t>
  </si>
  <si>
    <t>Professional architects’ fees</t>
  </si>
  <si>
    <t>Net instalment to contractor</t>
  </si>
  <si>
    <t>Final net instalment to contractor</t>
  </si>
  <si>
    <t>Training staff on new equipment</t>
  </si>
  <si>
    <t>Costs of opening party event</t>
  </si>
  <si>
    <t>staff training cannot be capitalised</t>
  </si>
  <si>
    <t>contractor fee</t>
  </si>
  <si>
    <t>retainer</t>
  </si>
  <si>
    <t>net</t>
  </si>
  <si>
    <t>so the fee is upfront and the retainer fee forms a contract liability</t>
  </si>
  <si>
    <t>as the retainer fee is expected to be signed within 12m of the operatoinal date, not financing element exists</t>
  </si>
  <si>
    <t>dr - Capital WIP</t>
  </si>
  <si>
    <t>recognise the full cost and create a separate contract liability</t>
  </si>
  <si>
    <t>creation of a contract liability in relation to the fees due based on completion of certificate</t>
  </si>
  <si>
    <t>dr - admin cost</t>
  </si>
  <si>
    <t>laon payment arrangements in relation to AUC</t>
  </si>
  <si>
    <t>term loan</t>
  </si>
  <si>
    <t>first payments</t>
  </si>
  <si>
    <t>interest payment</t>
  </si>
  <si>
    <t>dr - short term borrowings -&gt; need to split this out between NCA and CA</t>
  </si>
  <si>
    <t>Opening payable</t>
  </si>
  <si>
    <t>Borrowing costs:</t>
  </si>
  <si>
    <t>Reporting /capitalisation end date</t>
  </si>
  <si>
    <t>Expense</t>
  </si>
  <si>
    <t>Amount</t>
  </si>
  <si>
    <t>Payment date</t>
  </si>
  <si>
    <t>Periods of inactivity</t>
  </si>
  <si>
    <t>Interest rate</t>
  </si>
  <si>
    <t>Months</t>
  </si>
  <si>
    <t>Capitalised interest</t>
  </si>
  <si>
    <t>Potentially allowable borrowing costs</t>
  </si>
  <si>
    <t>Actual borrowing costs</t>
  </si>
  <si>
    <t>Less finance income</t>
  </si>
  <si>
    <t>cr - SPL finance cost</t>
  </si>
  <si>
    <t>being capitalisation of interest cost on loan taken specifically to finance capital WIP</t>
  </si>
  <si>
    <t>dr - Depr - charge</t>
  </si>
  <si>
    <t>cr - PPE ad</t>
  </si>
  <si>
    <t>being depr charge on AUC</t>
  </si>
  <si>
    <t>IAS 37 - post year end dates</t>
  </si>
  <si>
    <t>No condition</t>
  </si>
  <si>
    <t>it is non adjusting</t>
  </si>
  <si>
    <t>the staff costs are inconsequential</t>
  </si>
  <si>
    <t>no disclosure required</t>
  </si>
  <si>
    <t>prior event leading to future outgoings</t>
  </si>
  <si>
    <t>can be accurately estimats</t>
  </si>
  <si>
    <t>given the cetainty around the amount</t>
  </si>
  <si>
    <t>this is a payable, not a provison</t>
  </si>
  <si>
    <t>dr - legal cost</t>
  </si>
  <si>
    <t>cr - AP</t>
  </si>
  <si>
    <t>Dividend</t>
  </si>
  <si>
    <t>non-adjsuting event</t>
  </si>
  <si>
    <t>disclouse in notes to FS required</t>
  </si>
  <si>
    <t>with declared amount</t>
  </si>
  <si>
    <t>Fraud</t>
  </si>
  <si>
    <t>Restatement required</t>
  </si>
  <si>
    <t>and detailed disclosure needed</t>
  </si>
  <si>
    <t>loss of 101k to fraud</t>
  </si>
  <si>
    <t>dr - losses to fraud</t>
  </si>
  <si>
    <t>being correction to recognise losses to fraud</t>
  </si>
  <si>
    <t>New brand</t>
  </si>
  <si>
    <t>not certain economic benefits will flow from this project.  So do not capitalise</t>
  </si>
  <si>
    <t>Dr - SPL depr charge</t>
  </si>
  <si>
    <t>cr - PPE Ad</t>
  </si>
  <si>
    <t>being depr for 3m ended 30/09/2022</t>
  </si>
  <si>
    <t>reverse incorrectly charged impairment for last 3 months of the year</t>
  </si>
  <si>
    <t>dr - PPE AD</t>
  </si>
  <si>
    <t>being retainer payments</t>
  </si>
  <si>
    <t>AMQ10</t>
  </si>
  <si>
    <t>Stripe Rocket plc</t>
  </si>
  <si>
    <t>Extract from the trial balance as at 30 June 2022</t>
  </si>
  <si>
    <t>As at 30 June 2022</t>
  </si>
  <si>
    <t>Profit for the year ended 30 June 2022</t>
  </si>
  <si>
    <t>Dividends paid during the year ended 30 June 2022</t>
  </si>
  <si>
    <t>Other intangible assets – cost</t>
  </si>
  <si>
    <t>Other intangible assets – accumulated amortisation</t>
  </si>
  <si>
    <t>Inventories</t>
  </si>
  <si>
    <t>Trade receivables</t>
  </si>
  <si>
    <t>Other current assets</t>
  </si>
  <si>
    <t>Cash and cash equivalents</t>
  </si>
  <si>
    <t>Share capital</t>
  </si>
  <si>
    <t>Share premium</t>
  </si>
  <si>
    <t>Retained earnings as at 30 June 2021</t>
  </si>
  <si>
    <t>Revaluation surplus</t>
  </si>
  <si>
    <t>Long-term borrowings</t>
  </si>
  <si>
    <t>Deferred tax</t>
  </si>
  <si>
    <t>Long-term provisions as at 30 June 2021</t>
  </si>
  <si>
    <t>Trade and other payables</t>
  </si>
  <si>
    <t>Current tax payable</t>
  </si>
  <si>
    <t>Short-term provisions as at 30 June 2021</t>
  </si>
  <si>
    <t>General</t>
  </si>
  <si>
    <t>Impairment to realise</t>
  </si>
  <si>
    <t>put to GW first</t>
  </si>
  <si>
    <t>allocate this around according to the split of PPE</t>
  </si>
  <si>
    <t>no impairment on intangibles</t>
  </si>
  <si>
    <t>impairments</t>
  </si>
  <si>
    <t>journal</t>
  </si>
  <si>
    <t>dr - impairment loss</t>
  </si>
  <si>
    <t>dr - goodwill</t>
  </si>
  <si>
    <t>dr - PPE Cost - Tractor</t>
  </si>
  <si>
    <t>dr - PPE Cost - Harvester</t>
  </si>
  <si>
    <t>dr - PPE Cost - Balers</t>
  </si>
  <si>
    <t>being recognition of the impairment loss to Stripe and the apportionment of the loss across all CGUs</t>
  </si>
  <si>
    <t>Tractors</t>
  </si>
  <si>
    <t>costs of dale</t>
  </si>
  <si>
    <t>write down required</t>
  </si>
  <si>
    <t>cr - Tractor PPE</t>
  </si>
  <si>
    <t>dr - SPL loss on reval</t>
  </si>
  <si>
    <t>being impairment loss on revaluation</t>
  </si>
  <si>
    <t>Harvesters</t>
  </si>
  <si>
    <t>new carrying values</t>
  </si>
  <si>
    <t>Tractor</t>
  </si>
  <si>
    <t>Harvester</t>
  </si>
  <si>
    <t>Baler</t>
  </si>
  <si>
    <t>impairment write down</t>
  </si>
  <si>
    <t>write down to higher of FV and VU when lower than NBV</t>
  </si>
  <si>
    <t>cr - PPE cost Harvesters</t>
  </si>
  <si>
    <t>being impairment loss on harvester</t>
  </si>
  <si>
    <t>&lt;&lt;restrict impairment losses allocated to IA to this number</t>
  </si>
  <si>
    <t>being impairment loss.  Impairment allocated to IA restricted</t>
  </si>
  <si>
    <t>&lt;&lt;higher of FV and VU</t>
  </si>
  <si>
    <t>Warranty Provision</t>
  </si>
  <si>
    <t>sales</t>
  </si>
  <si>
    <t>p(warranty LT)</t>
  </si>
  <si>
    <t>p(warranty ST)</t>
  </si>
  <si>
    <t>Short term actual</t>
  </si>
  <si>
    <t>repari cost/product</t>
  </si>
  <si>
    <t>Budget</t>
  </si>
  <si>
    <t>actual</t>
  </si>
  <si>
    <t>Short term</t>
  </si>
  <si>
    <t>Long term</t>
  </si>
  <si>
    <t>Prob</t>
  </si>
  <si>
    <t>Cost/item</t>
  </si>
  <si>
    <t>Sales</t>
  </si>
  <si>
    <t>Long term 24</t>
  </si>
  <si>
    <t>Provision YE</t>
  </si>
  <si>
    <t>dr - COS</t>
  </si>
  <si>
    <t>being chang to warranty provsion at YE2022</t>
  </si>
  <si>
    <t>cr - ST prov'n</t>
  </si>
  <si>
    <t>cr - LT prov'n</t>
  </si>
  <si>
    <t>cr - COS</t>
  </si>
  <si>
    <t>dr - ST prov'n</t>
  </si>
  <si>
    <t>being correction to allocate part of the warranty cost against the existing provision</t>
  </si>
  <si>
    <t>3. 24m contract</t>
  </si>
  <si>
    <t>per tonne</t>
  </si>
  <si>
    <t>no resale value</t>
  </si>
  <si>
    <t>tonnes per month</t>
  </si>
  <si>
    <t>dr - RM, cr - AP</t>
  </si>
  <si>
    <t>cancellation charge</t>
  </si>
  <si>
    <t>onerous contract</t>
  </si>
  <si>
    <t>create a provision at year end to reflect this</t>
  </si>
  <si>
    <t>cr - onerous contract prov'n</t>
  </si>
  <si>
    <t xml:space="preserve">being provision for onerous contract </t>
  </si>
  <si>
    <t>Restructuring</t>
  </si>
  <si>
    <t>as the plan was announced to the managers and shareholders before year end</t>
  </si>
  <si>
    <t>there is an probabale cash outflow</t>
  </si>
  <si>
    <t>and this can be reliably estimated</t>
  </si>
  <si>
    <t>a restructuring provision should be created</t>
  </si>
  <si>
    <t>future saving</t>
  </si>
  <si>
    <t>not required</t>
  </si>
  <si>
    <t>merger cost</t>
  </si>
  <si>
    <t>fine</t>
  </si>
  <si>
    <t>break contracts</t>
  </si>
  <si>
    <t>staff</t>
  </si>
  <si>
    <t>not allowed for staff relocation</t>
  </si>
  <si>
    <t>Distributoin network</t>
  </si>
  <si>
    <t>not allowed for restructure</t>
  </si>
  <si>
    <t xml:space="preserve">so just the </t>
  </si>
  <si>
    <t>to provide for</t>
  </si>
  <si>
    <t>cr - restructure prov'n</t>
  </si>
  <si>
    <t>being resturcuting prov'n</t>
  </si>
  <si>
    <t>&lt;&lt;&lt;not good enough.  Need to figure out the impairment with CGU questions</t>
  </si>
  <si>
    <t>cost of disposal</t>
  </si>
  <si>
    <t>Carrying amount</t>
  </si>
  <si>
    <t>Recoverable amount</t>
  </si>
  <si>
    <t>The impairment allocated to Baler's patent is restricted to £10k.  The remaining £2k impairment within Balers division is allocated to PPE</t>
  </si>
  <si>
    <t>Carrying amount of CGUs</t>
  </si>
  <si>
    <t>Impairment of CGUs</t>
  </si>
  <si>
    <t>Carrying amount prior to impairment of GW</t>
  </si>
  <si>
    <t>Recoverable amount of CGU</t>
  </si>
  <si>
    <t>impairment of goodwill</t>
  </si>
  <si>
    <t>Total impairment of IA</t>
  </si>
  <si>
    <t>Total impairment of PPE</t>
  </si>
  <si>
    <t>Total impairment of GW</t>
  </si>
  <si>
    <t>dr - Profit for the YE 30/06/22</t>
  </si>
  <si>
    <t>OPEN</t>
  </si>
  <si>
    <t>ADJ.</t>
  </si>
  <si>
    <t>Warranty relating to the YE</t>
  </si>
  <si>
    <t>Estimate</t>
  </si>
  <si>
    <t>ST prov'n</t>
  </si>
  <si>
    <t>LT prov'n</t>
  </si>
  <si>
    <t>Opening prov'n</t>
  </si>
  <si>
    <t>Utilised during year</t>
  </si>
  <si>
    <t>adjusted opening prov'n</t>
  </si>
  <si>
    <t>Increaese/(decrease)</t>
  </si>
  <si>
    <t>Dr - ST prov'n</t>
  </si>
  <si>
    <t>cr - profit for the year ended 30/06/22</t>
  </si>
  <si>
    <t>being correction to utilise existing warranty prov'n</t>
  </si>
  <si>
    <t>dr - profit for the year ended 30/06/22</t>
  </si>
  <si>
    <t>dr - LT prov'n</t>
  </si>
  <si>
    <t>being decrease in ST provisions and increase in LT provisions</t>
  </si>
  <si>
    <t>months used</t>
  </si>
  <si>
    <t>cost of cancellation is lower than the cost to continue with the contract for the remaining 14 months</t>
  </si>
  <si>
    <t>allowed</t>
  </si>
  <si>
    <t>transfer to retained earnings</t>
  </si>
  <si>
    <t>unadjusted profit for the year ended 30/06/22</t>
  </si>
  <si>
    <t>Impairment of three divisions and goodwill</t>
  </si>
  <si>
    <t>correction to utilise existing warranty prov'n</t>
  </si>
  <si>
    <t>decrease in short term prov'n and increae in Lt prov'n</t>
  </si>
  <si>
    <t>recognition of prov'n for onerous contract</t>
  </si>
  <si>
    <t>dr - profit YE 30/06/22</t>
  </si>
  <si>
    <t>recognition of prov'n for restructuring</t>
  </si>
  <si>
    <t>cr - RE</t>
  </si>
  <si>
    <t>being transfer to RE</t>
  </si>
  <si>
    <t>Dividends</t>
  </si>
  <si>
    <t>dr - RE</t>
  </si>
  <si>
    <t>cr - dividends paid during the year ended 30/06/22</t>
  </si>
  <si>
    <t>being correctoin to dividends paid during the year ended 30/06/22</t>
  </si>
  <si>
    <t>2,4,5</t>
  </si>
  <si>
    <t>6,7</t>
  </si>
  <si>
    <t>#</t>
  </si>
  <si>
    <t>NCA</t>
  </si>
  <si>
    <t>Inventory</t>
  </si>
  <si>
    <t>Equity</t>
  </si>
  <si>
    <t>Total asset</t>
  </si>
  <si>
    <t>Total equity and liabilities</t>
  </si>
  <si>
    <t>AMQ7</t>
  </si>
  <si>
    <t>Bear</t>
  </si>
  <si>
    <t>Can capitalise the replacement F7F</t>
  </si>
  <si>
    <t>cr - Cost</t>
  </si>
  <si>
    <t>Status</t>
  </si>
  <si>
    <t>Modules</t>
  </si>
  <si>
    <t>Can it be done?</t>
  </si>
  <si>
    <t>Marks Available</t>
  </si>
  <si>
    <t>Details</t>
  </si>
  <si>
    <t>Yes</t>
  </si>
  <si>
    <t>No</t>
  </si>
  <si>
    <t>0: Assumed knowledge
8: Non-current assets: Leases</t>
  </si>
  <si>
    <t>In Progress</t>
  </si>
  <si>
    <t>10: Impairment
19: Taxation: current tax
26: Consolidation: Acquisition accounting
27: Consolidation: Intercompany transactions and balances
32: Consolidation: Accounting requirements</t>
  </si>
  <si>
    <t>0: Assumed knowledge 
1: Accounting principles and the Conceptual Framework</t>
  </si>
  <si>
    <t xml:space="preserve">3: Accounting policies, changes in accounting estimates and errors
4: Leases
19: Current tax
</t>
  </si>
  <si>
    <t>17: Share based payment</t>
  </si>
  <si>
    <t>5: PPE
6: Investment property
9: Intangible assets</t>
  </si>
  <si>
    <t>4: Discontinued Operations
26: Consolidation: Acquisition accounting
27: Consolidation: Intercompany transactions and balances
29: Consolidation: Changes in ownership</t>
  </si>
  <si>
    <t>26: Consolidation: Acquisition accounting
27: Consolidation: Intercompany transactions and balances</t>
  </si>
  <si>
    <t xml:space="preserve">2: Presentation of financial statements
10: Impairment
21: Provisions, contingent liabilities and contingent assets
</t>
  </si>
  <si>
    <t>20: Deferred tax</t>
  </si>
  <si>
    <t>12: Intangible assets
37: Disclosure: Corporate reporting</t>
  </si>
  <si>
    <t>8: Leases</t>
  </si>
  <si>
    <t xml:space="preserve">2: Presentation of financial statements
12: Financial instruments: Presentation, classification and measurement
14: Financial instruments: Derecognition
15: Share capital
24: Statement of cash flows
37: Disclosure: Corporate Reporting
</t>
  </si>
  <si>
    <t xml:space="preserve">3: Accounting policies, changes in accounting estimates and errors
26: Consolidation: Acquisition accounting
28: Consolidation: Fair values and goodwill
31: Consolidation: Accounting requirements
</t>
  </si>
  <si>
    <t>5: PPE
6: Investment Property
8: Leases
10: Impairment</t>
  </si>
  <si>
    <t>0: Assumed Knowledge
23: Revenue from contracts with customers</t>
  </si>
  <si>
    <t>2: Presentation of financial statements
21: provisions, contingent liabilities and contingent assets
22: events after the reporting period
26: Consolidation: Acquisition accounting
27: Consolidation: intercompany transactions and balances
28: Consolidation: Fair values and goodwill</t>
  </si>
  <si>
    <t>0: Assumed knowledge
1: Accounting principles and the Conceptual Framework</t>
  </si>
  <si>
    <t>2: Presentation of financial statements
5: PPE
6: Investment Property
15: Share capital</t>
  </si>
  <si>
    <t>21: Provisions, contingent liabilities and contingent assets
22: Events after the reporting period</t>
  </si>
  <si>
    <t>9: Intangible assets</t>
  </si>
  <si>
    <t xml:space="preserve">4: Discontinued Operations </t>
  </si>
  <si>
    <t>17: Share-based payments</t>
  </si>
  <si>
    <t>2: Presentation of financial statements
3: Accounting policies, changes in accounting estimates and errors
37: Disclosure: Corporate reporting</t>
  </si>
  <si>
    <t xml:space="preserve">15: Share capital
16: Retained earnings and distributable profits
24: Statement of cash flows
</t>
  </si>
  <si>
    <t>0: Assumed Knowledge
19: Current tax
26: Consolidation: Acquisition accounting
27: Consolidation: Intercompany transactions and balances
31: Consolidation: Associates and joint ventures</t>
  </si>
  <si>
    <t>12: Financial instruments: Presentation, classification and measurement
13: Financial instruments: Impairment of financial assets
14: Financial instruments: Derecognition
37: Disclosure: Corporate reporting</t>
  </si>
  <si>
    <t>0: Assumed Knowledge
3: Accounting policies, changes in accounting estimates and errors
11: Inventories</t>
  </si>
  <si>
    <t>12: Financial instruments: Presentation, classification and measurement
21: Statement of cash flows</t>
  </si>
  <si>
    <t>5: PPE
7: Held for sale
8: Leases
10: Impairment</t>
  </si>
  <si>
    <t>7: Held for sale
21: Provisions, contingent liabilities and contingent assets</t>
  </si>
  <si>
    <t>29: Consolidation: Changes in ownership</t>
  </si>
  <si>
    <t>11: Inventories
26: Consolidation: Acquisition accounting
27: Consolidation: Intercompany transactions and balances
29: Consolidation: Changes in ownership</t>
  </si>
  <si>
    <t>5: PPE
9: Intangible assets
10: Impairment</t>
  </si>
  <si>
    <t xml:space="preserve">2: Presentation of financial statements
12: Financial instruments: presentation, classification and measurement
26: Consolidation: Acquisition accounting
27: Consolidation: intercompany transactions and balances
31: Consolidation: Associates and joint ventures
27: Disclosure: Corporate reporting
</t>
  </si>
  <si>
    <t>2: Presentation of financial statements
5: PPE
6: Investment Property
7: Held for sale
15: Share capital</t>
  </si>
  <si>
    <t>27: Consolidation: intercompany transactions and balances
28: Consolidation: Fair values and goodwill</t>
  </si>
  <si>
    <t>5: PPE
15: Share capital</t>
  </si>
  <si>
    <t>14: Financial instruments: Derecognition
15: Share capital</t>
  </si>
  <si>
    <t>Day</t>
  </si>
  <si>
    <t>Read Module/ made notes?</t>
  </si>
  <si>
    <t>WSE Status</t>
  </si>
  <si>
    <t>Comment</t>
  </si>
  <si>
    <t>Module 1</t>
  </si>
  <si>
    <t>Accounting principles and the Conceptual Framework</t>
  </si>
  <si>
    <t>Pre-course</t>
  </si>
  <si>
    <t>Module 2</t>
  </si>
  <si>
    <t>Presentation of financial statements</t>
  </si>
  <si>
    <t>Module 3</t>
  </si>
  <si>
    <t>Accounting policies, changes in accounting estimates and errors</t>
  </si>
  <si>
    <t>Module 4</t>
  </si>
  <si>
    <t>Discontinued operations</t>
  </si>
  <si>
    <t>Self-Study</t>
  </si>
  <si>
    <t>Module 5</t>
  </si>
  <si>
    <t>Non-current assets: Property, pland and equipment</t>
  </si>
  <si>
    <t>Module 6</t>
  </si>
  <si>
    <t>Non-current assets: Investment property</t>
  </si>
  <si>
    <t>Module 7</t>
  </si>
  <si>
    <t>Non-current assets: Held for sale</t>
  </si>
  <si>
    <t>Module 8</t>
  </si>
  <si>
    <t>Non-current assets: Leases</t>
  </si>
  <si>
    <t>Module 9</t>
  </si>
  <si>
    <t>Non-current assets: Intangible assets</t>
  </si>
  <si>
    <t>Module 10</t>
  </si>
  <si>
    <t>Module 11</t>
  </si>
  <si>
    <t>Module 12</t>
  </si>
  <si>
    <t>Financial Instruments</t>
  </si>
  <si>
    <t>Module 13</t>
  </si>
  <si>
    <t>Financial Instruments: Impairment of financial assets</t>
  </si>
  <si>
    <t>Module 14</t>
  </si>
  <si>
    <t>Financial Instruments: Derecognition</t>
  </si>
  <si>
    <t>Module 15</t>
  </si>
  <si>
    <t>Share Capital</t>
  </si>
  <si>
    <t>Module 16</t>
  </si>
  <si>
    <t>Retained earnings and distributable profits</t>
  </si>
  <si>
    <t>very short</t>
  </si>
  <si>
    <t>Module 17</t>
  </si>
  <si>
    <t>Share-based payment</t>
  </si>
  <si>
    <t>short</t>
  </si>
  <si>
    <t>Module 18</t>
  </si>
  <si>
    <t>Employee benefits</t>
  </si>
  <si>
    <t>Module 19</t>
  </si>
  <si>
    <t>Taxation: Current Tax</t>
  </si>
  <si>
    <t>v shot</t>
  </si>
  <si>
    <t>Module 20</t>
  </si>
  <si>
    <t>Taxation: Deferred tax</t>
  </si>
  <si>
    <t>Module 21</t>
  </si>
  <si>
    <t>Provisions, contingent liabilities and contingent assets</t>
  </si>
  <si>
    <t>Module 22</t>
  </si>
  <si>
    <t>Events after the reporting period</t>
  </si>
  <si>
    <t>v short</t>
  </si>
  <si>
    <t>Module 23</t>
  </si>
  <si>
    <t>Revenue from contracts with customers</t>
  </si>
  <si>
    <t>Module 24</t>
  </si>
  <si>
    <t>Statement of cash flows</t>
  </si>
  <si>
    <t>Module 25</t>
  </si>
  <si>
    <t>Consolidated financial statements: Introduction</t>
  </si>
  <si>
    <t>Module 26</t>
  </si>
  <si>
    <t>Consolidated financial statements: Acquisition accounting</t>
  </si>
  <si>
    <t>Module 27</t>
  </si>
  <si>
    <t>Consolidated financial statements: Intercompany transactions and balances</t>
  </si>
  <si>
    <t>Module 28</t>
  </si>
  <si>
    <t>Consolidated financial statements: Fair values and goodwill</t>
  </si>
  <si>
    <t>Module 29</t>
  </si>
  <si>
    <t>Consolidated financial statements: changes in ownership</t>
  </si>
  <si>
    <t>Module 30</t>
  </si>
  <si>
    <t>Consolidated Financial Statements: Foreign Subsidiaries</t>
  </si>
  <si>
    <t>out of scope</t>
  </si>
  <si>
    <t>Module 31</t>
  </si>
  <si>
    <t>Consolidated financial statements: Associates and joint ventures</t>
  </si>
  <si>
    <t>Module 32</t>
  </si>
  <si>
    <t>Consolidated financial statements: Accounting requirements</t>
  </si>
  <si>
    <t>Module 33</t>
  </si>
  <si>
    <t> Disclosure: Earnings per Share</t>
  </si>
  <si>
    <t>Module 34</t>
  </si>
  <si>
    <t> Disclosure: Related Parties</t>
  </si>
  <si>
    <t>Module 35</t>
  </si>
  <si>
    <t>Disclosure: Statement of profit or loss and other comprehensive income</t>
  </si>
  <si>
    <t>Module 36</t>
  </si>
  <si>
    <t xml:space="preserve"> Disclosure: Micro-entities, Small Companies &amp; Medium Companies </t>
  </si>
  <si>
    <t>Module 37</t>
  </si>
  <si>
    <t>Disclosure: Corporate reporting</t>
  </si>
  <si>
    <t>done WSE 1-6, need to do 7-13</t>
  </si>
  <si>
    <t>Need to revisit</t>
  </si>
  <si>
    <t>WSE 1 done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</si>
</sst>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
    <numFmt numFmtId="165" formatCode="&quot;£&quot;#,##0.00"/>
  </numFmts>
  <fonts count="9" x14ac:knownFonts="1">
    <font>
      <sz val="11"/>
      <color theme="1"/>
      <name val="Calibri"/>
      <family val="2"/>
      <scheme val="minor"/>
    </font>
    <font>
      <sz val="9"/>
      <color theme="1"/>
      <name val="Calibri"/>
      <family val="2"/>
      <scheme val="minor"/>
    </font>
    <font>
      <u/>
      <sz val="11"/>
      <color theme="10"/>
      <name val="Calibri"/>
      <family val="2"/>
      <scheme val="minor"/>
    </font>
    <font>
      <b/>
      <sz val="11"/>
      <color theme="0"/>
      <name val="Calibri"/>
      <family val="2"/>
      <scheme val="minor"/>
    </font>
    <font>
      <b/>
      <sz val="9"/>
      <color theme="1"/>
      <name val="Calibri"/>
      <family val="2"/>
      <scheme val="minor"/>
    </font>
    <font>
      <b/>
      <u/>
      <sz val="9"/>
      <color theme="1"/>
      <name val="Calibri"/>
      <family val="2"/>
      <scheme val="minor"/>
    </font>
    <font>
      <i/>
      <sz val="9"/>
      <color theme="1"/>
      <name val="Calibri"/>
      <family val="2"/>
      <scheme val="minor"/>
    </font>
    <font>
      <b/>
      <sz val="11"/>
      <color theme="1"/>
      <name val="Calibri"/>
      <family val="2"/>
      <scheme val="minor"/>
    </font>
    <font>
      <sz val="11"/>
      <color rgb="FF00000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92D050"/>
        <bgColor indexed="64"/>
      </patternFill>
    </fill>
  </fills>
  <borders count="17">
    <border>
      <left/>
      <right/>
      <top/>
      <bottom/>
      <diagonal/>
    </border>
    <border>
      <left/>
      <right/>
      <top style="thin">
        <color indexed="64"/>
      </top>
      <bottom style="double">
        <color indexed="64"/>
      </bottom>
      <diagonal/>
    </border>
    <border>
      <left/>
      <right/>
      <top/>
      <bottom style="thin">
        <color indexed="64"/>
      </bottom>
      <diagonal/>
    </border>
    <border>
      <left/>
      <right/>
      <top style="thin">
        <color indexed="64"/>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style="thin">
        <color indexed="64"/>
      </top>
      <bottom/>
      <diagonal/>
    </border>
    <border>
      <left style="thin">
        <color indexed="64"/>
      </left>
      <right style="thin">
        <color indexed="64"/>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s>
  <cellStyleXfs count="2">
    <xf numFmtId="0" fontId="0" fillId="0" borderId="0"/>
    <xf numFmtId="0" fontId="2" fillId="0" borderId="0" applyNumberFormat="0" applyFill="0" applyBorder="0" applyAlignment="0" applyProtection="0"/>
  </cellStyleXfs>
  <cellXfs count="98">
    <xf numFmtId="0" fontId="0" fillId="0" borderId="0" xfId="0"/>
    <xf numFmtId="0" fontId="1" fillId="0" borderId="0" xfId="0" applyFont="1"/>
    <xf numFmtId="0" fontId="2" fillId="0" borderId="0" xfId="1"/>
    <xf numFmtId="14" fontId="1" fillId="0" borderId="0" xfId="0" applyNumberFormat="1" applyFont="1"/>
    <xf numFmtId="9" fontId="1" fillId="0" borderId="0" xfId="0" applyNumberFormat="1" applyFont="1"/>
    <xf numFmtId="0" fontId="4" fillId="0" borderId="0" xfId="0" applyFont="1"/>
    <xf numFmtId="3" fontId="1" fillId="0" borderId="0" xfId="0" applyNumberFormat="1" applyFont="1"/>
    <xf numFmtId="0" fontId="1" fillId="2" borderId="0" xfId="0" applyFont="1" applyFill="1"/>
    <xf numFmtId="3" fontId="1" fillId="2" borderId="0" xfId="0" applyNumberFormat="1" applyFont="1" applyFill="1"/>
    <xf numFmtId="0" fontId="1" fillId="0" borderId="0" xfId="0" applyFont="1" applyFill="1"/>
    <xf numFmtId="3" fontId="1" fillId="0" borderId="0" xfId="0" applyNumberFormat="1" applyFont="1" applyFill="1"/>
    <xf numFmtId="0" fontId="1" fillId="0" borderId="0" xfId="0" applyFont="1" applyAlignment="1">
      <alignment horizontal="right"/>
    </xf>
    <xf numFmtId="0" fontId="5" fillId="0" borderId="0" xfId="0" applyFont="1"/>
    <xf numFmtId="0" fontId="1" fillId="0" borderId="0" xfId="0" quotePrefix="1" applyFont="1"/>
    <xf numFmtId="3" fontId="1" fillId="0" borderId="1" xfId="0" applyNumberFormat="1" applyFont="1" applyBorder="1"/>
    <xf numFmtId="0" fontId="1" fillId="0" borderId="1" xfId="0" applyFont="1" applyBorder="1"/>
    <xf numFmtId="0" fontId="1" fillId="3" borderId="0" xfId="0" applyFont="1" applyFill="1"/>
    <xf numFmtId="0" fontId="1" fillId="0" borderId="0" xfId="0" applyFont="1" applyFill="1" applyAlignment="1"/>
    <xf numFmtId="3" fontId="1" fillId="0" borderId="0" xfId="0" applyNumberFormat="1" applyFont="1" applyBorder="1"/>
    <xf numFmtId="0" fontId="3" fillId="0" borderId="0" xfId="0" applyFont="1" applyFill="1" applyBorder="1" applyAlignment="1">
      <alignment horizontal="left"/>
    </xf>
    <xf numFmtId="0" fontId="0" fillId="0" borderId="0" xfId="0" applyFont="1" applyFill="1" applyBorder="1"/>
    <xf numFmtId="0" fontId="0" fillId="0" borderId="0" xfId="0" applyFill="1" applyBorder="1"/>
    <xf numFmtId="0" fontId="0" fillId="0" borderId="0" xfId="0" applyFill="1" applyBorder="1" applyAlignment="1">
      <alignment horizontal="left" vertical="center" wrapText="1"/>
    </xf>
    <xf numFmtId="0" fontId="3" fillId="0" borderId="0" xfId="0" applyFont="1" applyFill="1" applyBorder="1" applyAlignment="1">
      <alignment horizontal="left" vertical="center" wrapText="1"/>
    </xf>
    <xf numFmtId="3" fontId="1" fillId="0" borderId="2" xfId="0" applyNumberFormat="1" applyFont="1" applyBorder="1"/>
    <xf numFmtId="3" fontId="1" fillId="0" borderId="3" xfId="0" applyNumberFormat="1" applyFont="1" applyBorder="1"/>
    <xf numFmtId="3" fontId="1" fillId="3" borderId="0" xfId="0" applyNumberFormat="1" applyFont="1" applyFill="1"/>
    <xf numFmtId="14" fontId="1" fillId="2" borderId="0" xfId="0" applyNumberFormat="1" applyFont="1" applyFill="1"/>
    <xf numFmtId="164" fontId="1" fillId="3" borderId="0" xfId="0" applyNumberFormat="1" applyFont="1" applyFill="1"/>
    <xf numFmtId="165" fontId="1" fillId="0" borderId="0" xfId="0" applyNumberFormat="1" applyFont="1"/>
    <xf numFmtId="164" fontId="1" fillId="0" borderId="0" xfId="0" applyNumberFormat="1" applyFont="1"/>
    <xf numFmtId="0" fontId="6" fillId="0" borderId="0" xfId="0" applyFont="1"/>
    <xf numFmtId="3" fontId="6" fillId="0" borderId="0" xfId="0" applyNumberFormat="1" applyFont="1"/>
    <xf numFmtId="10" fontId="1" fillId="0" borderId="0" xfId="0" applyNumberFormat="1" applyFont="1"/>
    <xf numFmtId="0" fontId="1" fillId="0" borderId="0" xfId="0" applyFont="1" applyAlignment="1">
      <alignment horizontal="centerContinuous"/>
    </xf>
    <xf numFmtId="0" fontId="0" fillId="0" borderId="0" xfId="0" applyFill="1" applyBorder="1" applyAlignment="1">
      <alignment wrapText="1"/>
    </xf>
    <xf numFmtId="0" fontId="0" fillId="3" borderId="0" xfId="0" applyFill="1" applyBorder="1"/>
    <xf numFmtId="0" fontId="0" fillId="0" borderId="4" xfId="0" applyFill="1" applyBorder="1"/>
    <xf numFmtId="0" fontId="0" fillId="0" borderId="0" xfId="0" applyFill="1" applyBorder="1" applyAlignment="1">
      <alignment horizontal="left" vertical="center"/>
    </xf>
    <xf numFmtId="0" fontId="0" fillId="2" borderId="0" xfId="0" applyFill="1" applyBorder="1" applyAlignment="1">
      <alignment horizontal="left" vertical="center"/>
    </xf>
    <xf numFmtId="0" fontId="0" fillId="0" borderId="0" xfId="0" applyFill="1" applyBorder="1" applyAlignment="1">
      <alignment horizontal="right" vertical="center"/>
    </xf>
    <xf numFmtId="1" fontId="1" fillId="0" borderId="0" xfId="0" applyNumberFormat="1" applyFont="1"/>
    <xf numFmtId="4" fontId="1" fillId="0" borderId="0" xfId="0" applyNumberFormat="1" applyFont="1"/>
    <xf numFmtId="2" fontId="1" fillId="0" borderId="0" xfId="0" applyNumberFormat="1" applyFont="1"/>
    <xf numFmtId="0" fontId="1" fillId="2" borderId="1" xfId="0" applyFont="1" applyFill="1" applyBorder="1"/>
    <xf numFmtId="9" fontId="1" fillId="2" borderId="0" xfId="0" applyNumberFormat="1" applyFont="1" applyFill="1"/>
    <xf numFmtId="3" fontId="1" fillId="2" borderId="1" xfId="0" applyNumberFormat="1" applyFont="1" applyFill="1" applyBorder="1"/>
    <xf numFmtId="0" fontId="4" fillId="0" borderId="0" xfId="0" applyFont="1" applyFill="1"/>
    <xf numFmtId="0" fontId="1" fillId="0" borderId="1" xfId="0" applyFont="1" applyFill="1" applyBorder="1"/>
    <xf numFmtId="0" fontId="4" fillId="0" borderId="1" xfId="0" applyFont="1" applyFill="1" applyBorder="1"/>
    <xf numFmtId="9" fontId="1" fillId="0" borderId="0" xfId="0" applyNumberFormat="1" applyFont="1" applyFill="1"/>
    <xf numFmtId="0" fontId="1" fillId="0" borderId="0" xfId="0" applyFont="1" applyFill="1" applyBorder="1"/>
    <xf numFmtId="0" fontId="4" fillId="0" borderId="0" xfId="0" applyFont="1" applyFill="1" applyBorder="1"/>
    <xf numFmtId="3" fontId="1" fillId="0" borderId="0" xfId="0" applyNumberFormat="1" applyFont="1" applyFill="1" applyBorder="1"/>
    <xf numFmtId="3" fontId="1" fillId="0" borderId="1" xfId="0" applyNumberFormat="1" applyFont="1" applyFill="1" applyBorder="1"/>
    <xf numFmtId="9" fontId="1" fillId="0" borderId="0" xfId="0" applyNumberFormat="1" applyFont="1" applyFill="1" applyBorder="1"/>
    <xf numFmtId="0" fontId="1" fillId="0" borderId="0" xfId="0" applyFont="1" applyAlignment="1">
      <alignment horizontal="left"/>
    </xf>
    <xf numFmtId="0" fontId="1" fillId="2" borderId="0" xfId="0" applyFont="1" applyFill="1" applyAlignment="1">
      <alignment horizontal="centerContinuous"/>
    </xf>
    <xf numFmtId="0" fontId="1" fillId="2" borderId="0" xfId="0" applyFont="1" applyFill="1" applyAlignment="1"/>
    <xf numFmtId="3" fontId="4" fillId="0" borderId="0" xfId="0" applyNumberFormat="1" applyFont="1"/>
    <xf numFmtId="10" fontId="0" fillId="0" borderId="0" xfId="0" applyNumberFormat="1" applyFill="1" applyBorder="1" applyAlignment="1">
      <alignment horizontal="left" vertical="center" wrapText="1"/>
    </xf>
    <xf numFmtId="0" fontId="0" fillId="3" borderId="0" xfId="0" applyFont="1" applyFill="1" applyBorder="1"/>
    <xf numFmtId="0" fontId="0" fillId="2" borderId="0" xfId="0" applyFill="1" applyBorder="1"/>
    <xf numFmtId="0" fontId="2" fillId="0" borderId="0" xfId="1" applyFill="1" applyBorder="1" applyAlignment="1">
      <alignment horizontal="left" vertical="center"/>
    </xf>
    <xf numFmtId="0" fontId="8" fillId="0" borderId="0" xfId="0" applyFont="1" applyAlignment="1">
      <alignment wrapText="1"/>
    </xf>
    <xf numFmtId="0" fontId="0" fillId="0" borderId="5" xfId="0" applyBorder="1" applyAlignment="1">
      <alignment horizontal="center"/>
    </xf>
    <xf numFmtId="0" fontId="0" fillId="0" borderId="6" xfId="0" applyBorder="1" applyAlignment="1">
      <alignment horizontal="center"/>
    </xf>
    <xf numFmtId="0" fontId="0" fillId="0" borderId="5" xfId="0" applyBorder="1"/>
    <xf numFmtId="0" fontId="8" fillId="0" borderId="5" xfId="0" applyFont="1" applyBorder="1" applyAlignment="1">
      <alignment wrapText="1"/>
    </xf>
    <xf numFmtId="0" fontId="8" fillId="0" borderId="0" xfId="0" applyFont="1"/>
    <xf numFmtId="0" fontId="0" fillId="0" borderId="7" xfId="0" applyBorder="1" applyAlignment="1">
      <alignment horizontal="left" vertical="center"/>
    </xf>
    <xf numFmtId="0" fontId="0" fillId="0" borderId="3" xfId="0" applyBorder="1" applyAlignment="1">
      <alignment horizontal="left" vertical="center"/>
    </xf>
    <xf numFmtId="0" fontId="0" fillId="0" borderId="3" xfId="0" applyBorder="1" applyAlignment="1">
      <alignment vertical="top" wrapText="1"/>
    </xf>
    <xf numFmtId="0" fontId="0" fillId="0" borderId="0" xfId="0" applyAlignment="1">
      <alignment horizontal="left" vertical="center"/>
    </xf>
    <xf numFmtId="0" fontId="8" fillId="0" borderId="8" xfId="0" applyFont="1" applyBorder="1" applyAlignment="1">
      <alignment horizontal="left" vertical="center"/>
    </xf>
    <xf numFmtId="0" fontId="0" fillId="0" borderId="9" xfId="0" applyBorder="1"/>
    <xf numFmtId="0" fontId="0" fillId="0" borderId="0" xfId="0" applyAlignment="1">
      <alignment vertical="top" wrapText="1"/>
    </xf>
    <xf numFmtId="0" fontId="8" fillId="0" borderId="10" xfId="0" applyFont="1" applyBorder="1" applyAlignment="1">
      <alignment horizontal="left" vertical="center"/>
    </xf>
    <xf numFmtId="0" fontId="0" fillId="0" borderId="0" xfId="0" applyAlignment="1">
      <alignment vertical="top"/>
    </xf>
    <xf numFmtId="0" fontId="0" fillId="0" borderId="11" xfId="0" applyBorder="1" applyAlignment="1">
      <alignment horizontal="left" vertical="center"/>
    </xf>
    <xf numFmtId="0" fontId="0" fillId="0" borderId="2" xfId="0" applyBorder="1" applyAlignment="1">
      <alignment horizontal="left" vertical="center"/>
    </xf>
    <xf numFmtId="0" fontId="0" fillId="0" borderId="2" xfId="0" applyBorder="1" applyAlignment="1">
      <alignment vertical="top" wrapText="1"/>
    </xf>
    <xf numFmtId="0" fontId="8" fillId="0" borderId="12" xfId="0" applyFont="1" applyBorder="1" applyAlignment="1">
      <alignment horizontal="left" vertical="center"/>
    </xf>
    <xf numFmtId="0" fontId="0" fillId="0" borderId="13" xfId="0" applyBorder="1"/>
    <xf numFmtId="0" fontId="7" fillId="0" borderId="14" xfId="0" applyFont="1" applyBorder="1" applyAlignment="1">
      <alignment horizontal="center" vertical="center" wrapText="1"/>
    </xf>
    <xf numFmtId="0" fontId="7" fillId="0" borderId="15" xfId="0" applyFont="1" applyBorder="1" applyAlignment="1">
      <alignment horizontal="center" vertical="center" wrapText="1"/>
    </xf>
    <xf numFmtId="0" fontId="7" fillId="0" borderId="15" xfId="0" applyFont="1" applyBorder="1" applyAlignment="1">
      <alignment horizontal="center" vertical="center" wrapText="1"/>
    </xf>
    <xf numFmtId="0" fontId="7" fillId="0" borderId="6" xfId="0" applyFont="1" applyBorder="1" applyAlignment="1">
      <alignment horizontal="center" vertical="center" wrapText="1"/>
    </xf>
    <xf numFmtId="0" fontId="7" fillId="0" borderId="5" xfId="0" applyFont="1" applyBorder="1" applyAlignment="1">
      <alignment horizontal="center" vertical="center" wrapText="1"/>
    </xf>
    <xf numFmtId="0" fontId="0" fillId="0" borderId="16" xfId="0" applyBorder="1" applyAlignment="1">
      <alignment horizontal="left" vertical="center"/>
    </xf>
    <xf numFmtId="0" fontId="0" fillId="0" borderId="3" xfId="0" applyBorder="1" applyAlignment="1">
      <alignment horizontal="left" vertical="center" wrapText="1"/>
    </xf>
    <xf numFmtId="0" fontId="0" fillId="0" borderId="8" xfId="0" applyBorder="1" applyAlignment="1">
      <alignment horizontal="left" vertical="center"/>
    </xf>
    <xf numFmtId="0" fontId="0" fillId="0" borderId="10" xfId="0" applyBorder="1"/>
    <xf numFmtId="0" fontId="0" fillId="0" borderId="0" xfId="0" applyAlignment="1">
      <alignment horizontal="left" vertical="center" wrapText="1"/>
    </xf>
    <xf numFmtId="0" fontId="0" fillId="0" borderId="10" xfId="0" applyBorder="1" applyAlignment="1">
      <alignment horizontal="left" vertical="center"/>
    </xf>
    <xf numFmtId="0" fontId="0" fillId="0" borderId="2" xfId="0" applyBorder="1" applyAlignment="1">
      <alignment horizontal="left" vertical="center" wrapText="1"/>
    </xf>
    <xf numFmtId="0" fontId="0" fillId="0" borderId="12" xfId="0" applyBorder="1" applyAlignment="1">
      <alignment horizontal="left" vertical="center"/>
    </xf>
    <xf numFmtId="0" fontId="0" fillId="0" borderId="12" xfId="0" applyBorder="1"/>
  </cellXfs>
  <cellStyles count="2">
    <cellStyle name="Hyperlink" xfId="1" builtinId="8"/>
    <cellStyle name="Normal" xfId="0" builtinId="0"/>
  </cellStyles>
  <dxfs count="25">
    <dxf>
      <font>
        <strike val="0"/>
        <color rgb="FFC00000"/>
      </font>
      <fill>
        <patternFill patternType="solid">
          <bgColor rgb="FFFFD1D1"/>
        </patternFill>
      </fill>
    </dxf>
    <dxf>
      <font>
        <color rgb="FFD79A49"/>
      </font>
      <fill>
        <patternFill>
          <bgColor theme="7" tint="0.79998168889431442"/>
        </patternFill>
      </fill>
    </dxf>
    <dxf>
      <font>
        <color rgb="FF00CC00"/>
      </font>
      <fill>
        <patternFill>
          <bgColor theme="9" tint="0.7999816888943144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strike val="0"/>
        <color rgb="FFC00000"/>
      </font>
      <fill>
        <patternFill patternType="solid">
          <bgColor rgb="FFFFD1D1"/>
        </patternFill>
      </fill>
    </dxf>
    <dxf>
      <font>
        <color rgb="FFD79A49"/>
      </font>
      <fill>
        <patternFill>
          <bgColor theme="7" tint="0.79998168889431442"/>
        </patternFill>
      </fill>
    </dxf>
    <dxf>
      <font>
        <color rgb="FF00CC00"/>
      </font>
      <fill>
        <patternFill>
          <bgColor theme="9" tint="0.7999816888943144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strike val="0"/>
        <color rgb="FFC00000"/>
      </font>
      <fill>
        <patternFill patternType="solid">
          <bgColor rgb="FFFFD1D1"/>
        </patternFill>
      </fill>
    </dxf>
    <dxf>
      <font>
        <color rgb="FFD79A49"/>
      </font>
      <fill>
        <patternFill>
          <bgColor theme="7" tint="0.79998168889431442"/>
        </patternFill>
      </fill>
    </dxf>
    <dxf>
      <font>
        <color rgb="FF00CC00"/>
      </font>
      <fill>
        <patternFill>
          <bgColor theme="9" tint="0.7999816888943144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strike val="0"/>
        <color rgb="FFC00000"/>
      </font>
      <fill>
        <patternFill patternType="solid">
          <bgColor rgb="FFFFD1D1"/>
        </patternFill>
      </fill>
    </dxf>
    <dxf>
      <font>
        <color rgb="FFD79A49"/>
      </font>
      <fill>
        <patternFill>
          <bgColor theme="7" tint="0.79998168889431442"/>
        </patternFill>
      </fill>
    </dxf>
    <dxf>
      <font>
        <color rgb="FF00CC00"/>
      </font>
      <fill>
        <patternFill>
          <bgColor theme="9" tint="0.7999816888943144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sheetMetadata" Target="metadata.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9BE829-2F31-4EA2-A0CD-EF77D8E7C908}">
  <sheetPr>
    <tabColor rgb="FFFFFF00"/>
  </sheetPr>
  <dimension ref="A2:U94"/>
  <sheetViews>
    <sheetView showGridLines="0" topLeftCell="A4" workbookViewId="0">
      <selection activeCell="B34" sqref="B34:B37"/>
    </sheetView>
  </sheetViews>
  <sheetFormatPr defaultRowHeight="15" x14ac:dyDescent="0.25"/>
  <cols>
    <col min="2" max="2" width="8.28515625" bestFit="1" customWidth="1"/>
    <col min="4" max="4" width="61.7109375" customWidth="1"/>
    <col min="5" max="5" width="13.7109375" bestFit="1" customWidth="1"/>
    <col min="6" max="6" width="14.28515625" customWidth="1"/>
    <col min="7" max="7" width="58.28515625" customWidth="1"/>
    <col min="8" max="8" width="45.140625" customWidth="1"/>
  </cols>
  <sheetData>
    <row r="2" spans="1:21" ht="30" x14ac:dyDescent="0.25">
      <c r="A2" s="64"/>
      <c r="B2" s="65" t="s">
        <v>738</v>
      </c>
      <c r="C2" s="66" t="s">
        <v>1132</v>
      </c>
      <c r="D2" s="67" t="s">
        <v>1133</v>
      </c>
      <c r="E2" s="68" t="s">
        <v>1134</v>
      </c>
      <c r="F2" s="68" t="s">
        <v>1135</v>
      </c>
      <c r="G2" s="67" t="s">
        <v>1136</v>
      </c>
      <c r="U2" t="s">
        <v>1137</v>
      </c>
    </row>
    <row r="3" spans="1:21" ht="30" x14ac:dyDescent="0.25">
      <c r="A3" s="69"/>
      <c r="B3" s="70">
        <v>1</v>
      </c>
      <c r="C3" s="71" t="s">
        <v>1138</v>
      </c>
      <c r="D3" s="72" t="s">
        <v>1139</v>
      </c>
      <c r="E3" s="73" t="s">
        <v>1137</v>
      </c>
      <c r="F3" s="74">
        <v>7</v>
      </c>
      <c r="G3" s="75"/>
      <c r="U3" t="s">
        <v>1140</v>
      </c>
    </row>
    <row r="4" spans="1:21" ht="75" x14ac:dyDescent="0.25">
      <c r="A4" s="69"/>
      <c r="B4" s="70">
        <v>2</v>
      </c>
      <c r="C4" s="73" t="s">
        <v>1138</v>
      </c>
      <c r="D4" s="76" t="s">
        <v>1141</v>
      </c>
      <c r="E4" s="73" t="s">
        <v>1138</v>
      </c>
      <c r="F4" s="77">
        <v>16</v>
      </c>
      <c r="G4" s="75"/>
      <c r="U4" t="s">
        <v>1138</v>
      </c>
    </row>
    <row r="5" spans="1:21" ht="30" x14ac:dyDescent="0.25">
      <c r="A5" s="69"/>
      <c r="B5" s="70">
        <v>3</v>
      </c>
      <c r="C5" s="73" t="s">
        <v>1138</v>
      </c>
      <c r="D5" s="76" t="s">
        <v>1142</v>
      </c>
      <c r="E5" s="73" t="s">
        <v>1137</v>
      </c>
      <c r="F5" s="77">
        <v>8</v>
      </c>
      <c r="G5" s="75"/>
    </row>
    <row r="6" spans="1:21" ht="47.45" customHeight="1" x14ac:dyDescent="0.25">
      <c r="A6" s="69"/>
      <c r="B6" s="70">
        <v>4</v>
      </c>
      <c r="C6" s="73" t="s">
        <v>1138</v>
      </c>
      <c r="D6" s="76" t="s">
        <v>1143</v>
      </c>
      <c r="E6" s="73" t="s">
        <v>1138</v>
      </c>
      <c r="F6" s="77">
        <v>12</v>
      </c>
      <c r="G6" s="75"/>
    </row>
    <row r="7" spans="1:21" x14ac:dyDescent="0.25">
      <c r="A7" s="69"/>
      <c r="B7" s="70">
        <v>5</v>
      </c>
      <c r="C7" s="73" t="s">
        <v>1138</v>
      </c>
      <c r="D7" s="78" t="s">
        <v>1144</v>
      </c>
      <c r="E7" s="73" t="s">
        <v>1138</v>
      </c>
      <c r="F7" s="77">
        <v>7</v>
      </c>
      <c r="G7" s="75"/>
    </row>
    <row r="8" spans="1:21" ht="45" x14ac:dyDescent="0.25">
      <c r="A8" s="69"/>
      <c r="B8" s="70">
        <v>6</v>
      </c>
      <c r="C8" s="73" t="s">
        <v>1138</v>
      </c>
      <c r="D8" s="76" t="s">
        <v>1145</v>
      </c>
      <c r="E8" s="73" t="s">
        <v>1137</v>
      </c>
      <c r="F8" s="77">
        <v>37</v>
      </c>
      <c r="G8" s="75"/>
    </row>
    <row r="9" spans="1:21" ht="60" x14ac:dyDescent="0.25">
      <c r="A9" s="69"/>
      <c r="B9" s="70">
        <v>7</v>
      </c>
      <c r="C9" s="73" t="s">
        <v>1138</v>
      </c>
      <c r="D9" s="76" t="s">
        <v>1146</v>
      </c>
      <c r="E9" s="73" t="s">
        <v>1138</v>
      </c>
      <c r="F9" s="77">
        <v>21</v>
      </c>
      <c r="G9" s="75"/>
    </row>
    <row r="10" spans="1:21" x14ac:dyDescent="0.25">
      <c r="A10" s="69"/>
      <c r="B10" s="70">
        <v>8</v>
      </c>
      <c r="C10" s="73" t="s">
        <v>1138</v>
      </c>
      <c r="D10" s="76" t="s">
        <v>165</v>
      </c>
      <c r="E10" s="73" t="s">
        <v>1138</v>
      </c>
      <c r="F10" s="77">
        <v>6</v>
      </c>
      <c r="G10" s="75"/>
    </row>
    <row r="11" spans="1:21" ht="30" x14ac:dyDescent="0.25">
      <c r="A11" s="69"/>
      <c r="B11" s="70">
        <v>9</v>
      </c>
      <c r="C11" s="73" t="s">
        <v>1138</v>
      </c>
      <c r="D11" s="76" t="s">
        <v>1147</v>
      </c>
      <c r="E11" s="73" t="s">
        <v>1138</v>
      </c>
      <c r="F11" s="77">
        <v>24</v>
      </c>
      <c r="G11" s="75"/>
    </row>
    <row r="12" spans="1:21" ht="60" x14ac:dyDescent="0.25">
      <c r="A12" s="69"/>
      <c r="B12" s="70">
        <v>10</v>
      </c>
      <c r="C12" s="73" t="s">
        <v>1138</v>
      </c>
      <c r="D12" s="76" t="s">
        <v>1148</v>
      </c>
      <c r="E12" s="73" t="s">
        <v>1138</v>
      </c>
      <c r="F12" s="77">
        <v>25</v>
      </c>
      <c r="G12" s="75"/>
    </row>
    <row r="13" spans="1:21" x14ac:dyDescent="0.25">
      <c r="A13" s="69"/>
      <c r="B13" s="70">
        <v>11</v>
      </c>
      <c r="C13" s="73" t="s">
        <v>1138</v>
      </c>
      <c r="D13" s="78" t="s">
        <v>1149</v>
      </c>
      <c r="E13" s="73" t="s">
        <v>1138</v>
      </c>
      <c r="F13" s="77">
        <v>5</v>
      </c>
      <c r="G13" s="75"/>
    </row>
    <row r="14" spans="1:21" ht="30" x14ac:dyDescent="0.25">
      <c r="A14" s="69"/>
      <c r="B14" s="70">
        <v>12</v>
      </c>
      <c r="C14" s="73" t="s">
        <v>1138</v>
      </c>
      <c r="D14" s="76" t="s">
        <v>1150</v>
      </c>
      <c r="E14" s="73" t="s">
        <v>1138</v>
      </c>
      <c r="F14" s="77">
        <v>11</v>
      </c>
      <c r="G14" s="75"/>
    </row>
    <row r="15" spans="1:21" x14ac:dyDescent="0.25">
      <c r="A15" s="69"/>
      <c r="B15" s="70">
        <v>13</v>
      </c>
      <c r="C15" s="73" t="s">
        <v>1138</v>
      </c>
      <c r="D15" s="78" t="s">
        <v>1151</v>
      </c>
      <c r="E15" s="73" t="s">
        <v>1138</v>
      </c>
      <c r="F15" s="77">
        <v>12</v>
      </c>
      <c r="G15" s="75"/>
    </row>
    <row r="16" spans="1:21" ht="120" x14ac:dyDescent="0.25">
      <c r="A16" s="69"/>
      <c r="B16" s="70">
        <v>14</v>
      </c>
      <c r="C16" s="73" t="s">
        <v>1138</v>
      </c>
      <c r="D16" s="76" t="s">
        <v>1152</v>
      </c>
      <c r="E16" s="73" t="s">
        <v>1138</v>
      </c>
      <c r="F16" s="77">
        <v>25</v>
      </c>
      <c r="G16" s="75"/>
    </row>
    <row r="17" spans="1:7" ht="75" x14ac:dyDescent="0.25">
      <c r="A17" s="69"/>
      <c r="B17" s="70">
        <v>15</v>
      </c>
      <c r="C17" s="73" t="s">
        <v>1138</v>
      </c>
      <c r="D17" s="76" t="s">
        <v>1153</v>
      </c>
      <c r="E17" s="73" t="s">
        <v>1138</v>
      </c>
      <c r="F17" s="77">
        <v>11</v>
      </c>
      <c r="G17" s="75"/>
    </row>
    <row r="18" spans="1:7" x14ac:dyDescent="0.25">
      <c r="A18" s="69"/>
      <c r="B18" s="70">
        <v>16</v>
      </c>
      <c r="C18" s="73" t="s">
        <v>1138</v>
      </c>
      <c r="D18" s="78" t="s">
        <v>167</v>
      </c>
      <c r="E18" s="73" t="s">
        <v>1138</v>
      </c>
      <c r="F18" s="77">
        <v>11</v>
      </c>
      <c r="G18" s="75"/>
    </row>
    <row r="19" spans="1:7" ht="60" x14ac:dyDescent="0.25">
      <c r="A19" s="69"/>
      <c r="B19" s="70">
        <v>17</v>
      </c>
      <c r="C19" s="73" t="s">
        <v>1138</v>
      </c>
      <c r="D19" s="76" t="s">
        <v>1154</v>
      </c>
      <c r="E19" s="73" t="s">
        <v>1137</v>
      </c>
      <c r="F19" s="77">
        <v>15</v>
      </c>
      <c r="G19" s="75"/>
    </row>
    <row r="20" spans="1:7" ht="30" x14ac:dyDescent="0.25">
      <c r="A20" s="69"/>
      <c r="B20" s="70">
        <v>18</v>
      </c>
      <c r="C20" s="73" t="s">
        <v>1138</v>
      </c>
      <c r="D20" s="76" t="s">
        <v>1155</v>
      </c>
      <c r="E20" s="73" t="s">
        <v>1138</v>
      </c>
      <c r="F20" s="77">
        <v>12</v>
      </c>
      <c r="G20" s="75"/>
    </row>
    <row r="21" spans="1:7" ht="90" x14ac:dyDescent="0.25">
      <c r="A21" s="69"/>
      <c r="B21" s="70">
        <v>19</v>
      </c>
      <c r="C21" s="73" t="s">
        <v>1138</v>
      </c>
      <c r="D21" s="76" t="s">
        <v>1156</v>
      </c>
      <c r="E21" s="73" t="s">
        <v>1138</v>
      </c>
      <c r="F21" s="77">
        <v>34</v>
      </c>
      <c r="G21" s="75"/>
    </row>
    <row r="22" spans="1:7" ht="30" x14ac:dyDescent="0.25">
      <c r="A22" s="69"/>
      <c r="B22" s="70">
        <v>20</v>
      </c>
      <c r="C22" s="73" t="s">
        <v>1138</v>
      </c>
      <c r="D22" s="76" t="s">
        <v>1157</v>
      </c>
      <c r="E22" s="73" t="s">
        <v>1137</v>
      </c>
      <c r="F22" s="77">
        <v>8</v>
      </c>
      <c r="G22" s="75"/>
    </row>
    <row r="23" spans="1:7" ht="60" x14ac:dyDescent="0.25">
      <c r="A23" s="69"/>
      <c r="B23" s="70">
        <v>21</v>
      </c>
      <c r="C23" s="73" t="s">
        <v>1138</v>
      </c>
      <c r="D23" s="76" t="s">
        <v>1158</v>
      </c>
      <c r="E23" s="73" t="s">
        <v>1138</v>
      </c>
      <c r="F23" s="77">
        <v>23</v>
      </c>
      <c r="G23" s="75"/>
    </row>
    <row r="24" spans="1:7" x14ac:dyDescent="0.25">
      <c r="A24" s="69"/>
      <c r="B24" s="70">
        <v>22</v>
      </c>
      <c r="C24" s="73" t="s">
        <v>1138</v>
      </c>
      <c r="D24" s="78" t="s">
        <v>172</v>
      </c>
      <c r="E24" s="73" t="s">
        <v>1138</v>
      </c>
      <c r="F24" s="77">
        <v>19</v>
      </c>
      <c r="G24" s="75"/>
    </row>
    <row r="25" spans="1:7" ht="30" x14ac:dyDescent="0.25">
      <c r="A25" s="69"/>
      <c r="B25" s="70">
        <v>23</v>
      </c>
      <c r="C25" s="73" t="s">
        <v>1138</v>
      </c>
      <c r="D25" s="76" t="s">
        <v>1159</v>
      </c>
      <c r="E25" s="73" t="s">
        <v>1138</v>
      </c>
      <c r="F25" s="77">
        <v>18</v>
      </c>
      <c r="G25" s="75"/>
    </row>
    <row r="26" spans="1:7" x14ac:dyDescent="0.25">
      <c r="A26" s="69"/>
      <c r="B26" s="70">
        <v>24</v>
      </c>
      <c r="C26" s="73" t="s">
        <v>1138</v>
      </c>
      <c r="D26" s="78" t="s">
        <v>1160</v>
      </c>
      <c r="E26" s="73" t="s">
        <v>1137</v>
      </c>
      <c r="F26" s="77">
        <v>14</v>
      </c>
      <c r="G26" s="75"/>
    </row>
    <row r="27" spans="1:7" x14ac:dyDescent="0.25">
      <c r="A27" s="69"/>
      <c r="B27" s="70">
        <v>25</v>
      </c>
      <c r="C27" s="73" t="s">
        <v>1138</v>
      </c>
      <c r="D27" s="78" t="s">
        <v>1151</v>
      </c>
      <c r="E27" s="73" t="s">
        <v>1138</v>
      </c>
      <c r="F27" s="77">
        <v>11</v>
      </c>
      <c r="G27" s="75"/>
    </row>
    <row r="28" spans="1:7" x14ac:dyDescent="0.25">
      <c r="A28" s="69"/>
      <c r="B28" s="70">
        <v>26</v>
      </c>
      <c r="C28" s="73" t="s">
        <v>1138</v>
      </c>
      <c r="D28" s="78" t="s">
        <v>1161</v>
      </c>
      <c r="E28" s="73" t="s">
        <v>1138</v>
      </c>
      <c r="F28" s="77">
        <v>3</v>
      </c>
      <c r="G28" s="75"/>
    </row>
    <row r="29" spans="1:7" x14ac:dyDescent="0.25">
      <c r="A29" s="69"/>
      <c r="B29" s="70">
        <v>27</v>
      </c>
      <c r="C29" s="73" t="s">
        <v>1138</v>
      </c>
      <c r="D29" s="78" t="s">
        <v>1162</v>
      </c>
      <c r="E29" s="73" t="s">
        <v>1138</v>
      </c>
      <c r="F29" s="77">
        <v>9</v>
      </c>
      <c r="G29" s="75"/>
    </row>
    <row r="30" spans="1:7" x14ac:dyDescent="0.25">
      <c r="A30" s="69"/>
      <c r="B30" s="70">
        <v>28</v>
      </c>
      <c r="C30" s="73" t="s">
        <v>1138</v>
      </c>
      <c r="D30" s="78" t="s">
        <v>1162</v>
      </c>
      <c r="E30" s="73" t="s">
        <v>1138</v>
      </c>
      <c r="F30" s="77">
        <v>5</v>
      </c>
      <c r="G30" s="75"/>
    </row>
    <row r="31" spans="1:7" x14ac:dyDescent="0.25">
      <c r="A31" s="69"/>
      <c r="B31" s="70">
        <v>29</v>
      </c>
      <c r="C31" s="73" t="s">
        <v>1138</v>
      </c>
      <c r="D31" s="78" t="s">
        <v>150</v>
      </c>
      <c r="E31" s="73" t="s">
        <v>1138</v>
      </c>
      <c r="F31" s="77">
        <v>6</v>
      </c>
      <c r="G31" s="75"/>
    </row>
    <row r="32" spans="1:7" x14ac:dyDescent="0.25">
      <c r="A32" s="69"/>
      <c r="B32" s="70">
        <v>30</v>
      </c>
      <c r="C32" s="73" t="s">
        <v>1138</v>
      </c>
      <c r="D32" s="78" t="s">
        <v>1149</v>
      </c>
      <c r="E32" s="73" t="s">
        <v>1138</v>
      </c>
      <c r="F32" s="77">
        <v>7</v>
      </c>
      <c r="G32" s="75"/>
    </row>
    <row r="33" spans="1:7" ht="45" x14ac:dyDescent="0.25">
      <c r="A33" s="69"/>
      <c r="B33" s="70">
        <v>31</v>
      </c>
      <c r="C33" s="73" t="s">
        <v>1138</v>
      </c>
      <c r="D33" s="76" t="s">
        <v>1163</v>
      </c>
      <c r="E33" s="73" t="s">
        <v>1138</v>
      </c>
      <c r="F33" s="77">
        <v>12</v>
      </c>
      <c r="G33" s="75"/>
    </row>
    <row r="34" spans="1:7" ht="60" x14ac:dyDescent="0.25">
      <c r="A34" s="69"/>
      <c r="B34" s="70">
        <v>32</v>
      </c>
      <c r="C34" s="73" t="s">
        <v>1138</v>
      </c>
      <c r="D34" s="76" t="s">
        <v>1164</v>
      </c>
      <c r="E34" s="73" t="s">
        <v>1138</v>
      </c>
      <c r="F34" s="77">
        <v>25</v>
      </c>
      <c r="G34" s="75"/>
    </row>
    <row r="35" spans="1:7" ht="75" x14ac:dyDescent="0.25">
      <c r="A35" s="69"/>
      <c r="B35" s="70">
        <v>33</v>
      </c>
      <c r="C35" s="73" t="s">
        <v>1138</v>
      </c>
      <c r="D35" s="76" t="s">
        <v>1165</v>
      </c>
      <c r="E35" s="73" t="s">
        <v>1138</v>
      </c>
      <c r="F35" s="77">
        <v>9</v>
      </c>
      <c r="G35" s="75"/>
    </row>
    <row r="36" spans="1:7" ht="75" x14ac:dyDescent="0.25">
      <c r="A36" s="69"/>
      <c r="B36" s="70">
        <v>34</v>
      </c>
      <c r="C36" s="73" t="s">
        <v>1138</v>
      </c>
      <c r="D36" s="76" t="s">
        <v>1166</v>
      </c>
      <c r="E36" s="73" t="s">
        <v>1138</v>
      </c>
      <c r="F36" s="77">
        <v>24</v>
      </c>
      <c r="G36" s="75"/>
    </row>
    <row r="37" spans="1:7" ht="45" x14ac:dyDescent="0.25">
      <c r="A37" s="69"/>
      <c r="B37" s="70">
        <v>35</v>
      </c>
      <c r="C37" s="73" t="s">
        <v>1138</v>
      </c>
      <c r="D37" s="76" t="s">
        <v>1167</v>
      </c>
      <c r="E37" s="73" t="s">
        <v>1137</v>
      </c>
      <c r="F37" s="77">
        <v>20</v>
      </c>
      <c r="G37" s="75"/>
    </row>
    <row r="38" spans="1:7" x14ac:dyDescent="0.25">
      <c r="A38" s="69"/>
      <c r="B38" s="70">
        <v>36</v>
      </c>
      <c r="C38" s="73" t="s">
        <v>1138</v>
      </c>
      <c r="D38" s="78" t="s">
        <v>160</v>
      </c>
      <c r="E38" s="73" t="s">
        <v>1138</v>
      </c>
      <c r="F38" s="77">
        <v>10</v>
      </c>
      <c r="G38" s="75"/>
    </row>
    <row r="39" spans="1:7" ht="45" x14ac:dyDescent="0.25">
      <c r="A39" s="69"/>
      <c r="B39" s="70">
        <v>37</v>
      </c>
      <c r="C39" s="73" t="s">
        <v>1138</v>
      </c>
      <c r="D39" s="76" t="s">
        <v>1168</v>
      </c>
      <c r="E39" s="73" t="s">
        <v>1138</v>
      </c>
      <c r="F39" s="77">
        <v>28</v>
      </c>
      <c r="G39" s="75"/>
    </row>
    <row r="40" spans="1:7" ht="60" x14ac:dyDescent="0.25">
      <c r="A40" s="69"/>
      <c r="B40" s="70">
        <v>38</v>
      </c>
      <c r="C40" s="73" t="s">
        <v>1138</v>
      </c>
      <c r="D40" s="76" t="s">
        <v>1169</v>
      </c>
      <c r="E40" s="73" t="s">
        <v>1137</v>
      </c>
      <c r="F40" s="77">
        <v>24</v>
      </c>
      <c r="G40" s="75"/>
    </row>
    <row r="41" spans="1:7" ht="30" x14ac:dyDescent="0.25">
      <c r="A41" s="69"/>
      <c r="B41" s="70">
        <v>39</v>
      </c>
      <c r="C41" s="73" t="s">
        <v>1138</v>
      </c>
      <c r="D41" s="76" t="s">
        <v>1170</v>
      </c>
      <c r="E41" s="73" t="s">
        <v>1138</v>
      </c>
      <c r="F41" s="77">
        <v>16</v>
      </c>
      <c r="G41" s="75"/>
    </row>
    <row r="42" spans="1:7" x14ac:dyDescent="0.25">
      <c r="A42" s="69"/>
      <c r="B42" s="70">
        <v>40</v>
      </c>
      <c r="C42" s="73" t="s">
        <v>1138</v>
      </c>
      <c r="D42" s="78" t="s">
        <v>1171</v>
      </c>
      <c r="E42" s="73" t="s">
        <v>1138</v>
      </c>
      <c r="F42" s="77">
        <v>4</v>
      </c>
      <c r="G42" s="75"/>
    </row>
    <row r="43" spans="1:7" ht="60" x14ac:dyDescent="0.25">
      <c r="A43" s="69"/>
      <c r="B43" s="70">
        <v>41</v>
      </c>
      <c r="C43" s="73" t="s">
        <v>1138</v>
      </c>
      <c r="D43" s="76" t="s">
        <v>1172</v>
      </c>
      <c r="E43" s="73" t="s">
        <v>1138</v>
      </c>
      <c r="F43" s="77">
        <v>22</v>
      </c>
      <c r="G43" s="75"/>
    </row>
    <row r="44" spans="1:7" ht="45" x14ac:dyDescent="0.25">
      <c r="A44" s="69"/>
      <c r="B44" s="70">
        <v>42</v>
      </c>
      <c r="C44" s="73" t="s">
        <v>1138</v>
      </c>
      <c r="D44" s="76" t="s">
        <v>1173</v>
      </c>
      <c r="E44" s="73" t="s">
        <v>1137</v>
      </c>
      <c r="F44" s="77">
        <v>19</v>
      </c>
      <c r="G44" s="75"/>
    </row>
    <row r="45" spans="1:7" ht="88.9" customHeight="1" x14ac:dyDescent="0.25">
      <c r="A45" s="69"/>
      <c r="B45" s="70">
        <v>43</v>
      </c>
      <c r="C45" s="73" t="s">
        <v>1138</v>
      </c>
      <c r="D45" s="76" t="s">
        <v>1174</v>
      </c>
      <c r="E45" s="73" t="s">
        <v>1138</v>
      </c>
      <c r="F45" s="77">
        <v>30</v>
      </c>
      <c r="G45" s="75"/>
    </row>
    <row r="46" spans="1:7" ht="75" x14ac:dyDescent="0.25">
      <c r="A46" s="69"/>
      <c r="B46" s="70">
        <v>44</v>
      </c>
      <c r="C46" s="73" t="s">
        <v>1138</v>
      </c>
      <c r="D46" s="76" t="s">
        <v>1175</v>
      </c>
      <c r="E46" s="73" t="s">
        <v>1138</v>
      </c>
      <c r="F46" s="77">
        <v>20</v>
      </c>
      <c r="G46" s="75"/>
    </row>
    <row r="47" spans="1:7" x14ac:dyDescent="0.25">
      <c r="A47" s="69"/>
      <c r="B47" s="70">
        <v>45</v>
      </c>
      <c r="C47" s="73" t="s">
        <v>1138</v>
      </c>
      <c r="D47" s="78" t="s">
        <v>180</v>
      </c>
      <c r="E47" s="73" t="s">
        <v>1138</v>
      </c>
      <c r="F47" s="77">
        <v>4</v>
      </c>
      <c r="G47" s="75"/>
    </row>
    <row r="48" spans="1:7" x14ac:dyDescent="0.25">
      <c r="A48" s="69"/>
      <c r="B48" s="70">
        <v>46</v>
      </c>
      <c r="C48" s="73" t="s">
        <v>1138</v>
      </c>
      <c r="D48" s="78" t="s">
        <v>160</v>
      </c>
      <c r="E48" s="73" t="s">
        <v>1138</v>
      </c>
      <c r="F48" s="77">
        <v>7</v>
      </c>
      <c r="G48" s="75"/>
    </row>
    <row r="49" spans="1:8" x14ac:dyDescent="0.25">
      <c r="A49" s="69"/>
      <c r="B49" s="70">
        <v>47</v>
      </c>
      <c r="C49" s="73" t="s">
        <v>1138</v>
      </c>
      <c r="D49" s="78" t="s">
        <v>170</v>
      </c>
      <c r="E49" s="73" t="s">
        <v>1138</v>
      </c>
      <c r="F49" s="77">
        <v>14</v>
      </c>
      <c r="G49" s="75"/>
    </row>
    <row r="50" spans="1:8" x14ac:dyDescent="0.25">
      <c r="A50" s="69"/>
      <c r="B50" s="70">
        <v>48</v>
      </c>
      <c r="C50" s="73" t="s">
        <v>1138</v>
      </c>
      <c r="D50" s="78" t="s">
        <v>152</v>
      </c>
      <c r="E50" s="73" t="s">
        <v>1138</v>
      </c>
      <c r="F50" s="77">
        <v>6</v>
      </c>
      <c r="G50" s="75"/>
    </row>
    <row r="51" spans="1:8" ht="30" x14ac:dyDescent="0.25">
      <c r="A51" s="69"/>
      <c r="B51" s="70">
        <v>49</v>
      </c>
      <c r="C51" s="73" t="s">
        <v>1138</v>
      </c>
      <c r="D51" s="76" t="s">
        <v>1176</v>
      </c>
      <c r="E51" s="73" t="s">
        <v>1138</v>
      </c>
      <c r="F51" s="77">
        <v>24</v>
      </c>
      <c r="G51" s="75"/>
    </row>
    <row r="52" spans="1:8" ht="30" x14ac:dyDescent="0.25">
      <c r="A52" s="69"/>
      <c r="B52" s="70">
        <v>50</v>
      </c>
      <c r="C52" s="73" t="s">
        <v>1138</v>
      </c>
      <c r="D52" s="76" t="s">
        <v>1177</v>
      </c>
      <c r="E52" s="73" t="s">
        <v>1138</v>
      </c>
      <c r="F52" s="77">
        <v>20</v>
      </c>
      <c r="G52" s="75"/>
    </row>
    <row r="53" spans="1:8" ht="30" x14ac:dyDescent="0.25">
      <c r="A53" s="69"/>
      <c r="B53" s="79">
        <v>51</v>
      </c>
      <c r="C53" s="80" t="s">
        <v>1138</v>
      </c>
      <c r="D53" s="81" t="s">
        <v>1178</v>
      </c>
      <c r="E53" s="80" t="s">
        <v>1138</v>
      </c>
      <c r="F53" s="82">
        <v>16</v>
      </c>
      <c r="G53" s="83"/>
    </row>
    <row r="57" spans="1:8" ht="30" x14ac:dyDescent="0.25">
      <c r="C57" s="84" t="s">
        <v>3</v>
      </c>
      <c r="D57" s="85"/>
      <c r="E57" s="86" t="s">
        <v>1179</v>
      </c>
      <c r="F57" s="86" t="s">
        <v>1180</v>
      </c>
      <c r="G57" s="87" t="s">
        <v>1181</v>
      </c>
      <c r="H57" s="88" t="s">
        <v>1182</v>
      </c>
    </row>
    <row r="58" spans="1:8" x14ac:dyDescent="0.25">
      <c r="C58" s="89" t="s">
        <v>1183</v>
      </c>
      <c r="D58" s="90" t="s">
        <v>1184</v>
      </c>
      <c r="E58" s="71" t="s">
        <v>1185</v>
      </c>
      <c r="F58" s="71" t="s">
        <v>1137</v>
      </c>
      <c r="G58" s="91" t="s">
        <v>1140</v>
      </c>
      <c r="H58" s="92"/>
    </row>
    <row r="59" spans="1:8" x14ac:dyDescent="0.25">
      <c r="C59" s="70" t="s">
        <v>1186</v>
      </c>
      <c r="D59" s="93" t="s">
        <v>1187</v>
      </c>
      <c r="E59" s="73" t="s">
        <v>1185</v>
      </c>
      <c r="F59" s="73" t="s">
        <v>1137</v>
      </c>
      <c r="G59" s="94" t="s">
        <v>1137</v>
      </c>
      <c r="H59" s="92"/>
    </row>
    <row r="60" spans="1:8" x14ac:dyDescent="0.25">
      <c r="C60" s="70" t="s">
        <v>1188</v>
      </c>
      <c r="D60" s="93" t="s">
        <v>1189</v>
      </c>
      <c r="E60" s="73" t="s">
        <v>1185</v>
      </c>
      <c r="F60" s="73" t="s">
        <v>1137</v>
      </c>
      <c r="G60" s="94" t="s">
        <v>1137</v>
      </c>
      <c r="H60" s="92"/>
    </row>
    <row r="61" spans="1:8" x14ac:dyDescent="0.25">
      <c r="C61" s="70" t="s">
        <v>1190</v>
      </c>
      <c r="D61" s="93" t="s">
        <v>1191</v>
      </c>
      <c r="E61" s="73" t="s">
        <v>1192</v>
      </c>
      <c r="F61" s="73" t="s">
        <v>1137</v>
      </c>
      <c r="G61" s="94" t="s">
        <v>1137</v>
      </c>
      <c r="H61" s="92"/>
    </row>
    <row r="62" spans="1:8" x14ac:dyDescent="0.25">
      <c r="C62" s="70" t="s">
        <v>1193</v>
      </c>
      <c r="D62" s="93" t="s">
        <v>1194</v>
      </c>
      <c r="E62" s="73">
        <v>1</v>
      </c>
      <c r="F62" s="73" t="s">
        <v>1137</v>
      </c>
      <c r="G62" s="94" t="s">
        <v>1140</v>
      </c>
      <c r="H62" s="92"/>
    </row>
    <row r="63" spans="1:8" x14ac:dyDescent="0.25">
      <c r="C63" s="70" t="s">
        <v>1195</v>
      </c>
      <c r="D63" s="93" t="s">
        <v>1196</v>
      </c>
      <c r="E63" s="73">
        <v>1</v>
      </c>
      <c r="F63" s="73" t="s">
        <v>1137</v>
      </c>
      <c r="G63" s="94" t="s">
        <v>1137</v>
      </c>
      <c r="H63" s="92"/>
    </row>
    <row r="64" spans="1:8" x14ac:dyDescent="0.25">
      <c r="C64" s="70" t="s">
        <v>1197</v>
      </c>
      <c r="D64" s="93" t="s">
        <v>1198</v>
      </c>
      <c r="E64" s="73">
        <v>2</v>
      </c>
      <c r="F64" s="73" t="s">
        <v>1137</v>
      </c>
      <c r="G64" s="94" t="s">
        <v>1137</v>
      </c>
      <c r="H64" s="92"/>
    </row>
    <row r="65" spans="3:8" x14ac:dyDescent="0.25">
      <c r="C65" s="70" t="s">
        <v>1199</v>
      </c>
      <c r="D65" s="93" t="s">
        <v>1200</v>
      </c>
      <c r="E65" s="73">
        <v>2</v>
      </c>
      <c r="F65" s="73" t="s">
        <v>1137</v>
      </c>
      <c r="G65" s="94" t="s">
        <v>1137</v>
      </c>
      <c r="H65" s="92"/>
    </row>
    <row r="66" spans="3:8" x14ac:dyDescent="0.25">
      <c r="C66" s="70" t="s">
        <v>1201</v>
      </c>
      <c r="D66" s="93" t="s">
        <v>1202</v>
      </c>
      <c r="E66" s="73">
        <v>2</v>
      </c>
      <c r="F66" s="73" t="s">
        <v>1137</v>
      </c>
      <c r="G66" s="94" t="s">
        <v>1137</v>
      </c>
      <c r="H66" s="92"/>
    </row>
    <row r="67" spans="3:8" x14ac:dyDescent="0.25">
      <c r="C67" s="70" t="s">
        <v>1203</v>
      </c>
      <c r="D67" s="93" t="s">
        <v>131</v>
      </c>
      <c r="E67" s="73">
        <v>2</v>
      </c>
      <c r="F67" s="73" t="s">
        <v>1137</v>
      </c>
      <c r="G67" s="94" t="s">
        <v>1140</v>
      </c>
      <c r="H67" s="92"/>
    </row>
    <row r="68" spans="3:8" x14ac:dyDescent="0.25">
      <c r="C68" s="70" t="s">
        <v>1204</v>
      </c>
      <c r="D68" s="93" t="s">
        <v>978</v>
      </c>
      <c r="E68" s="73">
        <v>3</v>
      </c>
      <c r="F68" s="73" t="s">
        <v>1137</v>
      </c>
      <c r="G68" s="94" t="s">
        <v>1140</v>
      </c>
      <c r="H68" s="92"/>
    </row>
    <row r="69" spans="3:8" x14ac:dyDescent="0.25">
      <c r="C69" s="70" t="s">
        <v>1205</v>
      </c>
      <c r="D69" s="93" t="s">
        <v>1206</v>
      </c>
      <c r="E69" s="73">
        <v>4</v>
      </c>
      <c r="F69" s="73" t="s">
        <v>1140</v>
      </c>
      <c r="G69" s="94" t="s">
        <v>1138</v>
      </c>
      <c r="H69" s="92"/>
    </row>
    <row r="70" spans="3:8" x14ac:dyDescent="0.25">
      <c r="C70" s="70" t="s">
        <v>1207</v>
      </c>
      <c r="D70" s="93" t="s">
        <v>1208</v>
      </c>
      <c r="E70" s="73">
        <v>4</v>
      </c>
      <c r="F70" s="73" t="s">
        <v>1140</v>
      </c>
      <c r="G70" s="94" t="s">
        <v>1138</v>
      </c>
      <c r="H70" s="92"/>
    </row>
    <row r="71" spans="3:8" x14ac:dyDescent="0.25">
      <c r="C71" s="70" t="s">
        <v>1209</v>
      </c>
      <c r="D71" s="93" t="s">
        <v>1210</v>
      </c>
      <c r="E71" s="73">
        <v>4</v>
      </c>
      <c r="F71" s="73" t="s">
        <v>1140</v>
      </c>
      <c r="G71" s="94" t="s">
        <v>1138</v>
      </c>
      <c r="H71" s="92"/>
    </row>
    <row r="72" spans="3:8" x14ac:dyDescent="0.25">
      <c r="C72" s="70" t="s">
        <v>1211</v>
      </c>
      <c r="D72" s="93" t="s">
        <v>1212</v>
      </c>
      <c r="E72" s="73" t="s">
        <v>1192</v>
      </c>
      <c r="F72" s="73" t="s">
        <v>1138</v>
      </c>
      <c r="G72" s="94" t="s">
        <v>1138</v>
      </c>
      <c r="H72" s="92"/>
    </row>
    <row r="73" spans="3:8" x14ac:dyDescent="0.25">
      <c r="C73" s="70" t="s">
        <v>1213</v>
      </c>
      <c r="D73" s="93" t="s">
        <v>1214</v>
      </c>
      <c r="E73" s="73" t="s">
        <v>1192</v>
      </c>
      <c r="F73" s="73" t="s">
        <v>1138</v>
      </c>
      <c r="G73" s="94" t="s">
        <v>1138</v>
      </c>
      <c r="H73" s="92" t="s">
        <v>1215</v>
      </c>
    </row>
    <row r="74" spans="3:8" x14ac:dyDescent="0.25">
      <c r="C74" s="70" t="s">
        <v>1216</v>
      </c>
      <c r="D74" s="93" t="s">
        <v>1217</v>
      </c>
      <c r="E74" s="73" t="s">
        <v>1192</v>
      </c>
      <c r="F74" s="73" t="s">
        <v>1138</v>
      </c>
      <c r="G74" s="94" t="s">
        <v>1138</v>
      </c>
      <c r="H74" s="92" t="s">
        <v>1218</v>
      </c>
    </row>
    <row r="75" spans="3:8" x14ac:dyDescent="0.25">
      <c r="C75" s="70" t="s">
        <v>1219</v>
      </c>
      <c r="D75" s="93" t="s">
        <v>1220</v>
      </c>
      <c r="E75" s="73" t="s">
        <v>1192</v>
      </c>
      <c r="F75" s="73" t="s">
        <v>1138</v>
      </c>
      <c r="G75" s="94" t="s">
        <v>1138</v>
      </c>
      <c r="H75" s="92" t="s">
        <v>1218</v>
      </c>
    </row>
    <row r="76" spans="3:8" x14ac:dyDescent="0.25">
      <c r="C76" s="70" t="s">
        <v>1221</v>
      </c>
      <c r="D76" s="93" t="s">
        <v>1222</v>
      </c>
      <c r="E76" s="73" t="s">
        <v>1192</v>
      </c>
      <c r="F76" s="73" t="s">
        <v>1138</v>
      </c>
      <c r="G76" s="94" t="s">
        <v>1138</v>
      </c>
      <c r="H76" s="92" t="s">
        <v>1223</v>
      </c>
    </row>
    <row r="77" spans="3:8" x14ac:dyDescent="0.25">
      <c r="C77" s="70" t="s">
        <v>1224</v>
      </c>
      <c r="D77" s="93" t="s">
        <v>1225</v>
      </c>
      <c r="E77" s="73">
        <v>7</v>
      </c>
      <c r="F77" s="73" t="s">
        <v>1140</v>
      </c>
      <c r="G77" s="94" t="s">
        <v>1138</v>
      </c>
      <c r="H77" s="92"/>
    </row>
    <row r="78" spans="3:8" x14ac:dyDescent="0.25">
      <c r="C78" s="70" t="s">
        <v>1226</v>
      </c>
      <c r="D78" s="93" t="s">
        <v>1227</v>
      </c>
      <c r="E78" s="73" t="s">
        <v>1192</v>
      </c>
      <c r="F78" s="73" t="s">
        <v>1138</v>
      </c>
      <c r="G78" s="94" t="s">
        <v>1138</v>
      </c>
      <c r="H78" s="92"/>
    </row>
    <row r="79" spans="3:8" x14ac:dyDescent="0.25">
      <c r="C79" s="70" t="s">
        <v>1228</v>
      </c>
      <c r="D79" s="93" t="s">
        <v>1229</v>
      </c>
      <c r="E79" s="73" t="s">
        <v>1192</v>
      </c>
      <c r="F79" s="73" t="s">
        <v>1138</v>
      </c>
      <c r="G79" s="94" t="s">
        <v>1138</v>
      </c>
      <c r="H79" s="92" t="s">
        <v>1230</v>
      </c>
    </row>
    <row r="80" spans="3:8" x14ac:dyDescent="0.25">
      <c r="C80" s="70" t="s">
        <v>1231</v>
      </c>
      <c r="D80" s="93" t="s">
        <v>1232</v>
      </c>
      <c r="E80" s="73">
        <v>3</v>
      </c>
      <c r="F80" s="73" t="s">
        <v>1138</v>
      </c>
      <c r="G80" s="94" t="s">
        <v>1138</v>
      </c>
      <c r="H80" s="92"/>
    </row>
    <row r="81" spans="3:8" x14ac:dyDescent="0.25">
      <c r="C81" s="70" t="s">
        <v>1233</v>
      </c>
      <c r="D81" s="93" t="s">
        <v>1234</v>
      </c>
      <c r="E81" s="73">
        <v>7</v>
      </c>
      <c r="F81" s="73" t="s">
        <v>1140</v>
      </c>
      <c r="G81" s="94" t="s">
        <v>1138</v>
      </c>
      <c r="H81" s="92"/>
    </row>
    <row r="82" spans="3:8" x14ac:dyDescent="0.25">
      <c r="C82" s="70" t="s">
        <v>1235</v>
      </c>
      <c r="D82" s="93" t="s">
        <v>1236</v>
      </c>
      <c r="E82" s="73" t="s">
        <v>1185</v>
      </c>
      <c r="F82" s="73" t="s">
        <v>1138</v>
      </c>
      <c r="G82" s="94" t="s">
        <v>1138</v>
      </c>
      <c r="H82" s="92" t="s">
        <v>1218</v>
      </c>
    </row>
    <row r="83" spans="3:8" x14ac:dyDescent="0.25">
      <c r="C83" s="70" t="s">
        <v>1237</v>
      </c>
      <c r="D83" s="93" t="s">
        <v>1238</v>
      </c>
      <c r="E83" s="73">
        <v>5</v>
      </c>
      <c r="F83" s="73" t="s">
        <v>1140</v>
      </c>
      <c r="G83" s="94" t="s">
        <v>1138</v>
      </c>
      <c r="H83" s="92"/>
    </row>
    <row r="84" spans="3:8" ht="30" x14ac:dyDescent="0.25">
      <c r="C84" s="70" t="s">
        <v>1239</v>
      </c>
      <c r="D84" s="93" t="s">
        <v>1240</v>
      </c>
      <c r="E84" s="73">
        <v>5</v>
      </c>
      <c r="F84" s="73" t="s">
        <v>1140</v>
      </c>
      <c r="G84" s="94" t="s">
        <v>1138</v>
      </c>
      <c r="H84" s="92"/>
    </row>
    <row r="85" spans="3:8" x14ac:dyDescent="0.25">
      <c r="C85" s="70" t="s">
        <v>1241</v>
      </c>
      <c r="D85" s="93" t="s">
        <v>1242</v>
      </c>
      <c r="E85" s="73">
        <v>5</v>
      </c>
      <c r="F85" s="73" t="s">
        <v>1140</v>
      </c>
      <c r="G85" s="94" t="s">
        <v>1138</v>
      </c>
      <c r="H85" s="92"/>
    </row>
    <row r="86" spans="3:8" x14ac:dyDescent="0.25">
      <c r="C86" s="70" t="s">
        <v>1243</v>
      </c>
      <c r="D86" s="93" t="s">
        <v>1244</v>
      </c>
      <c r="E86" s="73">
        <v>6</v>
      </c>
      <c r="F86" s="73" t="s">
        <v>1138</v>
      </c>
      <c r="G86" s="94" t="s">
        <v>1138</v>
      </c>
      <c r="H86" s="92" t="s">
        <v>1230</v>
      </c>
    </row>
    <row r="87" spans="3:8" x14ac:dyDescent="0.25">
      <c r="C87" s="70" t="s">
        <v>1245</v>
      </c>
      <c r="D87" s="93" t="s">
        <v>1246</v>
      </c>
      <c r="E87" s="73" t="s">
        <v>1247</v>
      </c>
      <c r="F87" s="73" t="s">
        <v>1137</v>
      </c>
      <c r="G87" s="94" t="s">
        <v>1137</v>
      </c>
      <c r="H87" s="92"/>
    </row>
    <row r="88" spans="3:8" x14ac:dyDescent="0.25">
      <c r="C88" s="70" t="s">
        <v>1248</v>
      </c>
      <c r="D88" s="93" t="s">
        <v>1249</v>
      </c>
      <c r="E88" s="73">
        <v>6</v>
      </c>
      <c r="F88" s="73" t="s">
        <v>1138</v>
      </c>
      <c r="G88" s="94" t="s">
        <v>1138</v>
      </c>
      <c r="H88" s="92"/>
    </row>
    <row r="89" spans="3:8" x14ac:dyDescent="0.25">
      <c r="C89" s="70" t="s">
        <v>1250</v>
      </c>
      <c r="D89" s="93" t="s">
        <v>1251</v>
      </c>
      <c r="E89" s="73" t="s">
        <v>1192</v>
      </c>
      <c r="F89" s="73" t="s">
        <v>1138</v>
      </c>
      <c r="G89" s="94" t="s">
        <v>1138</v>
      </c>
      <c r="H89" s="92"/>
    </row>
    <row r="90" spans="3:8" x14ac:dyDescent="0.25">
      <c r="C90" s="70" t="s">
        <v>1252</v>
      </c>
      <c r="D90" s="93" t="s">
        <v>1253</v>
      </c>
      <c r="E90" s="73" t="s">
        <v>1247</v>
      </c>
      <c r="F90" s="73" t="s">
        <v>1137</v>
      </c>
      <c r="G90" s="94" t="s">
        <v>1137</v>
      </c>
      <c r="H90" s="92"/>
    </row>
    <row r="91" spans="3:8" x14ac:dyDescent="0.25">
      <c r="C91" s="70" t="s">
        <v>1254</v>
      </c>
      <c r="D91" s="93" t="s">
        <v>1255</v>
      </c>
      <c r="E91" s="73" t="s">
        <v>1247</v>
      </c>
      <c r="F91" s="73" t="s">
        <v>1137</v>
      </c>
      <c r="G91" s="94" t="s">
        <v>1137</v>
      </c>
      <c r="H91" s="92"/>
    </row>
    <row r="92" spans="3:8" ht="30" x14ac:dyDescent="0.25">
      <c r="C92" s="70" t="s">
        <v>1256</v>
      </c>
      <c r="D92" s="93" t="s">
        <v>1257</v>
      </c>
      <c r="E92" s="73" t="s">
        <v>1192</v>
      </c>
      <c r="F92" s="73" t="s">
        <v>1138</v>
      </c>
      <c r="G92" s="94" t="s">
        <v>1138</v>
      </c>
      <c r="H92" s="92" t="s">
        <v>1230</v>
      </c>
    </row>
    <row r="93" spans="3:8" ht="30" x14ac:dyDescent="0.25">
      <c r="C93" s="70" t="s">
        <v>1258</v>
      </c>
      <c r="D93" s="93" t="s">
        <v>1259</v>
      </c>
      <c r="E93" s="73" t="s">
        <v>1247</v>
      </c>
      <c r="F93" s="73" t="s">
        <v>1137</v>
      </c>
      <c r="G93" s="94" t="s">
        <v>1137</v>
      </c>
      <c r="H93" s="92"/>
    </row>
    <row r="94" spans="3:8" x14ac:dyDescent="0.25">
      <c r="C94" s="79" t="s">
        <v>1260</v>
      </c>
      <c r="D94" s="95" t="s">
        <v>1261</v>
      </c>
      <c r="E94" s="80" t="s">
        <v>1192</v>
      </c>
      <c r="F94" s="80" t="s">
        <v>1138</v>
      </c>
      <c r="G94" s="96" t="s">
        <v>1138</v>
      </c>
      <c r="H94" s="97" t="s">
        <v>1218</v>
      </c>
    </row>
  </sheetData>
  <mergeCells count="1">
    <mergeCell ref="C57:D57"/>
  </mergeCells>
  <conditionalFormatting sqref="C3:C53">
    <cfRule type="containsText" dxfId="23" priority="13" stopIfTrue="1" operator="containsText" text="Yes">
      <formula>NOT(ISERROR(SEARCH("Yes",C3)))</formula>
    </cfRule>
    <cfRule type="containsText" dxfId="22" priority="14" stopIfTrue="1" operator="containsText" text="In Progress">
      <formula>NOT(ISERROR(SEARCH("In Progress",C3)))</formula>
    </cfRule>
    <cfRule type="containsText" dxfId="21" priority="15" stopIfTrue="1" operator="containsText" text="No">
      <formula>NOT(ISERROR(SEARCH("No",C3)))</formula>
    </cfRule>
    <cfRule type="containsText" dxfId="20" priority="16" operator="containsText" text="Yes">
      <formula>NOT(ISERROR(SEARCH("Yes",C3)))</formula>
    </cfRule>
    <cfRule type="containsText" dxfId="19" priority="17" operator="containsText" text="In Progress">
      <formula>NOT(ISERROR(SEARCH("In Progress",C3)))</formula>
    </cfRule>
    <cfRule type="containsText" dxfId="18" priority="18" operator="containsText" text="No">
      <formula>NOT(ISERROR(SEARCH("No",C3)))</formula>
    </cfRule>
  </conditionalFormatting>
  <conditionalFormatting sqref="E3:E53">
    <cfRule type="containsText" dxfId="17" priority="7" stopIfTrue="1" operator="containsText" text="Yes">
      <formula>NOT(ISERROR(SEARCH("Yes",E3)))</formula>
    </cfRule>
    <cfRule type="containsText" dxfId="16" priority="8" stopIfTrue="1" operator="containsText" text="In Progress">
      <formula>NOT(ISERROR(SEARCH("In Progress",E3)))</formula>
    </cfRule>
    <cfRule type="containsText" dxfId="15" priority="9" stopIfTrue="1" operator="containsText" text="No">
      <formula>NOT(ISERROR(SEARCH("No",E3)))</formula>
    </cfRule>
    <cfRule type="containsText" dxfId="14" priority="10" operator="containsText" text="Yes">
      <formula>NOT(ISERROR(SEARCH("Yes",E3)))</formula>
    </cfRule>
    <cfRule type="containsText" dxfId="13" priority="11" operator="containsText" text="In Progress">
      <formula>NOT(ISERROR(SEARCH("In Progress",E3)))</formula>
    </cfRule>
    <cfRule type="containsText" dxfId="12" priority="12" operator="containsText" text="No">
      <formula>NOT(ISERROR(SEARCH("No",E3)))</formula>
    </cfRule>
  </conditionalFormatting>
  <conditionalFormatting sqref="F58:G94">
    <cfRule type="containsText" dxfId="11" priority="1" operator="containsText" text="Yes">
      <formula>NOT(ISERROR(SEARCH("Yes",F58)))</formula>
    </cfRule>
    <cfRule type="containsText" dxfId="10" priority="2" operator="containsText" text="In Progress">
      <formula>NOT(ISERROR(SEARCH("In Progress",F58)))</formula>
    </cfRule>
    <cfRule type="containsText" dxfId="9" priority="3" operator="containsText" text="No">
      <formula>NOT(ISERROR(SEARCH("No",F58)))</formula>
    </cfRule>
  </conditionalFormatting>
  <conditionalFormatting sqref="F58:G94">
    <cfRule type="containsText" dxfId="8" priority="4" operator="containsText" text="Yes">
      <formula>NOT(ISERROR(SEARCH("Yes",F58)))</formula>
    </cfRule>
    <cfRule type="containsText" dxfId="7" priority="5" operator="containsText" text="In Progress">
      <formula>NOT(ISERROR(SEARCH("In Progress",F58)))</formula>
    </cfRule>
    <cfRule type="containsText" dxfId="6" priority="6" operator="containsText" text="No">
      <formula>NOT(ISERROR(SEARCH("No",F58)))</formula>
    </cfRule>
  </conditionalFormatting>
  <dataValidations count="1">
    <dataValidation type="list" allowBlank="1" showInputMessage="1" showErrorMessage="1" sqref="C3:C53 E3:E53 F58:G94" xr:uid="{58B80A9B-2A0A-40A4-8965-5827D9E0A331}">
      <formula1>$U$2:$U$4</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730248-A063-4F33-9766-08AF3807F9EE}">
  <sheetPr>
    <tabColor rgb="FFFFFF00"/>
  </sheetPr>
  <dimension ref="B2:G39"/>
  <sheetViews>
    <sheetView workbookViewId="0">
      <selection activeCell="B34" sqref="B34:B37"/>
    </sheetView>
  </sheetViews>
  <sheetFormatPr defaultRowHeight="15" x14ac:dyDescent="0.25"/>
  <cols>
    <col min="2" max="2" width="12.5703125" customWidth="1"/>
    <col min="3" max="3" width="50.5703125" customWidth="1"/>
    <col min="4" max="4" width="21.7109375" customWidth="1"/>
    <col min="5" max="5" width="16.42578125" customWidth="1"/>
    <col min="6" max="6" width="18.5703125" customWidth="1"/>
    <col min="7" max="7" width="45.85546875" customWidth="1"/>
  </cols>
  <sheetData>
    <row r="2" spans="2:7" ht="30" x14ac:dyDescent="0.25">
      <c r="B2" s="84" t="s">
        <v>3</v>
      </c>
      <c r="C2" s="85"/>
      <c r="D2" s="86" t="s">
        <v>1179</v>
      </c>
      <c r="E2" s="86" t="s">
        <v>1180</v>
      </c>
      <c r="F2" s="87" t="s">
        <v>1181</v>
      </c>
      <c r="G2" s="88" t="s">
        <v>1182</v>
      </c>
    </row>
    <row r="3" spans="2:7" x14ac:dyDescent="0.25">
      <c r="B3" s="89" t="s">
        <v>1183</v>
      </c>
      <c r="C3" s="90" t="s">
        <v>1184</v>
      </c>
      <c r="D3" s="71" t="s">
        <v>1185</v>
      </c>
      <c r="E3" s="71" t="s">
        <v>1137</v>
      </c>
      <c r="F3" s="91" t="s">
        <v>1140</v>
      </c>
      <c r="G3" s="92"/>
    </row>
    <row r="4" spans="2:7" x14ac:dyDescent="0.25">
      <c r="B4" s="70" t="s">
        <v>1186</v>
      </c>
      <c r="C4" s="93" t="s">
        <v>1187</v>
      </c>
      <c r="D4" s="73" t="s">
        <v>1185</v>
      </c>
      <c r="E4" s="73" t="s">
        <v>1137</v>
      </c>
      <c r="F4" s="94" t="s">
        <v>1137</v>
      </c>
      <c r="G4" s="92"/>
    </row>
    <row r="5" spans="2:7" ht="30" x14ac:dyDescent="0.25">
      <c r="B5" s="70" t="s">
        <v>1188</v>
      </c>
      <c r="C5" s="93" t="s">
        <v>1189</v>
      </c>
      <c r="D5" s="73" t="s">
        <v>1185</v>
      </c>
      <c r="E5" s="73" t="s">
        <v>1137</v>
      </c>
      <c r="F5" s="94" t="s">
        <v>1137</v>
      </c>
      <c r="G5" s="92"/>
    </row>
    <row r="6" spans="2:7" x14ac:dyDescent="0.25">
      <c r="B6" s="70" t="s">
        <v>1190</v>
      </c>
      <c r="C6" s="93" t="s">
        <v>1191</v>
      </c>
      <c r="D6" s="73" t="s">
        <v>1192</v>
      </c>
      <c r="E6" s="73" t="s">
        <v>1137</v>
      </c>
      <c r="F6" s="94" t="s">
        <v>1137</v>
      </c>
      <c r="G6" s="92"/>
    </row>
    <row r="7" spans="2:7" x14ac:dyDescent="0.25">
      <c r="B7" s="70" t="s">
        <v>1193</v>
      </c>
      <c r="C7" s="93" t="s">
        <v>1194</v>
      </c>
      <c r="D7" s="73">
        <v>1</v>
      </c>
      <c r="E7" s="73" t="s">
        <v>1137</v>
      </c>
      <c r="F7" s="94" t="s">
        <v>1140</v>
      </c>
      <c r="G7" s="92" t="s">
        <v>1262</v>
      </c>
    </row>
    <row r="8" spans="2:7" x14ac:dyDescent="0.25">
      <c r="B8" s="70" t="s">
        <v>1195</v>
      </c>
      <c r="C8" s="93" t="s">
        <v>1196</v>
      </c>
      <c r="D8" s="73">
        <v>1</v>
      </c>
      <c r="E8" s="73" t="s">
        <v>1137</v>
      </c>
      <c r="F8" s="94" t="s">
        <v>1137</v>
      </c>
      <c r="G8" s="92"/>
    </row>
    <row r="9" spans="2:7" x14ac:dyDescent="0.25">
      <c r="B9" s="70" t="s">
        <v>1197</v>
      </c>
      <c r="C9" s="93" t="s">
        <v>1198</v>
      </c>
      <c r="D9" s="73">
        <v>2</v>
      </c>
      <c r="E9" s="73" t="s">
        <v>1137</v>
      </c>
      <c r="F9" s="94" t="s">
        <v>1137</v>
      </c>
      <c r="G9" s="92"/>
    </row>
    <row r="10" spans="2:7" x14ac:dyDescent="0.25">
      <c r="B10" s="70" t="s">
        <v>1199</v>
      </c>
      <c r="C10" s="93" t="s">
        <v>1200</v>
      </c>
      <c r="D10" s="73">
        <v>2</v>
      </c>
      <c r="E10" s="73" t="s">
        <v>1137</v>
      </c>
      <c r="F10" s="94" t="s">
        <v>1137</v>
      </c>
      <c r="G10" s="92"/>
    </row>
    <row r="11" spans="2:7" x14ac:dyDescent="0.25">
      <c r="B11" s="70" t="s">
        <v>1201</v>
      </c>
      <c r="C11" s="93" t="s">
        <v>1202</v>
      </c>
      <c r="D11" s="73">
        <v>2</v>
      </c>
      <c r="E11" s="73" t="s">
        <v>1137</v>
      </c>
      <c r="F11" s="94" t="s">
        <v>1137</v>
      </c>
      <c r="G11" s="92"/>
    </row>
    <row r="12" spans="2:7" x14ac:dyDescent="0.25">
      <c r="B12" s="70" t="s">
        <v>1203</v>
      </c>
      <c r="C12" s="93" t="s">
        <v>131</v>
      </c>
      <c r="D12" s="73">
        <v>2</v>
      </c>
      <c r="E12" s="73" t="s">
        <v>1137</v>
      </c>
      <c r="F12" s="94" t="s">
        <v>1140</v>
      </c>
      <c r="G12" s="92" t="s">
        <v>1263</v>
      </c>
    </row>
    <row r="13" spans="2:7" x14ac:dyDescent="0.25">
      <c r="B13" s="70" t="s">
        <v>1204</v>
      </c>
      <c r="C13" s="93" t="s">
        <v>978</v>
      </c>
      <c r="D13" s="73">
        <v>3</v>
      </c>
      <c r="E13" s="73" t="s">
        <v>1137</v>
      </c>
      <c r="F13" s="94" t="s">
        <v>1140</v>
      </c>
      <c r="G13" s="92" t="s">
        <v>1264</v>
      </c>
    </row>
    <row r="14" spans="2:7" x14ac:dyDescent="0.25">
      <c r="B14" s="70" t="s">
        <v>1205</v>
      </c>
      <c r="C14" s="93" t="s">
        <v>1206</v>
      </c>
      <c r="D14" s="73">
        <v>4</v>
      </c>
      <c r="E14" s="73" t="s">
        <v>1140</v>
      </c>
      <c r="F14" s="94" t="s">
        <v>1138</v>
      </c>
      <c r="G14" s="92"/>
    </row>
    <row r="15" spans="2:7" x14ac:dyDescent="0.25">
      <c r="B15" s="70" t="s">
        <v>1207</v>
      </c>
      <c r="C15" s="93" t="s">
        <v>1208</v>
      </c>
      <c r="D15" s="73">
        <v>4</v>
      </c>
      <c r="E15" s="73" t="s">
        <v>1140</v>
      </c>
      <c r="F15" s="94" t="s">
        <v>1138</v>
      </c>
      <c r="G15" s="92"/>
    </row>
    <row r="16" spans="2:7" x14ac:dyDescent="0.25">
      <c r="B16" s="70" t="s">
        <v>1209</v>
      </c>
      <c r="C16" s="93" t="s">
        <v>1210</v>
      </c>
      <c r="D16" s="73">
        <v>4</v>
      </c>
      <c r="E16" s="73" t="s">
        <v>1140</v>
      </c>
      <c r="F16" s="94" t="s">
        <v>1138</v>
      </c>
      <c r="G16" s="92"/>
    </row>
    <row r="17" spans="2:7" x14ac:dyDescent="0.25">
      <c r="B17" s="70" t="s">
        <v>1211</v>
      </c>
      <c r="C17" s="93" t="s">
        <v>1212</v>
      </c>
      <c r="D17" s="73" t="s">
        <v>1192</v>
      </c>
      <c r="E17" s="73" t="s">
        <v>1138</v>
      </c>
      <c r="F17" s="94" t="s">
        <v>1138</v>
      </c>
      <c r="G17" s="92"/>
    </row>
    <row r="18" spans="2:7" x14ac:dyDescent="0.25">
      <c r="B18" s="70" t="s">
        <v>1213</v>
      </c>
      <c r="C18" s="93" t="s">
        <v>1214</v>
      </c>
      <c r="D18" s="73" t="s">
        <v>1192</v>
      </c>
      <c r="E18" s="73" t="s">
        <v>1138</v>
      </c>
      <c r="F18" s="94" t="s">
        <v>1138</v>
      </c>
      <c r="G18" s="92" t="s">
        <v>1215</v>
      </c>
    </row>
    <row r="19" spans="2:7" x14ac:dyDescent="0.25">
      <c r="B19" s="70" t="s">
        <v>1216</v>
      </c>
      <c r="C19" s="93" t="s">
        <v>1217</v>
      </c>
      <c r="D19" s="73" t="s">
        <v>1192</v>
      </c>
      <c r="E19" s="73" t="s">
        <v>1138</v>
      </c>
      <c r="F19" s="94" t="s">
        <v>1138</v>
      </c>
      <c r="G19" s="92" t="s">
        <v>1218</v>
      </c>
    </row>
    <row r="20" spans="2:7" x14ac:dyDescent="0.25">
      <c r="B20" s="70" t="s">
        <v>1219</v>
      </c>
      <c r="C20" s="93" t="s">
        <v>1220</v>
      </c>
      <c r="D20" s="73" t="s">
        <v>1192</v>
      </c>
      <c r="E20" s="73" t="s">
        <v>1138</v>
      </c>
      <c r="F20" s="94" t="s">
        <v>1138</v>
      </c>
      <c r="G20" s="92" t="s">
        <v>1218</v>
      </c>
    </row>
    <row r="21" spans="2:7" x14ac:dyDescent="0.25">
      <c r="B21" s="70" t="s">
        <v>1221</v>
      </c>
      <c r="C21" s="93" t="s">
        <v>1222</v>
      </c>
      <c r="D21" s="73" t="s">
        <v>1192</v>
      </c>
      <c r="E21" s="73" t="s">
        <v>1138</v>
      </c>
      <c r="F21" s="94" t="s">
        <v>1138</v>
      </c>
      <c r="G21" s="92" t="s">
        <v>1223</v>
      </c>
    </row>
    <row r="22" spans="2:7" x14ac:dyDescent="0.25">
      <c r="B22" s="70" t="s">
        <v>1224</v>
      </c>
      <c r="C22" s="93" t="s">
        <v>1225</v>
      </c>
      <c r="D22" s="73">
        <v>7</v>
      </c>
      <c r="E22" s="73" t="s">
        <v>1140</v>
      </c>
      <c r="F22" s="94" t="s">
        <v>1138</v>
      </c>
      <c r="G22" s="92"/>
    </row>
    <row r="23" spans="2:7" x14ac:dyDescent="0.25">
      <c r="B23" s="70" t="s">
        <v>1226</v>
      </c>
      <c r="C23" s="93" t="s">
        <v>1227</v>
      </c>
      <c r="D23" s="73" t="s">
        <v>1192</v>
      </c>
      <c r="E23" s="73" t="s">
        <v>1138</v>
      </c>
      <c r="F23" s="94" t="s">
        <v>1138</v>
      </c>
      <c r="G23" s="92"/>
    </row>
    <row r="24" spans="2:7" x14ac:dyDescent="0.25">
      <c r="B24" s="70" t="s">
        <v>1228</v>
      </c>
      <c r="C24" s="93" t="s">
        <v>1229</v>
      </c>
      <c r="D24" s="73" t="s">
        <v>1192</v>
      </c>
      <c r="E24" s="73" t="s">
        <v>1138</v>
      </c>
      <c r="F24" s="94" t="s">
        <v>1138</v>
      </c>
      <c r="G24" s="92" t="s">
        <v>1230</v>
      </c>
    </row>
    <row r="25" spans="2:7" x14ac:dyDescent="0.25">
      <c r="B25" s="70" t="s">
        <v>1231</v>
      </c>
      <c r="C25" s="93" t="s">
        <v>1232</v>
      </c>
      <c r="D25" s="73">
        <v>3</v>
      </c>
      <c r="E25" s="73" t="s">
        <v>1138</v>
      </c>
      <c r="F25" s="94" t="s">
        <v>1138</v>
      </c>
      <c r="G25" s="92"/>
    </row>
    <row r="26" spans="2:7" x14ac:dyDescent="0.25">
      <c r="B26" s="70" t="s">
        <v>1233</v>
      </c>
      <c r="C26" s="93" t="s">
        <v>1234</v>
      </c>
      <c r="D26" s="73">
        <v>7</v>
      </c>
      <c r="E26" s="73" t="s">
        <v>1140</v>
      </c>
      <c r="F26" s="94" t="s">
        <v>1138</v>
      </c>
      <c r="G26" s="92"/>
    </row>
    <row r="27" spans="2:7" x14ac:dyDescent="0.25">
      <c r="B27" s="70" t="s">
        <v>1235</v>
      </c>
      <c r="C27" s="93" t="s">
        <v>1236</v>
      </c>
      <c r="D27" s="73" t="s">
        <v>1185</v>
      </c>
      <c r="E27" s="73" t="s">
        <v>1138</v>
      </c>
      <c r="F27" s="94" t="s">
        <v>1138</v>
      </c>
      <c r="G27" s="92" t="s">
        <v>1218</v>
      </c>
    </row>
    <row r="28" spans="2:7" ht="30" x14ac:dyDescent="0.25">
      <c r="B28" s="70" t="s">
        <v>1237</v>
      </c>
      <c r="C28" s="93" t="s">
        <v>1238</v>
      </c>
      <c r="D28" s="73">
        <v>5</v>
      </c>
      <c r="E28" s="73" t="s">
        <v>1140</v>
      </c>
      <c r="F28" s="94" t="s">
        <v>1138</v>
      </c>
      <c r="G28" s="92"/>
    </row>
    <row r="29" spans="2:7" ht="30" x14ac:dyDescent="0.25">
      <c r="B29" s="70" t="s">
        <v>1239</v>
      </c>
      <c r="C29" s="93" t="s">
        <v>1240</v>
      </c>
      <c r="D29" s="73">
        <v>5</v>
      </c>
      <c r="E29" s="73" t="s">
        <v>1140</v>
      </c>
      <c r="F29" s="94" t="s">
        <v>1138</v>
      </c>
      <c r="G29" s="92"/>
    </row>
    <row r="30" spans="2:7" ht="30" x14ac:dyDescent="0.25">
      <c r="B30" s="70" t="s">
        <v>1241</v>
      </c>
      <c r="C30" s="93" t="s">
        <v>1242</v>
      </c>
      <c r="D30" s="73">
        <v>5</v>
      </c>
      <c r="E30" s="73" t="s">
        <v>1140</v>
      </c>
      <c r="F30" s="94" t="s">
        <v>1138</v>
      </c>
      <c r="G30" s="92"/>
    </row>
    <row r="31" spans="2:7" ht="30" x14ac:dyDescent="0.25">
      <c r="B31" s="70" t="s">
        <v>1243</v>
      </c>
      <c r="C31" s="93" t="s">
        <v>1244</v>
      </c>
      <c r="D31" s="73">
        <v>6</v>
      </c>
      <c r="E31" s="73" t="s">
        <v>1138</v>
      </c>
      <c r="F31" s="94" t="s">
        <v>1138</v>
      </c>
      <c r="G31" s="92" t="s">
        <v>1230</v>
      </c>
    </row>
    <row r="32" spans="2:7" ht="30" x14ac:dyDescent="0.25">
      <c r="B32" s="70" t="s">
        <v>1245</v>
      </c>
      <c r="C32" s="93" t="s">
        <v>1246</v>
      </c>
      <c r="D32" s="73" t="s">
        <v>1247</v>
      </c>
      <c r="E32" s="73" t="s">
        <v>1137</v>
      </c>
      <c r="F32" s="94" t="s">
        <v>1137</v>
      </c>
      <c r="G32" s="92"/>
    </row>
    <row r="33" spans="2:7" ht="30" x14ac:dyDescent="0.25">
      <c r="B33" s="70" t="s">
        <v>1248</v>
      </c>
      <c r="C33" s="93" t="s">
        <v>1249</v>
      </c>
      <c r="D33" s="73">
        <v>6</v>
      </c>
      <c r="E33" s="73" t="s">
        <v>1138</v>
      </c>
      <c r="F33" s="94" t="s">
        <v>1138</v>
      </c>
      <c r="G33" s="92"/>
    </row>
    <row r="34" spans="2:7" ht="30" x14ac:dyDescent="0.25">
      <c r="B34" s="70" t="s">
        <v>1250</v>
      </c>
      <c r="C34" s="93" t="s">
        <v>1251</v>
      </c>
      <c r="D34" s="73" t="s">
        <v>1192</v>
      </c>
      <c r="E34" s="73" t="s">
        <v>1138</v>
      </c>
      <c r="F34" s="94" t="s">
        <v>1138</v>
      </c>
      <c r="G34" s="92"/>
    </row>
    <row r="35" spans="2:7" x14ac:dyDescent="0.25">
      <c r="B35" s="70" t="s">
        <v>1252</v>
      </c>
      <c r="C35" s="93" t="s">
        <v>1253</v>
      </c>
      <c r="D35" s="73" t="s">
        <v>1247</v>
      </c>
      <c r="E35" s="73" t="s">
        <v>1137</v>
      </c>
      <c r="F35" s="94" t="s">
        <v>1137</v>
      </c>
      <c r="G35" s="92"/>
    </row>
    <row r="36" spans="2:7" x14ac:dyDescent="0.25">
      <c r="B36" s="70" t="s">
        <v>1254</v>
      </c>
      <c r="C36" s="93" t="s">
        <v>1255</v>
      </c>
      <c r="D36" s="73" t="s">
        <v>1247</v>
      </c>
      <c r="E36" s="73" t="s">
        <v>1137</v>
      </c>
      <c r="F36" s="94" t="s">
        <v>1137</v>
      </c>
      <c r="G36" s="92"/>
    </row>
    <row r="37" spans="2:7" ht="30" x14ac:dyDescent="0.25">
      <c r="B37" s="70" t="s">
        <v>1256</v>
      </c>
      <c r="C37" s="93" t="s">
        <v>1257</v>
      </c>
      <c r="D37" s="73" t="s">
        <v>1192</v>
      </c>
      <c r="E37" s="73" t="s">
        <v>1138</v>
      </c>
      <c r="F37" s="94" t="s">
        <v>1138</v>
      </c>
      <c r="G37" s="92" t="s">
        <v>1230</v>
      </c>
    </row>
    <row r="38" spans="2:7" ht="30" x14ac:dyDescent="0.25">
      <c r="B38" s="70" t="s">
        <v>1258</v>
      </c>
      <c r="C38" s="93" t="s">
        <v>1259</v>
      </c>
      <c r="D38" s="73" t="s">
        <v>1247</v>
      </c>
      <c r="E38" s="73" t="s">
        <v>1137</v>
      </c>
      <c r="F38" s="94" t="s">
        <v>1137</v>
      </c>
      <c r="G38" s="92"/>
    </row>
    <row r="39" spans="2:7" x14ac:dyDescent="0.25">
      <c r="B39" s="79" t="s">
        <v>1260</v>
      </c>
      <c r="C39" s="95" t="s">
        <v>1261</v>
      </c>
      <c r="D39" s="80" t="s">
        <v>1192</v>
      </c>
      <c r="E39" s="80" t="s">
        <v>1138</v>
      </c>
      <c r="F39" s="96" t="s">
        <v>1138</v>
      </c>
      <c r="G39" s="97" t="s">
        <v>1218</v>
      </c>
    </row>
  </sheetData>
  <mergeCells count="1">
    <mergeCell ref="B2:C2"/>
  </mergeCells>
  <conditionalFormatting sqref="E3:F39">
    <cfRule type="containsText" dxfId="5" priority="1" operator="containsText" text="Yes">
      <formula>NOT(ISERROR(SEARCH("Yes",E3)))</formula>
    </cfRule>
    <cfRule type="containsText" dxfId="4" priority="2" operator="containsText" text="In Progress">
      <formula>NOT(ISERROR(SEARCH("In Progress",E3)))</formula>
    </cfRule>
    <cfRule type="containsText" dxfId="3" priority="3" operator="containsText" text="No">
      <formula>NOT(ISERROR(SEARCH("No",E3)))</formula>
    </cfRule>
  </conditionalFormatting>
  <conditionalFormatting sqref="E3:F39">
    <cfRule type="containsText" dxfId="2" priority="4" operator="containsText" text="Yes">
      <formula>NOT(ISERROR(SEARCH("Yes",E3)))</formula>
    </cfRule>
    <cfRule type="containsText" dxfId="1" priority="5" operator="containsText" text="In Progress">
      <formula>NOT(ISERROR(SEARCH("In Progress",E3)))</formula>
    </cfRule>
    <cfRule type="containsText" dxfId="0" priority="6" operator="containsText" text="No">
      <formula>NOT(ISERROR(SEARCH("No",E3)))</formula>
    </cfRule>
  </conditionalFormatting>
  <dataValidations count="1">
    <dataValidation type="list" allowBlank="1" showInputMessage="1" showErrorMessage="1" sqref="E3:F39" xr:uid="{DB369BE2-54C4-457D-960F-7F2970759EC6}">
      <formula1>$AD$3:$AD$5</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079A40-BABB-4643-87FC-8779711C6A6E}">
  <dimension ref="A1:T68"/>
  <sheetViews>
    <sheetView tabSelected="1" topLeftCell="A4" zoomScale="115" zoomScaleNormal="115" workbookViewId="0">
      <selection activeCell="E46" sqref="E46"/>
    </sheetView>
  </sheetViews>
  <sheetFormatPr defaultRowHeight="15" x14ac:dyDescent="0.25"/>
  <cols>
    <col min="1" max="1" width="9.140625" style="40"/>
    <col min="2" max="2" width="9.140625" style="22" bestFit="1" customWidth="1"/>
    <col min="3" max="6" width="10.85546875" style="22" customWidth="1"/>
    <col min="7" max="7" width="23.85546875" style="21" customWidth="1"/>
    <col min="8" max="8" width="5.42578125" style="21" bestFit="1" customWidth="1"/>
    <col min="9" max="15" width="3.42578125" style="21" bestFit="1" customWidth="1"/>
    <col min="16" max="16384" width="9.140625" style="21"/>
  </cols>
  <sheetData>
    <row r="1" spans="1:8" x14ac:dyDescent="0.25">
      <c r="D1" s="23" t="s">
        <v>149</v>
      </c>
      <c r="E1" s="23" t="s">
        <v>3</v>
      </c>
      <c r="F1" s="23" t="s">
        <v>182</v>
      </c>
      <c r="G1" s="19" t="s">
        <v>183</v>
      </c>
      <c r="H1" s="19" t="s">
        <v>184</v>
      </c>
    </row>
    <row r="2" spans="1:8" x14ac:dyDescent="0.25">
      <c r="A2" s="40" t="s">
        <v>739</v>
      </c>
      <c r="B2" s="38" t="s">
        <v>738</v>
      </c>
      <c r="D2" s="23"/>
      <c r="E2" s="23"/>
      <c r="F2" s="23"/>
      <c r="G2" s="19"/>
      <c r="H2" s="19"/>
    </row>
    <row r="3" spans="1:8" s="38" customFormat="1" x14ac:dyDescent="0.25">
      <c r="A3" s="38">
        <v>7</v>
      </c>
      <c r="B3" s="63" t="s">
        <v>545</v>
      </c>
      <c r="C3" s="38" t="s">
        <v>185</v>
      </c>
      <c r="D3" s="38" t="s">
        <v>157</v>
      </c>
    </row>
    <row r="4" spans="1:8" s="38" customFormat="1" x14ac:dyDescent="0.25">
      <c r="A4" s="38">
        <v>8</v>
      </c>
      <c r="B4" s="63" t="s">
        <v>633</v>
      </c>
      <c r="C4" s="38" t="s">
        <v>185</v>
      </c>
      <c r="D4" s="38" t="s">
        <v>150</v>
      </c>
    </row>
    <row r="5" spans="1:8" s="38" customFormat="1" x14ac:dyDescent="0.25">
      <c r="A5" s="38">
        <v>37</v>
      </c>
      <c r="B5" s="63" t="s">
        <v>815</v>
      </c>
      <c r="C5" s="38" t="s">
        <v>154</v>
      </c>
      <c r="D5" s="38" t="s">
        <v>155</v>
      </c>
      <c r="E5" s="38" t="s">
        <v>158</v>
      </c>
    </row>
    <row r="6" spans="1:8" s="38" customFormat="1" x14ac:dyDescent="0.25">
      <c r="A6" s="38">
        <v>21</v>
      </c>
      <c r="B6" s="63" t="s">
        <v>1128</v>
      </c>
      <c r="C6" s="62" t="s">
        <v>153</v>
      </c>
      <c r="D6" s="62" t="s">
        <v>174</v>
      </c>
      <c r="E6" s="62" t="s">
        <v>175</v>
      </c>
      <c r="F6" s="62" t="s">
        <v>177</v>
      </c>
    </row>
    <row r="7" spans="1:8" s="38" customFormat="1" x14ac:dyDescent="0.25">
      <c r="A7" s="38">
        <v>25</v>
      </c>
      <c r="B7" s="63" t="s">
        <v>970</v>
      </c>
      <c r="C7" s="38" t="s">
        <v>151</v>
      </c>
      <c r="D7" s="38" t="s">
        <v>159</v>
      </c>
      <c r="E7" s="38" t="s">
        <v>170</v>
      </c>
    </row>
    <row r="8" spans="1:8" s="38" customFormat="1" x14ac:dyDescent="0.25">
      <c r="A8" s="38">
        <v>15</v>
      </c>
      <c r="B8" s="63" t="s">
        <v>501</v>
      </c>
      <c r="C8" s="38" t="s">
        <v>154</v>
      </c>
      <c r="D8" s="38" t="s">
        <v>155</v>
      </c>
      <c r="E8" s="38" t="s">
        <v>157</v>
      </c>
      <c r="F8" s="38" t="s">
        <v>159</v>
      </c>
    </row>
    <row r="9" spans="1:8" s="38" customFormat="1" x14ac:dyDescent="0.25">
      <c r="A9" s="38">
        <v>12</v>
      </c>
      <c r="B9" s="63" t="s">
        <v>502</v>
      </c>
      <c r="C9" s="38" t="s">
        <v>185</v>
      </c>
      <c r="D9" s="38" t="s">
        <v>172</v>
      </c>
    </row>
    <row r="10" spans="1:8" s="38" customFormat="1" x14ac:dyDescent="0.25">
      <c r="A10" s="38">
        <v>8</v>
      </c>
      <c r="B10" s="63" t="s">
        <v>653</v>
      </c>
      <c r="C10" s="38" t="s">
        <v>185</v>
      </c>
      <c r="D10" s="38" t="s">
        <v>150</v>
      </c>
    </row>
    <row r="11" spans="1:8" s="38" customFormat="1" x14ac:dyDescent="0.25">
      <c r="A11" s="38">
        <v>19</v>
      </c>
      <c r="B11" s="63" t="s">
        <v>683</v>
      </c>
      <c r="C11" s="38" t="s">
        <v>172</v>
      </c>
    </row>
    <row r="12" spans="1:8" s="38" customFormat="1" x14ac:dyDescent="0.25">
      <c r="A12" s="38">
        <v>19</v>
      </c>
      <c r="B12" s="63" t="s">
        <v>742</v>
      </c>
      <c r="C12" s="38" t="s">
        <v>170</v>
      </c>
      <c r="D12" s="38" t="s">
        <v>171</v>
      </c>
    </row>
    <row r="13" spans="1:8" s="38" customFormat="1" x14ac:dyDescent="0.25">
      <c r="A13" s="38">
        <v>14</v>
      </c>
      <c r="B13" s="63" t="s">
        <v>736</v>
      </c>
      <c r="C13" s="39" t="s">
        <v>158</v>
      </c>
      <c r="D13" s="39"/>
    </row>
    <row r="14" spans="1:8" s="38" customFormat="1" x14ac:dyDescent="0.25">
      <c r="A14" s="38">
        <v>20</v>
      </c>
      <c r="B14" s="63" t="s">
        <v>2</v>
      </c>
      <c r="C14" s="38" t="str">
        <f>+G18</f>
        <v>0: Assumed knowledge</v>
      </c>
      <c r="D14" s="38" t="str">
        <f>+G21</f>
        <v>3: Accounting policies, changes in accounting estimates and errors</v>
      </c>
      <c r="E14" s="38" t="str">
        <f>+G29</f>
        <v>11: Inventories</v>
      </c>
    </row>
    <row r="15" spans="1:8" s="38" customFormat="1" x14ac:dyDescent="0.25">
      <c r="A15" s="38">
        <v>24</v>
      </c>
      <c r="B15" s="63" t="s">
        <v>1</v>
      </c>
      <c r="C15" s="38" t="str">
        <f>+G23</f>
        <v>5: Non-current assets: Property, plant and equipment</v>
      </c>
      <c r="D15" s="38" t="str">
        <f>+G25</f>
        <v>7: Non-current assets: Held for sale</v>
      </c>
      <c r="E15" s="38" t="str">
        <f>+G26</f>
        <v>8: Non-current assets: Leases</v>
      </c>
      <c r="F15" s="38" t="str">
        <f>+G28</f>
        <v>10: Non-current assets: Impairment</v>
      </c>
    </row>
    <row r="16" spans="1:8" s="38" customFormat="1" x14ac:dyDescent="0.25">
      <c r="A16" s="38">
        <v>19</v>
      </c>
      <c r="B16" s="63" t="s">
        <v>619</v>
      </c>
      <c r="C16" s="38" t="s">
        <v>154</v>
      </c>
      <c r="D16" s="38" t="s">
        <v>158</v>
      </c>
      <c r="E16" s="38" t="s">
        <v>159</v>
      </c>
    </row>
    <row r="17" spans="6:20" x14ac:dyDescent="0.25">
      <c r="G17" s="35"/>
      <c r="H17" s="35"/>
      <c r="I17" s="35"/>
      <c r="J17" s="35"/>
      <c r="K17" s="35"/>
      <c r="L17" s="35"/>
      <c r="M17" s="35"/>
      <c r="N17" s="35"/>
      <c r="O17" s="35"/>
      <c r="P17" s="35"/>
      <c r="Q17" s="35"/>
      <c r="R17" s="35"/>
      <c r="S17" s="35" t="s">
        <v>741</v>
      </c>
      <c r="T17" s="35" t="s">
        <v>740</v>
      </c>
    </row>
    <row r="18" spans="6:20" x14ac:dyDescent="0.25">
      <c r="G18" s="36" t="s">
        <v>185</v>
      </c>
      <c r="H18" s="61">
        <v>1</v>
      </c>
      <c r="I18" s="61">
        <v>3</v>
      </c>
      <c r="J18" s="61">
        <v>18</v>
      </c>
      <c r="K18" s="61">
        <v>20</v>
      </c>
      <c r="L18" s="20">
        <v>33</v>
      </c>
      <c r="M18" s="61">
        <v>35</v>
      </c>
      <c r="N18" s="20"/>
      <c r="O18" s="20"/>
      <c r="S18" s="21">
        <v>1</v>
      </c>
      <c r="T18" s="21">
        <v>7</v>
      </c>
    </row>
    <row r="19" spans="6:20" x14ac:dyDescent="0.25">
      <c r="G19" s="36" t="s">
        <v>150</v>
      </c>
      <c r="H19" s="61">
        <v>3</v>
      </c>
      <c r="I19" s="61">
        <v>20</v>
      </c>
      <c r="J19" s="20">
        <v>29</v>
      </c>
      <c r="K19" s="20"/>
      <c r="L19" s="20"/>
      <c r="M19" s="20"/>
      <c r="N19" s="20"/>
      <c r="O19" s="20"/>
      <c r="S19" s="21">
        <v>2</v>
      </c>
      <c r="T19" s="21">
        <v>16</v>
      </c>
    </row>
    <row r="20" spans="6:20" x14ac:dyDescent="0.25">
      <c r="G20" s="36" t="s">
        <v>151</v>
      </c>
      <c r="H20" s="61">
        <v>10</v>
      </c>
      <c r="I20" s="20">
        <v>14</v>
      </c>
      <c r="J20" s="20">
        <v>19</v>
      </c>
      <c r="K20" s="20">
        <v>21</v>
      </c>
      <c r="L20" s="20">
        <v>31</v>
      </c>
      <c r="M20" s="20">
        <v>43</v>
      </c>
      <c r="N20" s="20">
        <v>44</v>
      </c>
      <c r="O20" s="20"/>
      <c r="S20" s="21">
        <v>3</v>
      </c>
      <c r="T20" s="21">
        <v>8</v>
      </c>
    </row>
    <row r="21" spans="6:20" ht="15.75" thickBot="1" x14ac:dyDescent="0.3">
      <c r="G21" s="36" t="s">
        <v>152</v>
      </c>
      <c r="H21" s="20">
        <v>4</v>
      </c>
      <c r="I21" s="20">
        <v>15</v>
      </c>
      <c r="J21" s="20">
        <v>31</v>
      </c>
      <c r="K21" s="61">
        <v>35</v>
      </c>
      <c r="L21" s="20">
        <v>48</v>
      </c>
      <c r="M21" s="20"/>
      <c r="N21" s="20"/>
      <c r="O21" s="20"/>
      <c r="S21" s="21">
        <v>4</v>
      </c>
      <c r="T21" s="21">
        <v>12</v>
      </c>
    </row>
    <row r="22" spans="6:20" ht="15.75" thickBot="1" x14ac:dyDescent="0.3">
      <c r="G22" s="36" t="s">
        <v>153</v>
      </c>
      <c r="H22" s="20">
        <v>7</v>
      </c>
      <c r="I22" s="20">
        <v>26</v>
      </c>
      <c r="J22" s="20"/>
      <c r="K22" s="20"/>
      <c r="L22" s="20"/>
      <c r="M22" s="20"/>
      <c r="N22" s="20"/>
      <c r="O22" s="20"/>
      <c r="P22" s="37">
        <v>7</v>
      </c>
      <c r="S22" s="21">
        <v>5</v>
      </c>
      <c r="T22" s="21">
        <v>7</v>
      </c>
    </row>
    <row r="23" spans="6:20" x14ac:dyDescent="0.25">
      <c r="G23" s="36" t="s">
        <v>154</v>
      </c>
      <c r="H23" s="61">
        <v>6</v>
      </c>
      <c r="I23" s="61">
        <v>17</v>
      </c>
      <c r="J23" s="20">
        <v>21</v>
      </c>
      <c r="K23" s="61">
        <v>38</v>
      </c>
      <c r="L23" s="61">
        <v>42</v>
      </c>
      <c r="M23" s="20">
        <v>44</v>
      </c>
      <c r="N23" s="20">
        <v>50</v>
      </c>
      <c r="O23" s="20"/>
      <c r="Q23" s="20"/>
      <c r="S23" s="21">
        <v>6</v>
      </c>
      <c r="T23" s="21">
        <v>37</v>
      </c>
    </row>
    <row r="24" spans="6:20" x14ac:dyDescent="0.25">
      <c r="G24" s="36" t="s">
        <v>155</v>
      </c>
      <c r="H24" s="61">
        <v>6</v>
      </c>
      <c r="I24" s="61">
        <v>17</v>
      </c>
      <c r="J24" s="20">
        <v>21</v>
      </c>
      <c r="K24" s="20">
        <v>44</v>
      </c>
      <c r="L24" s="20"/>
      <c r="M24" s="20"/>
      <c r="N24" s="20"/>
      <c r="O24" s="20"/>
      <c r="S24" s="21">
        <v>7</v>
      </c>
      <c r="T24" s="21">
        <v>21</v>
      </c>
    </row>
    <row r="25" spans="6:20" x14ac:dyDescent="0.25">
      <c r="F25" s="60"/>
      <c r="G25" s="36" t="s">
        <v>156</v>
      </c>
      <c r="H25" s="61">
        <v>38</v>
      </c>
      <c r="I25" s="20">
        <v>39</v>
      </c>
      <c r="J25" s="20">
        <v>44</v>
      </c>
      <c r="K25" s="20"/>
      <c r="L25" s="20"/>
      <c r="M25" s="20"/>
      <c r="N25" s="20"/>
      <c r="O25" s="20"/>
      <c r="S25" s="21">
        <v>8</v>
      </c>
      <c r="T25" s="21">
        <v>6</v>
      </c>
    </row>
    <row r="26" spans="6:20" x14ac:dyDescent="0.25">
      <c r="F26" s="60"/>
      <c r="G26" s="36" t="s">
        <v>157</v>
      </c>
      <c r="H26" s="20">
        <v>4</v>
      </c>
      <c r="I26" s="61">
        <v>1</v>
      </c>
      <c r="J26" s="61">
        <v>17</v>
      </c>
      <c r="K26" s="20">
        <v>25</v>
      </c>
      <c r="L26" s="61">
        <v>38</v>
      </c>
      <c r="M26" s="20"/>
      <c r="N26" s="20"/>
      <c r="O26" s="20"/>
      <c r="S26" s="21">
        <v>9</v>
      </c>
      <c r="T26" s="21">
        <v>24</v>
      </c>
    </row>
    <row r="27" spans="6:20" x14ac:dyDescent="0.25">
      <c r="F27" s="60"/>
      <c r="G27" s="36" t="s">
        <v>158</v>
      </c>
      <c r="H27" s="61">
        <v>6</v>
      </c>
      <c r="I27" s="20">
        <v>12</v>
      </c>
      <c r="J27" s="20">
        <v>24</v>
      </c>
      <c r="K27" s="61">
        <v>42</v>
      </c>
      <c r="L27" s="20"/>
      <c r="M27" s="20"/>
      <c r="N27" s="20"/>
      <c r="O27" s="20"/>
      <c r="S27" s="21">
        <v>10</v>
      </c>
      <c r="T27" s="21">
        <v>25</v>
      </c>
    </row>
    <row r="28" spans="6:20" x14ac:dyDescent="0.25">
      <c r="F28" s="60"/>
      <c r="G28" s="36" t="s">
        <v>159</v>
      </c>
      <c r="H28" s="20">
        <v>2</v>
      </c>
      <c r="I28" s="61">
        <v>10</v>
      </c>
      <c r="J28" s="61">
        <v>17</v>
      </c>
      <c r="K28" s="61">
        <v>38</v>
      </c>
      <c r="L28" s="61">
        <v>42</v>
      </c>
      <c r="M28" s="20"/>
      <c r="N28" s="20"/>
      <c r="O28" s="20"/>
      <c r="S28" s="21">
        <v>11</v>
      </c>
      <c r="T28" s="21">
        <v>5</v>
      </c>
    </row>
    <row r="29" spans="6:20" x14ac:dyDescent="0.25">
      <c r="G29" s="36" t="s">
        <v>160</v>
      </c>
      <c r="H29" s="61">
        <v>35</v>
      </c>
      <c r="I29" s="20">
        <v>36</v>
      </c>
      <c r="J29" s="20">
        <v>41</v>
      </c>
      <c r="K29" s="20">
        <v>46</v>
      </c>
      <c r="L29" s="20"/>
      <c r="M29" s="20"/>
      <c r="N29" s="20"/>
      <c r="O29" s="20"/>
      <c r="S29" s="21">
        <v>12</v>
      </c>
      <c r="T29" s="21">
        <v>11</v>
      </c>
    </row>
    <row r="30" spans="6:20" x14ac:dyDescent="0.25">
      <c r="G30" s="36" t="s">
        <v>161</v>
      </c>
      <c r="H30" s="20">
        <v>14</v>
      </c>
      <c r="I30" s="20">
        <v>34</v>
      </c>
      <c r="J30" s="20">
        <v>37</v>
      </c>
      <c r="K30" s="20">
        <v>43</v>
      </c>
      <c r="L30" s="20"/>
      <c r="M30" s="20"/>
      <c r="N30" s="20"/>
      <c r="O30" s="20"/>
      <c r="S30" s="21">
        <v>13</v>
      </c>
      <c r="T30" s="21">
        <v>12</v>
      </c>
    </row>
    <row r="31" spans="6:20" x14ac:dyDescent="0.25">
      <c r="G31" s="36" t="s">
        <v>162</v>
      </c>
      <c r="H31" s="20">
        <v>34</v>
      </c>
      <c r="I31" s="20"/>
      <c r="J31" s="20"/>
      <c r="K31" s="20"/>
      <c r="L31" s="20"/>
      <c r="M31" s="20"/>
      <c r="N31" s="20"/>
      <c r="O31" s="20"/>
      <c r="S31" s="21">
        <v>14</v>
      </c>
      <c r="T31" s="21">
        <v>25</v>
      </c>
    </row>
    <row r="32" spans="6:20" x14ac:dyDescent="0.25">
      <c r="G32" s="36" t="s">
        <v>163</v>
      </c>
      <c r="H32" s="20">
        <v>14</v>
      </c>
      <c r="I32" s="20">
        <v>34</v>
      </c>
      <c r="J32" s="20">
        <v>51</v>
      </c>
      <c r="K32" s="20"/>
      <c r="L32" s="20"/>
      <c r="M32" s="20"/>
      <c r="N32" s="20"/>
      <c r="O32" s="20"/>
      <c r="S32" s="21">
        <v>15</v>
      </c>
      <c r="T32" s="21">
        <v>11</v>
      </c>
    </row>
    <row r="33" spans="7:20" x14ac:dyDescent="0.25">
      <c r="G33" s="21" t="s">
        <v>164</v>
      </c>
      <c r="H33" s="20">
        <v>14</v>
      </c>
      <c r="I33" s="20">
        <v>21</v>
      </c>
      <c r="J33" s="20">
        <v>32</v>
      </c>
      <c r="K33" s="20">
        <v>44</v>
      </c>
      <c r="L33" s="20">
        <v>50</v>
      </c>
      <c r="M33" s="20">
        <v>51</v>
      </c>
      <c r="N33" s="20"/>
      <c r="O33" s="20"/>
      <c r="S33" s="21">
        <v>16</v>
      </c>
      <c r="T33" s="21">
        <v>11</v>
      </c>
    </row>
    <row r="34" spans="7:20" x14ac:dyDescent="0.25">
      <c r="G34" s="21" t="s">
        <v>165</v>
      </c>
      <c r="H34" s="20">
        <v>8</v>
      </c>
      <c r="I34" s="20">
        <v>32</v>
      </c>
      <c r="J34" s="20"/>
      <c r="K34" s="20"/>
      <c r="L34" s="20"/>
      <c r="M34" s="20"/>
      <c r="N34" s="20"/>
      <c r="O34" s="20"/>
      <c r="S34" s="21">
        <v>17</v>
      </c>
      <c r="T34" s="21">
        <v>15</v>
      </c>
    </row>
    <row r="35" spans="7:20" x14ac:dyDescent="0.25">
      <c r="G35" s="21" t="s">
        <v>166</v>
      </c>
      <c r="H35" s="20">
        <v>5</v>
      </c>
      <c r="I35" s="20">
        <v>27</v>
      </c>
      <c r="J35" s="20">
        <v>28</v>
      </c>
      <c r="K35" s="20"/>
      <c r="L35" s="20"/>
      <c r="M35" s="20"/>
      <c r="N35" s="20"/>
      <c r="O35" s="20"/>
      <c r="S35" s="21">
        <v>18</v>
      </c>
      <c r="T35" s="21">
        <v>12</v>
      </c>
    </row>
    <row r="36" spans="7:20" x14ac:dyDescent="0.25">
      <c r="G36" s="62" t="s">
        <v>167</v>
      </c>
      <c r="H36" s="20">
        <v>16</v>
      </c>
      <c r="I36" s="20"/>
      <c r="J36" s="20"/>
      <c r="K36" s="20"/>
      <c r="L36" s="20"/>
      <c r="M36" s="20"/>
      <c r="N36" s="20"/>
      <c r="O36" s="20"/>
      <c r="S36" s="21">
        <v>19</v>
      </c>
      <c r="T36" s="21">
        <v>34</v>
      </c>
    </row>
    <row r="37" spans="7:20" x14ac:dyDescent="0.25">
      <c r="G37" s="62" t="s">
        <v>168</v>
      </c>
      <c r="H37" s="20">
        <v>2</v>
      </c>
      <c r="I37" s="20">
        <v>4</v>
      </c>
      <c r="J37" s="20">
        <v>33</v>
      </c>
      <c r="K37" s="20"/>
      <c r="L37" s="20"/>
      <c r="M37" s="20"/>
      <c r="N37" s="20"/>
      <c r="O37" s="20"/>
      <c r="S37" s="21">
        <v>20</v>
      </c>
      <c r="T37" s="21">
        <v>8</v>
      </c>
    </row>
    <row r="38" spans="7:20" x14ac:dyDescent="0.25">
      <c r="G38" s="21" t="s">
        <v>169</v>
      </c>
      <c r="H38" s="20">
        <v>11</v>
      </c>
      <c r="I38" s="20">
        <v>30</v>
      </c>
      <c r="J38" s="20"/>
      <c r="K38" s="20"/>
      <c r="L38" s="20"/>
      <c r="M38" s="20"/>
      <c r="N38" s="20"/>
      <c r="O38" s="20"/>
      <c r="S38" s="21">
        <v>21</v>
      </c>
      <c r="T38" s="21">
        <v>23</v>
      </c>
    </row>
    <row r="39" spans="7:20" x14ac:dyDescent="0.25">
      <c r="G39" s="36" t="s">
        <v>170</v>
      </c>
      <c r="H39" s="61">
        <v>10</v>
      </c>
      <c r="I39" s="20">
        <v>19</v>
      </c>
      <c r="J39" s="61">
        <v>23</v>
      </c>
      <c r="K39" s="20">
        <v>39</v>
      </c>
      <c r="L39" s="20">
        <v>47</v>
      </c>
      <c r="M39" s="20"/>
      <c r="N39" s="20"/>
      <c r="O39" s="20"/>
      <c r="S39" s="21">
        <v>22</v>
      </c>
      <c r="T39" s="21">
        <v>19</v>
      </c>
    </row>
    <row r="40" spans="7:20" x14ac:dyDescent="0.25">
      <c r="G40" s="36" t="s">
        <v>171</v>
      </c>
      <c r="H40" s="61">
        <v>6</v>
      </c>
      <c r="I40" s="20">
        <v>19</v>
      </c>
      <c r="J40" s="61">
        <v>23</v>
      </c>
      <c r="K40" s="20"/>
      <c r="L40" s="20"/>
      <c r="M40" s="20"/>
      <c r="N40" s="20"/>
      <c r="O40" s="20"/>
      <c r="S40" s="21">
        <v>23</v>
      </c>
      <c r="T40" s="21">
        <v>18</v>
      </c>
    </row>
    <row r="41" spans="7:20" x14ac:dyDescent="0.25">
      <c r="G41" s="36" t="s">
        <v>172</v>
      </c>
      <c r="H41" s="61">
        <v>18</v>
      </c>
      <c r="I41" s="61">
        <v>22</v>
      </c>
      <c r="J41" s="20"/>
      <c r="K41" s="20"/>
      <c r="L41" s="20"/>
      <c r="M41" s="20"/>
      <c r="N41" s="20"/>
      <c r="O41" s="20"/>
      <c r="S41" s="21">
        <v>24</v>
      </c>
      <c r="T41" s="21">
        <v>14</v>
      </c>
    </row>
    <row r="42" spans="7:20" x14ac:dyDescent="0.25">
      <c r="G42" s="21" t="s">
        <v>173</v>
      </c>
      <c r="H42" s="20">
        <v>14</v>
      </c>
      <c r="I42" s="20">
        <v>32</v>
      </c>
      <c r="J42" s="20">
        <v>37</v>
      </c>
      <c r="K42" s="20"/>
      <c r="L42" s="20"/>
      <c r="M42" s="20"/>
      <c r="N42" s="20"/>
      <c r="O42" s="20"/>
      <c r="S42" s="21">
        <v>25</v>
      </c>
      <c r="T42" s="21">
        <v>11</v>
      </c>
    </row>
    <row r="43" spans="7:20" x14ac:dyDescent="0.25">
      <c r="G43" s="36" t="s">
        <v>174</v>
      </c>
      <c r="H43" s="20">
        <v>2</v>
      </c>
      <c r="I43" s="20">
        <v>7</v>
      </c>
      <c r="J43" s="20">
        <v>9</v>
      </c>
      <c r="K43" s="20">
        <v>15</v>
      </c>
      <c r="L43" s="20">
        <v>19</v>
      </c>
      <c r="M43" s="20">
        <v>33</v>
      </c>
      <c r="N43" s="20">
        <v>41</v>
      </c>
      <c r="O43" s="20">
        <v>43</v>
      </c>
      <c r="S43" s="21">
        <v>26</v>
      </c>
      <c r="T43" s="21">
        <v>3</v>
      </c>
    </row>
    <row r="44" spans="7:20" x14ac:dyDescent="0.25">
      <c r="G44" s="36" t="s">
        <v>175</v>
      </c>
      <c r="H44" s="20">
        <v>2</v>
      </c>
      <c r="I44" s="20">
        <v>7</v>
      </c>
      <c r="J44" s="20">
        <v>9</v>
      </c>
      <c r="K44" s="20">
        <v>19</v>
      </c>
      <c r="L44" s="20">
        <v>33</v>
      </c>
      <c r="M44" s="20">
        <v>41</v>
      </c>
      <c r="N44" s="20">
        <v>43</v>
      </c>
      <c r="O44" s="20">
        <v>49</v>
      </c>
      <c r="S44" s="21">
        <v>27</v>
      </c>
      <c r="T44" s="21">
        <v>9</v>
      </c>
    </row>
    <row r="45" spans="7:20" x14ac:dyDescent="0.25">
      <c r="G45" s="21" t="s">
        <v>176</v>
      </c>
      <c r="H45" s="20">
        <v>9</v>
      </c>
      <c r="I45" s="20">
        <v>15</v>
      </c>
      <c r="J45" s="20">
        <v>19</v>
      </c>
      <c r="K45" s="20">
        <v>49</v>
      </c>
      <c r="L45" s="20"/>
      <c r="M45" s="20"/>
      <c r="N45" s="20"/>
      <c r="O45" s="20"/>
      <c r="S45" s="21">
        <v>28</v>
      </c>
      <c r="T45" s="21">
        <v>5</v>
      </c>
    </row>
    <row r="46" spans="7:20" x14ac:dyDescent="0.25">
      <c r="G46" s="36" t="s">
        <v>177</v>
      </c>
      <c r="H46" s="20">
        <v>7</v>
      </c>
      <c r="I46" s="20">
        <v>40</v>
      </c>
      <c r="J46" s="20">
        <v>41</v>
      </c>
      <c r="K46" s="20"/>
      <c r="L46" s="20"/>
      <c r="M46" s="20"/>
      <c r="N46" s="20"/>
      <c r="O46" s="20"/>
      <c r="S46" s="21">
        <v>29</v>
      </c>
      <c r="T46" s="21">
        <v>6</v>
      </c>
    </row>
    <row r="47" spans="7:20" x14ac:dyDescent="0.25">
      <c r="G47" s="36" t="s">
        <v>178</v>
      </c>
      <c r="H47" s="20">
        <v>9</v>
      </c>
      <c r="I47" s="20">
        <v>33</v>
      </c>
      <c r="J47" s="20">
        <v>43</v>
      </c>
      <c r="K47" s="20"/>
      <c r="L47" s="20"/>
      <c r="M47" s="20"/>
      <c r="N47" s="20"/>
      <c r="O47" s="20"/>
      <c r="S47" s="21">
        <v>30</v>
      </c>
      <c r="T47" s="21">
        <v>7</v>
      </c>
    </row>
    <row r="48" spans="7:20" x14ac:dyDescent="0.25">
      <c r="G48" s="62" t="s">
        <v>179</v>
      </c>
      <c r="H48" s="20">
        <v>2</v>
      </c>
      <c r="I48" s="20">
        <v>9</v>
      </c>
      <c r="J48" s="20">
        <v>15</v>
      </c>
      <c r="K48" s="20"/>
      <c r="L48" s="20"/>
      <c r="M48" s="20"/>
      <c r="N48" s="20"/>
      <c r="O48" s="20"/>
      <c r="S48" s="21">
        <v>31</v>
      </c>
      <c r="T48" s="21">
        <v>12</v>
      </c>
    </row>
    <row r="49" spans="7:20" x14ac:dyDescent="0.25">
      <c r="G49" s="36" t="s">
        <v>180</v>
      </c>
      <c r="H49" s="20">
        <v>9</v>
      </c>
      <c r="I49" s="20">
        <v>45</v>
      </c>
      <c r="J49" s="20"/>
      <c r="K49" s="20"/>
      <c r="L49" s="20"/>
      <c r="M49" s="20"/>
      <c r="N49" s="20"/>
      <c r="O49" s="20"/>
      <c r="S49" s="21">
        <v>32</v>
      </c>
      <c r="T49" s="21">
        <v>25</v>
      </c>
    </row>
    <row r="50" spans="7:20" x14ac:dyDescent="0.25">
      <c r="G50" s="62" t="s">
        <v>181</v>
      </c>
      <c r="H50" s="20">
        <v>12</v>
      </c>
      <c r="I50" s="20">
        <v>14</v>
      </c>
      <c r="J50" s="20">
        <v>31</v>
      </c>
      <c r="K50" s="20">
        <v>34</v>
      </c>
      <c r="L50" s="20">
        <v>43</v>
      </c>
      <c r="M50" s="20"/>
      <c r="N50" s="20"/>
      <c r="O50" s="20"/>
      <c r="S50" s="21">
        <v>33</v>
      </c>
      <c r="T50" s="21">
        <v>9</v>
      </c>
    </row>
    <row r="51" spans="7:20" x14ac:dyDescent="0.25">
      <c r="S51" s="21">
        <v>34</v>
      </c>
      <c r="T51" s="21">
        <v>24</v>
      </c>
    </row>
    <row r="52" spans="7:20" x14ac:dyDescent="0.25">
      <c r="S52" s="21">
        <v>35</v>
      </c>
      <c r="T52" s="21">
        <v>20</v>
      </c>
    </row>
    <row r="53" spans="7:20" x14ac:dyDescent="0.25">
      <c r="S53" s="21">
        <v>36</v>
      </c>
      <c r="T53" s="21">
        <v>10</v>
      </c>
    </row>
    <row r="54" spans="7:20" x14ac:dyDescent="0.25">
      <c r="S54" s="21">
        <v>37</v>
      </c>
      <c r="T54" s="21">
        <v>28</v>
      </c>
    </row>
    <row r="55" spans="7:20" x14ac:dyDescent="0.25">
      <c r="S55" s="21">
        <v>38</v>
      </c>
      <c r="T55" s="21">
        <v>24</v>
      </c>
    </row>
    <row r="56" spans="7:20" x14ac:dyDescent="0.25">
      <c r="S56" s="21">
        <v>39</v>
      </c>
      <c r="T56" s="21">
        <v>16</v>
      </c>
    </row>
    <row r="57" spans="7:20" x14ac:dyDescent="0.25">
      <c r="S57" s="21">
        <v>40</v>
      </c>
      <c r="T57" s="21">
        <v>4</v>
      </c>
    </row>
    <row r="58" spans="7:20" x14ac:dyDescent="0.25">
      <c r="S58" s="21">
        <v>41</v>
      </c>
      <c r="T58" s="21">
        <v>22</v>
      </c>
    </row>
    <row r="59" spans="7:20" x14ac:dyDescent="0.25">
      <c r="S59" s="21">
        <v>42</v>
      </c>
      <c r="T59" s="21">
        <v>19</v>
      </c>
    </row>
    <row r="60" spans="7:20" x14ac:dyDescent="0.25">
      <c r="S60" s="21">
        <v>43</v>
      </c>
      <c r="T60" s="21">
        <v>30</v>
      </c>
    </row>
    <row r="61" spans="7:20" x14ac:dyDescent="0.25">
      <c r="S61" s="21">
        <v>44</v>
      </c>
      <c r="T61" s="21">
        <v>20</v>
      </c>
    </row>
    <row r="62" spans="7:20" x14ac:dyDescent="0.25">
      <c r="S62" s="21">
        <v>45</v>
      </c>
      <c r="T62" s="21">
        <v>4</v>
      </c>
    </row>
    <row r="63" spans="7:20" x14ac:dyDescent="0.25">
      <c r="S63" s="21">
        <v>46</v>
      </c>
      <c r="T63" s="21">
        <v>7</v>
      </c>
    </row>
    <row r="64" spans="7:20" x14ac:dyDescent="0.25">
      <c r="S64" s="21">
        <v>47</v>
      </c>
      <c r="T64" s="21">
        <v>14</v>
      </c>
    </row>
    <row r="65" spans="19:20" x14ac:dyDescent="0.25">
      <c r="S65" s="21">
        <v>48</v>
      </c>
      <c r="T65" s="21">
        <v>6</v>
      </c>
    </row>
    <row r="66" spans="19:20" x14ac:dyDescent="0.25">
      <c r="S66" s="21">
        <v>49</v>
      </c>
      <c r="T66" s="21">
        <v>24</v>
      </c>
    </row>
    <row r="67" spans="19:20" x14ac:dyDescent="0.25">
      <c r="S67" s="21">
        <v>50</v>
      </c>
      <c r="T67" s="21">
        <v>20</v>
      </c>
    </row>
    <row r="68" spans="19:20" x14ac:dyDescent="0.25">
      <c r="S68" s="21">
        <v>51</v>
      </c>
      <c r="T68" s="21">
        <v>16</v>
      </c>
    </row>
  </sheetData>
  <autoFilter ref="S17:T68" xr:uid="{8D079A40-BABB-4643-87FC-8779711C6A6E}">
    <sortState xmlns:xlrd2="http://schemas.microsoft.com/office/spreadsheetml/2017/richdata2" ref="S18:T68">
      <sortCondition ref="S17:S68"/>
    </sortState>
  </autoFilter>
  <conditionalFormatting sqref="H18:O50">
    <cfRule type="cellIs" dxfId="24" priority="2" operator="equal">
      <formula>$P$22</formula>
    </cfRule>
  </conditionalFormatting>
  <hyperlinks>
    <hyperlink ref="B15" location="'AMQ38'!A1" display="AMQ38" xr:uid="{928D82A5-3309-4995-B6A7-88EC39619F35}"/>
    <hyperlink ref="B14" location="'AMQ35'!A1" display="AMQ35" xr:uid="{D0B5A279-5AF6-41C2-8FD2-739073316067}"/>
    <hyperlink ref="B8" location="'AMQ17'!A1" display="AMQ17" xr:uid="{DD7CCBAE-0DAB-4EAC-8126-C9CE9446851D}"/>
    <hyperlink ref="B9" location="'AMQ18'!A1" display="AMQ18" xr:uid="{B8F839A4-68F6-41AB-8B12-16E2B7992490}"/>
    <hyperlink ref="B3" location="'AMQ1'!A1" display="AMQ1" xr:uid="{CBB801F7-257B-4A2A-AA4C-1E786EEFB4C4}"/>
    <hyperlink ref="B16" location="'AMQ42'!A1" display="AMQ42" xr:uid="{DBCFF730-3561-4EBD-8FDA-C4BB5F21BFF8}"/>
    <hyperlink ref="B4" location="'AMQ3'!A1" display="AMQ3" xr:uid="{B6F96396-C5B2-48DB-A281-8539AB8C4095}"/>
    <hyperlink ref="B10" location="'AMQ20'!A1" display="AMQ20" xr:uid="{CF7A5709-CC6E-48C6-9FB2-D1B0097FFA6D}"/>
    <hyperlink ref="B11" location="'AMQ22'!A1" display="AMQ22" xr:uid="{D10019E2-0E48-48D5-98F5-ABBFB9AD4436}"/>
    <hyperlink ref="B13" location="'AMQ24'!A1" display="AMQ24" xr:uid="{664394BD-4856-4AB8-807D-E9ADC096F50D}"/>
    <hyperlink ref="B12" location="'AMQ23'!A1" display="AMQ23" xr:uid="{369432A2-4B2F-4E72-8BEA-A5D9CCAF03E6}"/>
    <hyperlink ref="B5" location="'AMQ6'!A1" display="AMQ6" xr:uid="{32ABFCE5-2B6D-44CB-8904-EE06895C233F}"/>
    <hyperlink ref="B7" location="'AMQ10'!A1" display="AMQ10" xr:uid="{3DD089A5-6CA8-4A11-9352-BE4C0002F350}"/>
    <hyperlink ref="B6" location="'AMQ7'!A1" display="AMQ7" xr:uid="{CA48C6CC-3611-478B-A368-56E37414FFC9}"/>
  </hyperlink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7FB149-C6EC-4163-9B64-0F1495F9041A}">
  <dimension ref="A1:F65"/>
  <sheetViews>
    <sheetView topLeftCell="A24" zoomScale="160" zoomScaleNormal="160" workbookViewId="0">
      <selection activeCell="B66" sqref="B66"/>
    </sheetView>
  </sheetViews>
  <sheetFormatPr defaultRowHeight="12" x14ac:dyDescent="0.2"/>
  <cols>
    <col min="1" max="16384" width="9.140625" style="1"/>
  </cols>
  <sheetData>
    <row r="1" spans="1:4" ht="15" x14ac:dyDescent="0.25">
      <c r="A1" s="2" t="s">
        <v>0</v>
      </c>
    </row>
    <row r="3" spans="1:4" x14ac:dyDescent="0.2">
      <c r="B3" s="1" t="s">
        <v>503</v>
      </c>
    </row>
    <row r="4" spans="1:4" x14ac:dyDescent="0.2">
      <c r="B4" s="1" t="s">
        <v>5</v>
      </c>
      <c r="C4" s="3">
        <v>44712</v>
      </c>
    </row>
    <row r="6" spans="1:4" x14ac:dyDescent="0.2">
      <c r="B6" s="1" t="s">
        <v>9</v>
      </c>
    </row>
    <row r="7" spans="1:4" x14ac:dyDescent="0.2">
      <c r="B7" s="1" t="s">
        <v>504</v>
      </c>
    </row>
    <row r="8" spans="1:4" x14ac:dyDescent="0.2">
      <c r="B8" s="1" t="s">
        <v>505</v>
      </c>
    </row>
    <row r="11" spans="1:4" x14ac:dyDescent="0.2">
      <c r="B11" s="1" t="s">
        <v>49</v>
      </c>
    </row>
    <row r="12" spans="1:4" x14ac:dyDescent="0.2">
      <c r="B12" s="1" t="s">
        <v>506</v>
      </c>
    </row>
    <row r="13" spans="1:4" x14ac:dyDescent="0.2">
      <c r="B13" s="1" t="s">
        <v>507</v>
      </c>
      <c r="C13" s="3">
        <v>44681</v>
      </c>
      <c r="D13" s="6">
        <v>688000</v>
      </c>
    </row>
    <row r="14" spans="1:4" x14ac:dyDescent="0.2">
      <c r="B14" s="1" t="s">
        <v>508</v>
      </c>
      <c r="C14" s="3">
        <v>44712</v>
      </c>
      <c r="D14" s="4">
        <v>0.03</v>
      </c>
    </row>
    <row r="15" spans="1:4" x14ac:dyDescent="0.2">
      <c r="B15" s="1" t="s">
        <v>508</v>
      </c>
      <c r="C15" s="3">
        <v>44804</v>
      </c>
    </row>
    <row r="16" spans="1:4" x14ac:dyDescent="0.2">
      <c r="B16" s="1" t="s">
        <v>510</v>
      </c>
      <c r="D16" s="6">
        <v>154</v>
      </c>
    </row>
    <row r="17" spans="2:5" x14ac:dyDescent="0.2">
      <c r="B17" s="1" t="s">
        <v>511</v>
      </c>
      <c r="D17" s="6">
        <f>+D32-D33+D16</f>
        <v>1365</v>
      </c>
    </row>
    <row r="18" spans="2:5" x14ac:dyDescent="0.2">
      <c r="B18" s="1" t="s">
        <v>523</v>
      </c>
      <c r="D18" s="33">
        <v>1.0200000000000001E-2</v>
      </c>
      <c r="E18" s="1" t="s">
        <v>524</v>
      </c>
    </row>
    <row r="19" spans="2:5" x14ac:dyDescent="0.2">
      <c r="D19" s="6"/>
    </row>
    <row r="20" spans="2:5" x14ac:dyDescent="0.2">
      <c r="B20" s="1" t="s">
        <v>512</v>
      </c>
      <c r="D20" s="6">
        <v>18750</v>
      </c>
    </row>
    <row r="21" spans="2:5" x14ac:dyDescent="0.2">
      <c r="B21" s="1" t="s">
        <v>514</v>
      </c>
      <c r="D21" s="33">
        <v>0.13800000000000001</v>
      </c>
      <c r="E21" s="1" t="s">
        <v>513</v>
      </c>
    </row>
    <row r="24" spans="2:5" x14ac:dyDescent="0.2">
      <c r="B24" s="1" t="s">
        <v>519</v>
      </c>
      <c r="D24" s="1">
        <v>1628</v>
      </c>
    </row>
    <row r="25" spans="2:5" x14ac:dyDescent="0.2">
      <c r="B25" s="1" t="s">
        <v>518</v>
      </c>
      <c r="D25" s="1">
        <v>670</v>
      </c>
    </row>
    <row r="26" spans="2:5" x14ac:dyDescent="0.2">
      <c r="B26" s="1" t="s">
        <v>517</v>
      </c>
      <c r="D26" s="1">
        <v>274</v>
      </c>
    </row>
    <row r="27" spans="2:5" x14ac:dyDescent="0.2">
      <c r="B27" s="1" t="s">
        <v>516</v>
      </c>
      <c r="D27" s="1">
        <v>94</v>
      </c>
    </row>
    <row r="28" spans="2:5" x14ac:dyDescent="0.2">
      <c r="B28" s="1" t="s">
        <v>515</v>
      </c>
      <c r="D28" s="1">
        <v>141</v>
      </c>
    </row>
    <row r="31" spans="2:5" x14ac:dyDescent="0.2">
      <c r="B31" s="1" t="s">
        <v>520</v>
      </c>
    </row>
    <row r="32" spans="2:5" x14ac:dyDescent="0.2">
      <c r="B32" s="1" t="s">
        <v>509</v>
      </c>
      <c r="C32" s="3">
        <v>44712</v>
      </c>
      <c r="D32" s="6">
        <v>1357</v>
      </c>
    </row>
    <row r="33" spans="2:6" x14ac:dyDescent="0.2">
      <c r="B33" s="1" t="s">
        <v>521</v>
      </c>
      <c r="D33" s="6">
        <v>146</v>
      </c>
    </row>
    <row r="34" spans="2:6" x14ac:dyDescent="0.2">
      <c r="D34" s="6">
        <f>+D32-D33</f>
        <v>1211</v>
      </c>
    </row>
    <row r="35" spans="2:6" x14ac:dyDescent="0.2">
      <c r="B35" s="1" t="s">
        <v>522</v>
      </c>
      <c r="D35" s="6">
        <f>+D34*D18*3</f>
        <v>37.056600000000003</v>
      </c>
    </row>
    <row r="36" spans="2:6" x14ac:dyDescent="0.2">
      <c r="B36" s="1" t="s">
        <v>525</v>
      </c>
      <c r="D36" s="6">
        <f>+D34-D35</f>
        <v>1173.9434000000001</v>
      </c>
    </row>
    <row r="38" spans="2:6" x14ac:dyDescent="0.2">
      <c r="B38" s="1" t="s">
        <v>507</v>
      </c>
    </row>
    <row r="39" spans="2:6" x14ac:dyDescent="0.2">
      <c r="B39" s="1" t="s">
        <v>526</v>
      </c>
      <c r="D39" s="6">
        <f>+D36*D14*D20</f>
        <v>660343.16249999998</v>
      </c>
    </row>
    <row r="40" spans="2:6" x14ac:dyDescent="0.2">
      <c r="B40" s="1" t="s">
        <v>517</v>
      </c>
      <c r="D40" s="6">
        <f>0.138*D39</f>
        <v>91127.356425000005</v>
      </c>
    </row>
    <row r="41" spans="2:6" x14ac:dyDescent="0.2">
      <c r="B41" s="1" t="s">
        <v>527</v>
      </c>
      <c r="D41" s="6">
        <f>+D39+D40</f>
        <v>751470.51892499998</v>
      </c>
    </row>
    <row r="42" spans="2:6" x14ac:dyDescent="0.2">
      <c r="B42" s="1" t="s">
        <v>528</v>
      </c>
      <c r="D42" s="6">
        <f>+D13</f>
        <v>688000</v>
      </c>
    </row>
    <row r="43" spans="2:6" x14ac:dyDescent="0.2">
      <c r="B43" s="1" t="s">
        <v>529</v>
      </c>
      <c r="D43" s="6">
        <f>+D41-D42</f>
        <v>63470.518924999982</v>
      </c>
    </row>
    <row r="45" spans="2:6" x14ac:dyDescent="0.2">
      <c r="B45" s="1" t="s">
        <v>530</v>
      </c>
      <c r="E45" s="6">
        <f>+D43</f>
        <v>63470.518924999982</v>
      </c>
    </row>
    <row r="46" spans="2:6" x14ac:dyDescent="0.2">
      <c r="C46" s="1" t="s">
        <v>531</v>
      </c>
      <c r="F46" s="6">
        <f>+E45</f>
        <v>63470.518924999982</v>
      </c>
    </row>
    <row r="47" spans="2:6" x14ac:dyDescent="0.2">
      <c r="B47" s="1" t="s">
        <v>532</v>
      </c>
    </row>
    <row r="49" spans="2:6" x14ac:dyDescent="0.2">
      <c r="B49" s="1" t="s">
        <v>533</v>
      </c>
    </row>
    <row r="50" spans="2:6" x14ac:dyDescent="0.2">
      <c r="B50" s="1" t="s">
        <v>534</v>
      </c>
    </row>
    <row r="51" spans="2:6" x14ac:dyDescent="0.2">
      <c r="B51" s="1" t="s">
        <v>517</v>
      </c>
      <c r="D51" s="1">
        <f>+D25</f>
        <v>670</v>
      </c>
    </row>
    <row r="52" spans="2:6" x14ac:dyDescent="0.2">
      <c r="B52" s="1" t="s">
        <v>535</v>
      </c>
      <c r="D52" s="1">
        <f>+D26</f>
        <v>274</v>
      </c>
    </row>
    <row r="53" spans="2:6" x14ac:dyDescent="0.2">
      <c r="D53" s="1">
        <f>SUM(D51:D52)</f>
        <v>944</v>
      </c>
    </row>
    <row r="55" spans="2:6" x14ac:dyDescent="0.2">
      <c r="B55" s="1" t="s">
        <v>536</v>
      </c>
      <c r="D55" s="1">
        <f>+D27</f>
        <v>94</v>
      </c>
    </row>
    <row r="56" spans="2:6" x14ac:dyDescent="0.2">
      <c r="B56" s="1" t="s">
        <v>537</v>
      </c>
      <c r="D56" s="1">
        <f>+D28</f>
        <v>141</v>
      </c>
    </row>
    <row r="57" spans="2:6" x14ac:dyDescent="0.2">
      <c r="B57" s="1" t="s">
        <v>543</v>
      </c>
      <c r="D57" s="1">
        <f>SUM(D55:D56)</f>
        <v>235</v>
      </c>
    </row>
    <row r="59" spans="2:6" x14ac:dyDescent="0.2">
      <c r="B59" s="1" t="s">
        <v>538</v>
      </c>
    </row>
    <row r="60" spans="2:6" x14ac:dyDescent="0.2">
      <c r="B60" s="1" t="s">
        <v>539</v>
      </c>
    </row>
    <row r="62" spans="2:6" x14ac:dyDescent="0.2">
      <c r="B62" s="1" t="s">
        <v>540</v>
      </c>
      <c r="E62" s="1">
        <f>SUM(F63:F64)</f>
        <v>1179</v>
      </c>
    </row>
    <row r="63" spans="2:6" x14ac:dyDescent="0.2">
      <c r="C63" s="1" t="s">
        <v>541</v>
      </c>
      <c r="F63" s="1">
        <f>+D53</f>
        <v>944</v>
      </c>
    </row>
    <row r="64" spans="2:6" x14ac:dyDescent="0.2">
      <c r="C64" s="1" t="s">
        <v>542</v>
      </c>
      <c r="F64" s="1">
        <v>235</v>
      </c>
    </row>
    <row r="65" spans="2:2" x14ac:dyDescent="0.2">
      <c r="B65" s="1" t="s">
        <v>544</v>
      </c>
    </row>
  </sheetData>
  <hyperlinks>
    <hyperlink ref="A1" location="Main!A1" display="Main" xr:uid="{54ED9C1D-8178-4707-BCEA-853D31442EDB}"/>
  </hyperlink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44022A-566E-40DF-B878-41751F1B0FE1}">
  <dimension ref="A1:B27"/>
  <sheetViews>
    <sheetView topLeftCell="A4" zoomScale="175" zoomScaleNormal="175" workbookViewId="0">
      <selection activeCell="B28" sqref="B28"/>
    </sheetView>
  </sheetViews>
  <sheetFormatPr defaultRowHeight="12" x14ac:dyDescent="0.2"/>
  <cols>
    <col min="1" max="16384" width="9.140625" style="1"/>
  </cols>
  <sheetData>
    <row r="1" spans="1:2" ht="15" x14ac:dyDescent="0.25">
      <c r="A1" s="2" t="s">
        <v>0</v>
      </c>
    </row>
    <row r="2" spans="1:2" x14ac:dyDescent="0.2">
      <c r="B2" s="1" t="s">
        <v>634</v>
      </c>
    </row>
    <row r="3" spans="1:2" x14ac:dyDescent="0.2">
      <c r="B3" s="1" t="s">
        <v>635</v>
      </c>
    </row>
    <row r="4" spans="1:2" x14ac:dyDescent="0.2">
      <c r="B4" s="1" t="s">
        <v>636</v>
      </c>
    </row>
    <row r="6" spans="1:2" x14ac:dyDescent="0.2">
      <c r="B6" s="1" t="s">
        <v>645</v>
      </c>
    </row>
    <row r="8" spans="1:2" x14ac:dyDescent="0.2">
      <c r="B8" s="1" t="s">
        <v>637</v>
      </c>
    </row>
    <row r="9" spans="1:2" x14ac:dyDescent="0.2">
      <c r="B9" s="1" t="s">
        <v>638</v>
      </c>
    </row>
    <row r="11" spans="1:2" x14ac:dyDescent="0.2">
      <c r="B11" s="1" t="s">
        <v>32</v>
      </c>
    </row>
    <row r="12" spans="1:2" x14ac:dyDescent="0.2">
      <c r="B12" s="1" t="s">
        <v>639</v>
      </c>
    </row>
    <row r="13" spans="1:2" x14ac:dyDescent="0.2">
      <c r="B13" s="1" t="s">
        <v>640</v>
      </c>
    </row>
    <row r="15" spans="1:2" x14ac:dyDescent="0.2">
      <c r="B15" s="1" t="s">
        <v>641</v>
      </c>
    </row>
    <row r="16" spans="1:2" x14ac:dyDescent="0.2">
      <c r="B16" s="1" t="s">
        <v>642</v>
      </c>
    </row>
    <row r="17" spans="2:2" x14ac:dyDescent="0.2">
      <c r="B17" s="1" t="s">
        <v>643</v>
      </c>
    </row>
    <row r="18" spans="2:2" x14ac:dyDescent="0.2">
      <c r="B18" s="1" t="s">
        <v>644</v>
      </c>
    </row>
    <row r="19" spans="2:2" x14ac:dyDescent="0.2">
      <c r="B19" s="1" t="s">
        <v>646</v>
      </c>
    </row>
    <row r="21" spans="2:2" x14ac:dyDescent="0.2">
      <c r="B21" s="1" t="s">
        <v>647</v>
      </c>
    </row>
    <row r="22" spans="2:2" x14ac:dyDescent="0.2">
      <c r="B22" s="1" t="s">
        <v>648</v>
      </c>
    </row>
    <row r="24" spans="2:2" x14ac:dyDescent="0.2">
      <c r="B24" s="1" t="s">
        <v>649</v>
      </c>
    </row>
    <row r="25" spans="2:2" x14ac:dyDescent="0.2">
      <c r="B25" s="1" t="s">
        <v>650</v>
      </c>
    </row>
    <row r="26" spans="2:2" x14ac:dyDescent="0.2">
      <c r="B26" s="1" t="s">
        <v>651</v>
      </c>
    </row>
    <row r="27" spans="2:2" x14ac:dyDescent="0.2">
      <c r="B27" s="1" t="s">
        <v>652</v>
      </c>
    </row>
  </sheetData>
  <hyperlinks>
    <hyperlink ref="A1" location="Main!A1" display="Main" xr:uid="{261E3C89-A42D-4B01-BF17-C5D71071917A}"/>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C4FF72-EA31-4610-88B2-E38D6DD5071B}">
  <dimension ref="A1:N289"/>
  <sheetViews>
    <sheetView zoomScale="175" zoomScaleNormal="175" workbookViewId="0">
      <selection activeCell="A19" sqref="A19"/>
    </sheetView>
  </sheetViews>
  <sheetFormatPr defaultRowHeight="12" x14ac:dyDescent="0.2"/>
  <cols>
    <col min="1" max="4" width="9.140625" style="1"/>
    <col min="5" max="5" width="10.85546875" style="1" customWidth="1"/>
    <col min="6" max="10" width="7.5703125" style="1" customWidth="1"/>
    <col min="11" max="16384" width="9.140625" style="1"/>
  </cols>
  <sheetData>
    <row r="1" spans="1:12" ht="15" x14ac:dyDescent="0.25">
      <c r="A1" s="2" t="s">
        <v>0</v>
      </c>
      <c r="B1" s="4">
        <f>+A2/37</f>
        <v>0.43243243243243246</v>
      </c>
    </row>
    <row r="2" spans="1:12" x14ac:dyDescent="0.2">
      <c r="A2" s="1">
        <f>SUM(A3:A309)</f>
        <v>16</v>
      </c>
      <c r="B2" s="1" t="s">
        <v>816</v>
      </c>
    </row>
    <row r="3" spans="1:12" x14ac:dyDescent="0.2">
      <c r="B3" s="1" t="s">
        <v>5</v>
      </c>
      <c r="C3" s="3">
        <v>44834</v>
      </c>
    </row>
    <row r="6" spans="1:12" x14ac:dyDescent="0.2">
      <c r="B6" s="1" t="s">
        <v>817</v>
      </c>
    </row>
    <row r="7" spans="1:12" x14ac:dyDescent="0.2">
      <c r="B7" s="1" t="s">
        <v>816</v>
      </c>
    </row>
    <row r="8" spans="1:12" x14ac:dyDescent="0.2">
      <c r="B8" s="1" t="s">
        <v>818</v>
      </c>
      <c r="E8" s="34" t="s">
        <v>837</v>
      </c>
      <c r="F8" s="34"/>
      <c r="G8" s="34" t="s">
        <v>838</v>
      </c>
      <c r="H8" s="34"/>
      <c r="I8" s="34" t="s">
        <v>856</v>
      </c>
      <c r="J8" s="34"/>
    </row>
    <row r="9" spans="1:12" x14ac:dyDescent="0.2">
      <c r="B9" s="1" t="s">
        <v>819</v>
      </c>
      <c r="E9" s="1" t="s">
        <v>21</v>
      </c>
      <c r="F9" s="1" t="s">
        <v>825</v>
      </c>
      <c r="G9" s="1" t="s">
        <v>21</v>
      </c>
      <c r="H9" s="1" t="s">
        <v>825</v>
      </c>
      <c r="I9" s="1" t="s">
        <v>21</v>
      </c>
      <c r="J9" s="1" t="s">
        <v>825</v>
      </c>
    </row>
    <row r="10" spans="1:12" x14ac:dyDescent="0.2">
      <c r="B10" s="1" t="s">
        <v>820</v>
      </c>
      <c r="E10" s="6">
        <v>3932</v>
      </c>
      <c r="F10" s="6"/>
      <c r="G10" s="26">
        <v>3500</v>
      </c>
      <c r="H10" s="6">
        <v>2600</v>
      </c>
      <c r="I10" s="6">
        <f>+E10+SUM(G10:G13)</f>
        <v>8533</v>
      </c>
      <c r="J10" s="6">
        <f>+F10+SUM(H10:H13)</f>
        <v>2600</v>
      </c>
      <c r="K10" s="6">
        <f>+I10-J10</f>
        <v>5933</v>
      </c>
    </row>
    <row r="11" spans="1:12" x14ac:dyDescent="0.2">
      <c r="A11" s="1">
        <v>1</v>
      </c>
      <c r="E11" s="6"/>
      <c r="F11" s="6"/>
      <c r="G11" s="6">
        <v>550</v>
      </c>
      <c r="H11" s="6"/>
      <c r="I11" s="6"/>
      <c r="J11" s="6"/>
      <c r="K11" s="6"/>
    </row>
    <row r="12" spans="1:12" x14ac:dyDescent="0.2">
      <c r="E12" s="6"/>
      <c r="F12" s="6"/>
      <c r="G12" s="6">
        <v>22</v>
      </c>
      <c r="H12" s="6"/>
      <c r="I12" s="6"/>
      <c r="J12" s="6"/>
      <c r="K12" s="6"/>
    </row>
    <row r="13" spans="1:12" x14ac:dyDescent="0.2">
      <c r="E13" s="6"/>
      <c r="F13" s="6"/>
      <c r="G13" s="6">
        <v>529</v>
      </c>
      <c r="H13" s="6"/>
      <c r="I13" s="6"/>
      <c r="J13" s="6"/>
      <c r="K13" s="6"/>
    </row>
    <row r="14" spans="1:12" x14ac:dyDescent="0.2">
      <c r="B14" s="1" t="s">
        <v>826</v>
      </c>
      <c r="E14" s="6"/>
      <c r="F14" s="6">
        <v>837</v>
      </c>
      <c r="G14" s="6"/>
      <c r="H14" s="6">
        <v>43</v>
      </c>
      <c r="I14" s="6">
        <f>+E14+SUM(G14:G17)</f>
        <v>0</v>
      </c>
      <c r="J14" s="6">
        <f>+F14+SUM(H14:H17)</f>
        <v>1295</v>
      </c>
      <c r="K14" s="6">
        <f t="shared" ref="K14:K24" si="0">+I14-J14</f>
        <v>-1295</v>
      </c>
      <c r="L14" s="6">
        <f>SUM(K10:K14)</f>
        <v>4638</v>
      </c>
    </row>
    <row r="15" spans="1:12" x14ac:dyDescent="0.2">
      <c r="E15" s="6"/>
      <c r="F15" s="6"/>
      <c r="G15" s="6"/>
      <c r="H15" s="6">
        <v>50</v>
      </c>
      <c r="I15" s="6"/>
      <c r="J15" s="6"/>
      <c r="K15" s="6"/>
    </row>
    <row r="16" spans="1:12" x14ac:dyDescent="0.2">
      <c r="E16" s="6"/>
      <c r="F16" s="6"/>
      <c r="G16" s="6"/>
      <c r="H16" s="6">
        <v>354</v>
      </c>
      <c r="I16" s="6"/>
      <c r="J16" s="6"/>
      <c r="K16" s="6"/>
    </row>
    <row r="17" spans="1:14" x14ac:dyDescent="0.2">
      <c r="E17" s="6"/>
      <c r="F17" s="6"/>
      <c r="G17" s="6"/>
      <c r="H17" s="26">
        <v>11</v>
      </c>
      <c r="I17" s="6"/>
      <c r="J17" s="6"/>
      <c r="K17" s="6"/>
    </row>
    <row r="18" spans="1:14" x14ac:dyDescent="0.2">
      <c r="B18" s="1" t="s">
        <v>822</v>
      </c>
      <c r="E18" s="6">
        <v>672</v>
      </c>
      <c r="F18" s="6"/>
      <c r="G18" s="6">
        <v>0</v>
      </c>
      <c r="H18" s="6">
        <f>+F45</f>
        <v>217.12</v>
      </c>
      <c r="I18" s="6">
        <f>+E18+SUM(G18:G19)</f>
        <v>1047</v>
      </c>
      <c r="J18" s="6">
        <f>+F18+SUM(H18:H19)</f>
        <v>217.12</v>
      </c>
      <c r="K18" s="6">
        <f t="shared" si="0"/>
        <v>829.88</v>
      </c>
    </row>
    <row r="19" spans="1:14" x14ac:dyDescent="0.2">
      <c r="E19" s="6"/>
      <c r="F19" s="6"/>
      <c r="G19" s="26">
        <f>+E82</f>
        <v>375</v>
      </c>
      <c r="H19" s="6"/>
      <c r="I19" s="6"/>
      <c r="J19" s="6"/>
      <c r="K19" s="6"/>
    </row>
    <row r="20" spans="1:14" x14ac:dyDescent="0.2">
      <c r="B20" s="1" t="s">
        <v>827</v>
      </c>
      <c r="E20" s="6"/>
      <c r="F20" s="6">
        <v>188</v>
      </c>
      <c r="G20" s="6"/>
      <c r="H20" s="6">
        <f>+F41</f>
        <v>26.88</v>
      </c>
      <c r="I20" s="6"/>
      <c r="J20" s="6">
        <f>+F20+SUM(H20:H21)</f>
        <v>297.07444444444445</v>
      </c>
      <c r="K20" s="6">
        <f t="shared" si="0"/>
        <v>-297.07444444444445</v>
      </c>
      <c r="L20" s="6">
        <f>SUM(K18:K20)</f>
        <v>532.80555555555554</v>
      </c>
    </row>
    <row r="21" spans="1:14" x14ac:dyDescent="0.2">
      <c r="E21" s="6"/>
      <c r="F21" s="6"/>
      <c r="G21" s="6"/>
      <c r="H21" s="26">
        <f>+F87</f>
        <v>82.194444444444443</v>
      </c>
      <c r="I21" s="6"/>
      <c r="J21" s="6"/>
      <c r="K21" s="6"/>
    </row>
    <row r="22" spans="1:14" x14ac:dyDescent="0.2">
      <c r="B22" s="1" t="s">
        <v>823</v>
      </c>
      <c r="E22" s="6">
        <v>3300</v>
      </c>
      <c r="F22" s="6"/>
      <c r="G22" s="26">
        <v>200</v>
      </c>
      <c r="H22" s="26">
        <v>3500</v>
      </c>
      <c r="I22" s="6">
        <f>+E22+SUM(G22:G23)</f>
        <v>6100</v>
      </c>
      <c r="J22" s="6">
        <f>+F22+SUM(H22:H23)</f>
        <v>3600</v>
      </c>
      <c r="K22" s="6">
        <f t="shared" si="0"/>
        <v>2500</v>
      </c>
      <c r="L22" s="6">
        <f>+K22</f>
        <v>2500</v>
      </c>
    </row>
    <row r="23" spans="1:14" x14ac:dyDescent="0.2">
      <c r="E23" s="6"/>
      <c r="F23" s="6"/>
      <c r="G23" s="26">
        <v>2600</v>
      </c>
      <c r="H23" s="26">
        <v>100</v>
      </c>
      <c r="I23" s="6"/>
      <c r="J23" s="6"/>
      <c r="K23" s="6"/>
    </row>
    <row r="24" spans="1:14" x14ac:dyDescent="0.2">
      <c r="A24" s="1">
        <v>1</v>
      </c>
      <c r="B24" s="1" t="s">
        <v>824</v>
      </c>
      <c r="E24" s="6">
        <v>509</v>
      </c>
      <c r="F24" s="6"/>
      <c r="G24" s="6">
        <v>20</v>
      </c>
      <c r="H24" s="6">
        <v>529</v>
      </c>
      <c r="I24" s="6">
        <f>+E24+G24</f>
        <v>529</v>
      </c>
      <c r="J24" s="6">
        <f>+F24+H24</f>
        <v>529</v>
      </c>
      <c r="K24" s="6">
        <f t="shared" si="0"/>
        <v>0</v>
      </c>
      <c r="M24" s="6"/>
      <c r="N24" s="6"/>
    </row>
    <row r="25" spans="1:14" x14ac:dyDescent="0.2">
      <c r="L25" s="6">
        <f>SUM(L14:L24)</f>
        <v>7670.8055555555557</v>
      </c>
      <c r="M25" s="6"/>
      <c r="N25" s="6"/>
    </row>
    <row r="27" spans="1:14" x14ac:dyDescent="0.2">
      <c r="B27" s="1" t="s">
        <v>828</v>
      </c>
    </row>
    <row r="28" spans="1:14" x14ac:dyDescent="0.2">
      <c r="B28" s="1" t="s">
        <v>829</v>
      </c>
    </row>
    <row r="29" spans="1:14" x14ac:dyDescent="0.2">
      <c r="B29" s="1" t="s">
        <v>34</v>
      </c>
      <c r="D29" s="6">
        <f>+E18</f>
        <v>672</v>
      </c>
      <c r="E29" s="6"/>
      <c r="F29" s="6"/>
      <c r="G29" s="6"/>
    </row>
    <row r="30" spans="1:14" x14ac:dyDescent="0.2">
      <c r="B30" s="1" t="s">
        <v>549</v>
      </c>
      <c r="D30" s="6">
        <f>-F20</f>
        <v>-188</v>
      </c>
      <c r="E30" s="6"/>
      <c r="F30" s="6"/>
    </row>
    <row r="31" spans="1:14" x14ac:dyDescent="0.2">
      <c r="B31" s="1" t="s">
        <v>306</v>
      </c>
      <c r="D31" s="6">
        <f>SUM(D29:D30)</f>
        <v>484</v>
      </c>
      <c r="E31" s="6"/>
      <c r="F31" s="6"/>
    </row>
    <row r="32" spans="1:14" x14ac:dyDescent="0.2">
      <c r="B32" s="1" t="s">
        <v>298</v>
      </c>
      <c r="D32" s="6">
        <v>25</v>
      </c>
      <c r="E32" s="6" t="s">
        <v>748</v>
      </c>
      <c r="F32" s="6"/>
    </row>
    <row r="33" spans="1:6" x14ac:dyDescent="0.2">
      <c r="B33" s="1" t="s">
        <v>830</v>
      </c>
      <c r="D33" s="6">
        <f>+D29/D32</f>
        <v>26.88</v>
      </c>
      <c r="E33" s="6"/>
      <c r="F33" s="6"/>
    </row>
    <row r="34" spans="1:6" x14ac:dyDescent="0.2">
      <c r="B34" s="1" t="s">
        <v>306</v>
      </c>
      <c r="C34" s="3">
        <v>44834</v>
      </c>
      <c r="D34" s="6">
        <f>+D31-D33</f>
        <v>457.12</v>
      </c>
      <c r="E34" s="6"/>
      <c r="F34" s="6"/>
    </row>
    <row r="35" spans="1:6" x14ac:dyDescent="0.2">
      <c r="B35" s="1" t="s">
        <v>549</v>
      </c>
      <c r="C35" s="3">
        <v>44834</v>
      </c>
      <c r="D35" s="6">
        <f>+D30-D33</f>
        <v>-214.88</v>
      </c>
      <c r="E35" s="6"/>
      <c r="F35" s="6"/>
    </row>
    <row r="36" spans="1:6" x14ac:dyDescent="0.2">
      <c r="B36" s="1" t="s">
        <v>306</v>
      </c>
      <c r="C36" s="3"/>
      <c r="D36" s="6">
        <f>+D29+D35</f>
        <v>457.12</v>
      </c>
      <c r="E36" s="6"/>
      <c r="F36" s="6"/>
    </row>
    <row r="37" spans="1:6" x14ac:dyDescent="0.2">
      <c r="B37" s="1" t="s">
        <v>831</v>
      </c>
      <c r="C37" s="3">
        <v>44834</v>
      </c>
      <c r="D37" s="6">
        <v>240</v>
      </c>
      <c r="E37" s="6"/>
      <c r="F37" s="6"/>
    </row>
    <row r="38" spans="1:6" x14ac:dyDescent="0.2">
      <c r="B38" s="1" t="s">
        <v>403</v>
      </c>
      <c r="D38" s="6">
        <f>+D37-D36</f>
        <v>-217.12</v>
      </c>
      <c r="E38" s="6"/>
      <c r="F38" s="6"/>
    </row>
    <row r="39" spans="1:6" x14ac:dyDescent="0.2">
      <c r="D39" s="6"/>
      <c r="E39" s="6"/>
      <c r="F39" s="6"/>
    </row>
    <row r="40" spans="1:6" x14ac:dyDescent="0.2">
      <c r="B40" s="1" t="s">
        <v>839</v>
      </c>
      <c r="D40" s="6"/>
      <c r="E40" s="6">
        <f>+D33</f>
        <v>26.88</v>
      </c>
      <c r="F40" s="6"/>
    </row>
    <row r="41" spans="1:6" x14ac:dyDescent="0.2">
      <c r="C41" s="1" t="s">
        <v>832</v>
      </c>
      <c r="D41" s="6"/>
      <c r="E41" s="6"/>
      <c r="F41" s="6">
        <f>+E40</f>
        <v>26.88</v>
      </c>
    </row>
    <row r="42" spans="1:6" x14ac:dyDescent="0.2">
      <c r="A42" s="1">
        <v>0.5</v>
      </c>
      <c r="B42" s="1" t="s">
        <v>833</v>
      </c>
      <c r="D42" s="6"/>
      <c r="E42" s="6"/>
      <c r="F42" s="6"/>
    </row>
    <row r="43" spans="1:6" x14ac:dyDescent="0.2">
      <c r="D43" s="6"/>
      <c r="E43" s="6"/>
      <c r="F43" s="6"/>
    </row>
    <row r="44" spans="1:6" x14ac:dyDescent="0.2">
      <c r="B44" s="1" t="s">
        <v>834</v>
      </c>
      <c r="D44" s="6"/>
      <c r="E44" s="6">
        <f>-D38</f>
        <v>217.12</v>
      </c>
      <c r="F44" s="6"/>
    </row>
    <row r="45" spans="1:6" x14ac:dyDescent="0.2">
      <c r="C45" s="1" t="s">
        <v>835</v>
      </c>
      <c r="D45" s="6"/>
      <c r="E45" s="6"/>
      <c r="F45" s="6">
        <f>+E44</f>
        <v>217.12</v>
      </c>
    </row>
    <row r="46" spans="1:6" x14ac:dyDescent="0.2">
      <c r="B46" s="1" t="s">
        <v>836</v>
      </c>
      <c r="D46" s="6"/>
      <c r="E46" s="6"/>
      <c r="F46" s="6"/>
    </row>
    <row r="49" spans="1:6" x14ac:dyDescent="0.2">
      <c r="B49" s="1" t="s">
        <v>840</v>
      </c>
    </row>
    <row r="51" spans="1:6" x14ac:dyDescent="0.2">
      <c r="B51" s="1" t="s">
        <v>841</v>
      </c>
      <c r="E51" s="1">
        <v>214</v>
      </c>
    </row>
    <row r="52" spans="1:6" x14ac:dyDescent="0.2">
      <c r="B52" s="1" t="s">
        <v>842</v>
      </c>
      <c r="E52" s="1">
        <v>36</v>
      </c>
    </row>
    <row r="53" spans="1:6" x14ac:dyDescent="0.2">
      <c r="B53" s="1" t="s">
        <v>843</v>
      </c>
      <c r="E53" s="1">
        <v>12</v>
      </c>
    </row>
    <row r="54" spans="1:6" x14ac:dyDescent="0.2">
      <c r="B54" s="1" t="s">
        <v>844</v>
      </c>
      <c r="E54" s="1">
        <v>48</v>
      </c>
    </row>
    <row r="55" spans="1:6" x14ac:dyDescent="0.2">
      <c r="B55" s="1" t="s">
        <v>845</v>
      </c>
      <c r="E55" s="1">
        <v>26</v>
      </c>
    </row>
    <row r="56" spans="1:6" ht="12.75" thickBot="1" x14ac:dyDescent="0.25">
      <c r="E56" s="15">
        <f>SUM(E51:E55)</f>
        <v>336</v>
      </c>
    </row>
    <row r="57" spans="1:6" ht="12.75" thickTop="1" x14ac:dyDescent="0.2"/>
    <row r="58" spans="1:6" x14ac:dyDescent="0.2">
      <c r="B58" s="1" t="s">
        <v>963</v>
      </c>
    </row>
    <row r="60" spans="1:6" x14ac:dyDescent="0.2">
      <c r="B60" s="1" t="s">
        <v>217</v>
      </c>
      <c r="C60" s="3">
        <v>44743</v>
      </c>
      <c r="E60" s="1">
        <f>+E54</f>
        <v>48</v>
      </c>
    </row>
    <row r="61" spans="1:6" x14ac:dyDescent="0.2">
      <c r="B61" s="1" t="s">
        <v>298</v>
      </c>
      <c r="E61" s="1">
        <f>4*12</f>
        <v>48</v>
      </c>
      <c r="F61" s="1" t="s">
        <v>52</v>
      </c>
    </row>
    <row r="62" spans="1:6" x14ac:dyDescent="0.2">
      <c r="A62" s="1">
        <v>0.5</v>
      </c>
      <c r="B62" s="1" t="s">
        <v>846</v>
      </c>
      <c r="D62" s="6">
        <f>YEARFRAC(C60,C3)*12</f>
        <v>2.9666666666666668</v>
      </c>
      <c r="E62" s="6">
        <f>+D62/E61*E60</f>
        <v>2.9666666666666668</v>
      </c>
    </row>
    <row r="64" spans="1:6" x14ac:dyDescent="0.2">
      <c r="B64" s="1" t="s">
        <v>868</v>
      </c>
      <c r="E64" s="6">
        <f>+E60</f>
        <v>48</v>
      </c>
    </row>
    <row r="65" spans="1:6" x14ac:dyDescent="0.2">
      <c r="C65" s="1" t="s">
        <v>847</v>
      </c>
      <c r="F65" s="6">
        <f>+E64</f>
        <v>48</v>
      </c>
    </row>
    <row r="66" spans="1:6" x14ac:dyDescent="0.2">
      <c r="B66" s="1" t="s">
        <v>848</v>
      </c>
    </row>
    <row r="68" spans="1:6" x14ac:dyDescent="0.2">
      <c r="B68" s="1" t="s">
        <v>964</v>
      </c>
      <c r="E68" s="6">
        <f>+E62</f>
        <v>2.9666666666666668</v>
      </c>
    </row>
    <row r="69" spans="1:6" x14ac:dyDescent="0.2">
      <c r="C69" s="1" t="s">
        <v>965</v>
      </c>
      <c r="F69" s="6">
        <f>+E68</f>
        <v>2.9666666666666668</v>
      </c>
    </row>
    <row r="70" spans="1:6" x14ac:dyDescent="0.2">
      <c r="B70" s="1" t="s">
        <v>966</v>
      </c>
    </row>
    <row r="74" spans="1:6" x14ac:dyDescent="0.2">
      <c r="B74" s="1" t="s">
        <v>962</v>
      </c>
    </row>
    <row r="75" spans="1:6" x14ac:dyDescent="0.2">
      <c r="B75" s="1" t="s">
        <v>849</v>
      </c>
    </row>
    <row r="76" spans="1:6" x14ac:dyDescent="0.2">
      <c r="B76" s="1" t="s">
        <v>217</v>
      </c>
      <c r="C76" s="3">
        <v>44562</v>
      </c>
      <c r="D76" s="1">
        <v>375</v>
      </c>
    </row>
    <row r="77" spans="1:6" x14ac:dyDescent="0.2">
      <c r="B77" s="1" t="s">
        <v>298</v>
      </c>
      <c r="D77" s="1">
        <f>3*12</f>
        <v>36</v>
      </c>
      <c r="E77" s="1" t="s">
        <v>52</v>
      </c>
    </row>
    <row r="78" spans="1:6" x14ac:dyDescent="0.2">
      <c r="A78" s="1">
        <v>0.5</v>
      </c>
      <c r="B78" s="1" t="s">
        <v>299</v>
      </c>
      <c r="D78" s="1">
        <v>45</v>
      </c>
    </row>
    <row r="79" spans="1:6" x14ac:dyDescent="0.2">
      <c r="D79" s="1">
        <f>+D76-D78</f>
        <v>330</v>
      </c>
    </row>
    <row r="80" spans="1:6" x14ac:dyDescent="0.2">
      <c r="A80" s="1">
        <v>1</v>
      </c>
      <c r="C80" s="41">
        <f>YEARFRAC(C76,C3)*12</f>
        <v>8.9666666666666668</v>
      </c>
      <c r="D80" s="6">
        <f>+C80/D77*D79</f>
        <v>82.194444444444443</v>
      </c>
    </row>
    <row r="82" spans="1:6" x14ac:dyDescent="0.2">
      <c r="B82" s="1" t="s">
        <v>851</v>
      </c>
      <c r="E82" s="1">
        <f>+D76</f>
        <v>375</v>
      </c>
    </row>
    <row r="83" spans="1:6" x14ac:dyDescent="0.2">
      <c r="C83" s="1" t="s">
        <v>854</v>
      </c>
      <c r="F83" s="1">
        <f>+E82</f>
        <v>375</v>
      </c>
    </row>
    <row r="84" spans="1:6" x14ac:dyDescent="0.2">
      <c r="A84" s="1">
        <v>0.5</v>
      </c>
      <c r="B84" s="1" t="s">
        <v>855</v>
      </c>
    </row>
    <row r="86" spans="1:6" x14ac:dyDescent="0.2">
      <c r="B86" s="1" t="s">
        <v>850</v>
      </c>
      <c r="E86" s="6">
        <f>+D80</f>
        <v>82.194444444444443</v>
      </c>
    </row>
    <row r="87" spans="1:6" x14ac:dyDescent="0.2">
      <c r="C87" s="1" t="s">
        <v>852</v>
      </c>
      <c r="F87" s="6">
        <f>+E86</f>
        <v>82.194444444444443</v>
      </c>
    </row>
    <row r="88" spans="1:6" x14ac:dyDescent="0.2">
      <c r="A88" s="1">
        <v>0.5</v>
      </c>
      <c r="B88" s="1" t="s">
        <v>853</v>
      </c>
    </row>
    <row r="92" spans="1:6" x14ac:dyDescent="0.2">
      <c r="C92" s="1" t="s">
        <v>325</v>
      </c>
      <c r="D92" s="1" t="s">
        <v>861</v>
      </c>
    </row>
    <row r="93" spans="1:6" x14ac:dyDescent="0.2">
      <c r="B93" s="1" t="s">
        <v>857</v>
      </c>
      <c r="C93" s="3">
        <v>43009</v>
      </c>
      <c r="D93" s="3">
        <v>42736</v>
      </c>
    </row>
    <row r="94" spans="1:6" x14ac:dyDescent="0.2">
      <c r="B94" s="1" t="s">
        <v>858</v>
      </c>
      <c r="C94" s="6">
        <v>2975</v>
      </c>
      <c r="D94" s="6">
        <v>1900</v>
      </c>
    </row>
    <row r="95" spans="1:6" x14ac:dyDescent="0.2">
      <c r="B95" s="1" t="s">
        <v>859</v>
      </c>
      <c r="C95" s="1">
        <v>300</v>
      </c>
      <c r="D95" s="1">
        <v>300</v>
      </c>
      <c r="E95" s="1" t="s">
        <v>871</v>
      </c>
    </row>
    <row r="96" spans="1:6" x14ac:dyDescent="0.2">
      <c r="B96" s="1" t="s">
        <v>860</v>
      </c>
      <c r="C96" s="6">
        <v>0</v>
      </c>
      <c r="D96" s="6">
        <v>0</v>
      </c>
    </row>
    <row r="99" spans="1:4" x14ac:dyDescent="0.2">
      <c r="B99" s="1" t="s">
        <v>32</v>
      </c>
    </row>
    <row r="100" spans="1:4" x14ac:dyDescent="0.2">
      <c r="B100" s="3">
        <v>44469</v>
      </c>
      <c r="C100" s="1">
        <v>3300</v>
      </c>
      <c r="D100" s="1">
        <v>2100</v>
      </c>
    </row>
    <row r="101" spans="1:4" x14ac:dyDescent="0.2">
      <c r="B101" s="3">
        <v>44743</v>
      </c>
      <c r="C101" s="1">
        <v>3500</v>
      </c>
      <c r="D101" s="1">
        <v>2600</v>
      </c>
    </row>
    <row r="102" spans="1:4" x14ac:dyDescent="0.2">
      <c r="B102" s="3">
        <v>44834</v>
      </c>
      <c r="C102" s="1">
        <v>3400</v>
      </c>
      <c r="D102" s="1">
        <v>2500</v>
      </c>
    </row>
    <row r="105" spans="1:4" x14ac:dyDescent="0.2">
      <c r="B105" s="1" t="s">
        <v>862</v>
      </c>
    </row>
    <row r="106" spans="1:4" x14ac:dyDescent="0.2">
      <c r="B106" s="1" t="s">
        <v>863</v>
      </c>
    </row>
    <row r="109" spans="1:4" x14ac:dyDescent="0.2">
      <c r="C109" s="1" t="s">
        <v>32</v>
      </c>
    </row>
    <row r="110" spans="1:4" x14ac:dyDescent="0.2">
      <c r="B110" s="3">
        <v>44469</v>
      </c>
      <c r="C110" s="1">
        <v>3300</v>
      </c>
    </row>
    <row r="111" spans="1:4" x14ac:dyDescent="0.2">
      <c r="B111" s="3">
        <v>44743</v>
      </c>
      <c r="C111" s="1">
        <v>3500</v>
      </c>
    </row>
    <row r="112" spans="1:4" x14ac:dyDescent="0.2">
      <c r="A112" s="1">
        <v>1</v>
      </c>
      <c r="C112" s="1">
        <f>+C111-C110</f>
        <v>200</v>
      </c>
    </row>
    <row r="114" spans="1:6" x14ac:dyDescent="0.2">
      <c r="B114" s="1" t="s">
        <v>872</v>
      </c>
      <c r="C114" s="6">
        <f>YEARFRAC(C93,B111)*12</f>
        <v>57</v>
      </c>
    </row>
    <row r="115" spans="1:6" x14ac:dyDescent="0.2">
      <c r="B115" s="1" t="s">
        <v>751</v>
      </c>
      <c r="C115" s="6">
        <f>+C95-C114</f>
        <v>243</v>
      </c>
    </row>
    <row r="116" spans="1:6" x14ac:dyDescent="0.2">
      <c r="B116" s="1" t="s">
        <v>873</v>
      </c>
      <c r="C116" s="6">
        <f>+C111/C115</f>
        <v>14.403292181069959</v>
      </c>
    </row>
    <row r="117" spans="1:6" x14ac:dyDescent="0.2">
      <c r="C117" s="41">
        <f>+YEARFRAC(B111,C3)*12</f>
        <v>2.9666666666666668</v>
      </c>
    </row>
    <row r="118" spans="1:6" x14ac:dyDescent="0.2">
      <c r="B118" s="1" t="s">
        <v>874</v>
      </c>
      <c r="C118" s="41">
        <f>+C116*C117</f>
        <v>42.729766803840882</v>
      </c>
    </row>
    <row r="119" spans="1:6" x14ac:dyDescent="0.2">
      <c r="C119" s="41"/>
    </row>
    <row r="121" spans="1:6" x14ac:dyDescent="0.2">
      <c r="B121" s="1" t="s">
        <v>864</v>
      </c>
      <c r="E121" s="1">
        <f>+C112</f>
        <v>200</v>
      </c>
    </row>
    <row r="122" spans="1:6" x14ac:dyDescent="0.2">
      <c r="C122" s="1" t="s">
        <v>865</v>
      </c>
      <c r="F122" s="1">
        <f>+E121</f>
        <v>200</v>
      </c>
    </row>
    <row r="123" spans="1:6" x14ac:dyDescent="0.2">
      <c r="A123" s="1">
        <v>0.5</v>
      </c>
      <c r="B123" s="1" t="s">
        <v>866</v>
      </c>
    </row>
    <row r="125" spans="1:6" x14ac:dyDescent="0.2">
      <c r="B125" s="1" t="s">
        <v>868</v>
      </c>
      <c r="E125" s="1">
        <f>+C111</f>
        <v>3500</v>
      </c>
    </row>
    <row r="126" spans="1:6" x14ac:dyDescent="0.2">
      <c r="C126" s="1" t="s">
        <v>869</v>
      </c>
      <c r="F126" s="1">
        <f>+E125</f>
        <v>3500</v>
      </c>
    </row>
    <row r="127" spans="1:6" x14ac:dyDescent="0.2">
      <c r="A127" s="1">
        <v>0.5</v>
      </c>
      <c r="B127" s="1" t="s">
        <v>870</v>
      </c>
    </row>
    <row r="129" spans="1:6" x14ac:dyDescent="0.2">
      <c r="B129" s="1" t="s">
        <v>302</v>
      </c>
      <c r="E129" s="41">
        <f>+C118</f>
        <v>42.729766803840882</v>
      </c>
    </row>
    <row r="130" spans="1:6" x14ac:dyDescent="0.2">
      <c r="C130" s="1" t="s">
        <v>875</v>
      </c>
      <c r="F130" s="41">
        <f>+E129</f>
        <v>42.729766803840882</v>
      </c>
    </row>
    <row r="131" spans="1:6" x14ac:dyDescent="0.2">
      <c r="B131" s="1" t="s">
        <v>876</v>
      </c>
    </row>
    <row r="134" spans="1:6" x14ac:dyDescent="0.2">
      <c r="B134" s="1" t="s">
        <v>861</v>
      </c>
    </row>
    <row r="135" spans="1:6" x14ac:dyDescent="0.2">
      <c r="B135" s="1" t="s">
        <v>877</v>
      </c>
    </row>
    <row r="136" spans="1:6" x14ac:dyDescent="0.2">
      <c r="B136" s="1" t="s">
        <v>878</v>
      </c>
    </row>
    <row r="139" spans="1:6" x14ac:dyDescent="0.2">
      <c r="B139" s="1" t="s">
        <v>34</v>
      </c>
      <c r="C139" s="3">
        <v>44469</v>
      </c>
      <c r="D139" s="6">
        <f>+D94</f>
        <v>1900</v>
      </c>
    </row>
    <row r="140" spans="1:6" x14ac:dyDescent="0.2">
      <c r="B140" s="1" t="s">
        <v>35</v>
      </c>
      <c r="C140" s="6">
        <f>YEARFRAC(D93,C139)*12</f>
        <v>56.966666666666661</v>
      </c>
      <c r="D140" s="1">
        <f>+C140/D95*D94</f>
        <v>360.78888888888889</v>
      </c>
    </row>
    <row r="141" spans="1:6" x14ac:dyDescent="0.2">
      <c r="B141" s="1" t="s">
        <v>879</v>
      </c>
      <c r="C141" s="3">
        <v>44469</v>
      </c>
      <c r="D141" s="6">
        <f>+D139-D140</f>
        <v>1539.2111111111112</v>
      </c>
    </row>
    <row r="142" spans="1:6" x14ac:dyDescent="0.2">
      <c r="A142" s="1">
        <v>0.5</v>
      </c>
      <c r="B142" s="1" t="s">
        <v>32</v>
      </c>
      <c r="C142" s="3">
        <v>44469</v>
      </c>
      <c r="D142" s="1">
        <v>2600</v>
      </c>
    </row>
    <row r="143" spans="1:6" x14ac:dyDescent="0.2">
      <c r="D143" s="6">
        <f>+D142-D141</f>
        <v>1060.7888888888888</v>
      </c>
      <c r="E143" s="1" t="s">
        <v>880</v>
      </c>
    </row>
    <row r="144" spans="1:6" x14ac:dyDescent="0.2">
      <c r="B144" s="1" t="s">
        <v>881</v>
      </c>
      <c r="C144" s="6">
        <f>+D95-C140</f>
        <v>243.03333333333333</v>
      </c>
      <c r="D144" s="6">
        <f>+D142/C144</f>
        <v>10.698120971060211</v>
      </c>
      <c r="E144" s="1" t="s">
        <v>874</v>
      </c>
    </row>
    <row r="145" spans="2:6" x14ac:dyDescent="0.2">
      <c r="D145" s="6"/>
    </row>
    <row r="146" spans="2:6" x14ac:dyDescent="0.2">
      <c r="D146" s="6"/>
    </row>
    <row r="147" spans="2:6" x14ac:dyDescent="0.2">
      <c r="B147" s="1" t="s">
        <v>874</v>
      </c>
      <c r="C147" s="1">
        <v>6</v>
      </c>
      <c r="D147" s="1" t="s">
        <v>883</v>
      </c>
    </row>
    <row r="148" spans="2:6" x14ac:dyDescent="0.2">
      <c r="B148" s="1" t="s">
        <v>882</v>
      </c>
      <c r="D148" s="6">
        <f>+C147*D144</f>
        <v>64.188725826361264</v>
      </c>
    </row>
    <row r="149" spans="2:6" x14ac:dyDescent="0.2">
      <c r="C149" s="1" t="s">
        <v>884</v>
      </c>
      <c r="D149" s="6"/>
    </row>
    <row r="150" spans="2:6" x14ac:dyDescent="0.2">
      <c r="B150" s="1" t="s">
        <v>302</v>
      </c>
      <c r="D150" s="6"/>
      <c r="E150" s="6">
        <f>+D148</f>
        <v>64.188725826361264</v>
      </c>
    </row>
    <row r="151" spans="2:6" x14ac:dyDescent="0.2">
      <c r="C151" s="1" t="s">
        <v>311</v>
      </c>
      <c r="D151" s="6"/>
      <c r="F151" s="6">
        <f>+E150</f>
        <v>64.188725826361264</v>
      </c>
    </row>
    <row r="152" spans="2:6" x14ac:dyDescent="0.2">
      <c r="B152" s="1" t="s">
        <v>885</v>
      </c>
      <c r="D152" s="6"/>
    </row>
    <row r="153" spans="2:6" x14ac:dyDescent="0.2">
      <c r="D153" s="6"/>
    </row>
    <row r="154" spans="2:6" x14ac:dyDescent="0.2">
      <c r="B154" s="1" t="s">
        <v>886</v>
      </c>
      <c r="C154" s="3">
        <v>44742</v>
      </c>
      <c r="D154" s="6">
        <f>+D142-D148</f>
        <v>2535.8112741736386</v>
      </c>
    </row>
    <row r="155" spans="2:6" x14ac:dyDescent="0.2">
      <c r="B155" s="1" t="s">
        <v>887</v>
      </c>
      <c r="C155" s="3">
        <v>44743</v>
      </c>
      <c r="D155" s="1">
        <v>2600</v>
      </c>
    </row>
    <row r="156" spans="2:6" x14ac:dyDescent="0.2">
      <c r="D156" s="6">
        <f>+D155-D154</f>
        <v>64.188725826361406</v>
      </c>
    </row>
    <row r="158" spans="2:6" x14ac:dyDescent="0.2">
      <c r="B158" s="1" t="s">
        <v>868</v>
      </c>
      <c r="E158" s="6">
        <f>+F160-E159</f>
        <v>699.99999999999989</v>
      </c>
    </row>
    <row r="159" spans="2:6" x14ac:dyDescent="0.2">
      <c r="B159" s="1" t="s">
        <v>127</v>
      </c>
      <c r="E159" s="6">
        <f>+D140</f>
        <v>360.78888888888889</v>
      </c>
    </row>
    <row r="160" spans="2:6" x14ac:dyDescent="0.2">
      <c r="C160" s="1" t="s">
        <v>888</v>
      </c>
      <c r="F160" s="6">
        <f>+D143</f>
        <v>1060.7888888888888</v>
      </c>
    </row>
    <row r="161" spans="1:6" x14ac:dyDescent="0.2">
      <c r="B161" s="1" t="s">
        <v>889</v>
      </c>
    </row>
    <row r="163" spans="1:6" x14ac:dyDescent="0.2">
      <c r="B163" s="1" t="s">
        <v>309</v>
      </c>
      <c r="E163" s="1">
        <f>+D155</f>
        <v>2600</v>
      </c>
    </row>
    <row r="164" spans="1:6" x14ac:dyDescent="0.2">
      <c r="A164" s="1">
        <v>0.5</v>
      </c>
      <c r="C164" s="1" t="s">
        <v>890</v>
      </c>
      <c r="F164" s="1">
        <f>+D155</f>
        <v>2600</v>
      </c>
    </row>
    <row r="165" spans="1:6" x14ac:dyDescent="0.2">
      <c r="B165" s="1" t="s">
        <v>891</v>
      </c>
    </row>
    <row r="167" spans="1:6" x14ac:dyDescent="0.2">
      <c r="B167" s="1" t="s">
        <v>892</v>
      </c>
    </row>
    <row r="168" spans="1:6" x14ac:dyDescent="0.2">
      <c r="B168" s="1" t="s">
        <v>893</v>
      </c>
      <c r="E168" s="1">
        <v>100</v>
      </c>
    </row>
    <row r="169" spans="1:6" x14ac:dyDescent="0.2">
      <c r="C169" s="1" t="s">
        <v>894</v>
      </c>
      <c r="F169" s="1">
        <v>100</v>
      </c>
    </row>
    <row r="170" spans="1:6" x14ac:dyDescent="0.2">
      <c r="A170" s="1">
        <v>0.5</v>
      </c>
      <c r="B170" s="1" t="s">
        <v>895</v>
      </c>
    </row>
    <row r="172" spans="1:6" x14ac:dyDescent="0.2">
      <c r="B172" s="1" t="s">
        <v>896</v>
      </c>
    </row>
    <row r="173" spans="1:6" x14ac:dyDescent="0.2">
      <c r="B173" s="1" t="s">
        <v>897</v>
      </c>
    </row>
    <row r="175" spans="1:6" x14ac:dyDescent="0.2">
      <c r="B175" s="1" t="s">
        <v>967</v>
      </c>
    </row>
    <row r="176" spans="1:6" x14ac:dyDescent="0.2">
      <c r="B176" s="1">
        <v>3</v>
      </c>
    </row>
    <row r="177" spans="2:6" x14ac:dyDescent="0.2">
      <c r="B177" s="1">
        <v>300</v>
      </c>
      <c r="C177" s="1">
        <f>+B176/B177*D139</f>
        <v>19</v>
      </c>
    </row>
    <row r="178" spans="2:6" x14ac:dyDescent="0.2">
      <c r="B178" s="1" t="s">
        <v>968</v>
      </c>
      <c r="E178" s="1">
        <f>+F179</f>
        <v>19</v>
      </c>
    </row>
    <row r="179" spans="2:6" x14ac:dyDescent="0.2">
      <c r="C179" s="1" t="s">
        <v>302</v>
      </c>
      <c r="F179" s="1">
        <f>+C177</f>
        <v>19</v>
      </c>
    </row>
    <row r="182" spans="2:6" x14ac:dyDescent="0.2">
      <c r="B182" s="1" t="s">
        <v>898</v>
      </c>
    </row>
    <row r="184" spans="2:6" x14ac:dyDescent="0.2">
      <c r="B184" s="1" t="s">
        <v>899</v>
      </c>
      <c r="D184" s="3">
        <v>44652</v>
      </c>
    </row>
    <row r="186" spans="2:6" x14ac:dyDescent="0.2">
      <c r="B186" s="1" t="s">
        <v>900</v>
      </c>
    </row>
    <row r="187" spans="2:6" x14ac:dyDescent="0.2">
      <c r="B187" s="3"/>
    </row>
    <row r="188" spans="2:6" x14ac:dyDescent="0.2">
      <c r="B188" s="1" t="s">
        <v>901</v>
      </c>
      <c r="D188" s="1">
        <v>509</v>
      </c>
    </row>
    <row r="189" spans="2:6" x14ac:dyDescent="0.2">
      <c r="B189" s="1" t="s">
        <v>188</v>
      </c>
    </row>
    <row r="190" spans="2:6" x14ac:dyDescent="0.2">
      <c r="B190" s="1" t="s">
        <v>902</v>
      </c>
      <c r="D190" s="1">
        <v>0</v>
      </c>
    </row>
    <row r="191" spans="2:6" x14ac:dyDescent="0.2">
      <c r="B191" s="1" t="s">
        <v>903</v>
      </c>
      <c r="D191" s="1">
        <v>0</v>
      </c>
    </row>
    <row r="192" spans="2:6" x14ac:dyDescent="0.2">
      <c r="B192" s="1" t="s">
        <v>906</v>
      </c>
      <c r="D192" s="1">
        <v>-25</v>
      </c>
      <c r="E192" s="1" t="s">
        <v>908</v>
      </c>
    </row>
    <row r="193" spans="1:5" x14ac:dyDescent="0.2">
      <c r="B193" s="1" t="s">
        <v>907</v>
      </c>
      <c r="D193" s="1">
        <v>-7</v>
      </c>
    </row>
    <row r="194" spans="1:5" x14ac:dyDescent="0.2">
      <c r="B194" s="1" t="s">
        <v>904</v>
      </c>
      <c r="D194" s="1">
        <v>15</v>
      </c>
      <c r="E194" s="1" t="s">
        <v>915</v>
      </c>
    </row>
    <row r="195" spans="1:5" x14ac:dyDescent="0.2">
      <c r="B195" s="1" t="s">
        <v>904</v>
      </c>
      <c r="D195" s="1">
        <v>15</v>
      </c>
    </row>
    <row r="196" spans="1:5" x14ac:dyDescent="0.2">
      <c r="B196" s="1" t="s">
        <v>905</v>
      </c>
      <c r="D196" s="1">
        <v>15</v>
      </c>
    </row>
    <row r="197" spans="1:5" x14ac:dyDescent="0.2">
      <c r="D197" s="1">
        <f>SUM(D188:D196)</f>
        <v>522</v>
      </c>
    </row>
    <row r="200" spans="1:5" x14ac:dyDescent="0.2">
      <c r="B200" s="1" t="s">
        <v>909</v>
      </c>
      <c r="D200" s="1">
        <v>155</v>
      </c>
      <c r="E200" s="1">
        <f>+D200*3</f>
        <v>465</v>
      </c>
    </row>
    <row r="201" spans="1:5" x14ac:dyDescent="0.2">
      <c r="B201" s="1" t="s">
        <v>910</v>
      </c>
      <c r="D201" s="1">
        <v>15</v>
      </c>
      <c r="E201" s="1">
        <f>+D201*3</f>
        <v>45</v>
      </c>
    </row>
    <row r="202" spans="1:5" x14ac:dyDescent="0.2">
      <c r="B202" s="1" t="s">
        <v>911</v>
      </c>
      <c r="D202" s="1">
        <f>+D200-D201</f>
        <v>140</v>
      </c>
      <c r="E202" s="1">
        <f>+E200-E201</f>
        <v>420</v>
      </c>
    </row>
    <row r="204" spans="1:5" x14ac:dyDescent="0.2">
      <c r="B204" s="1" t="s">
        <v>912</v>
      </c>
    </row>
    <row r="205" spans="1:5" x14ac:dyDescent="0.2">
      <c r="B205" s="1" t="s">
        <v>913</v>
      </c>
    </row>
    <row r="207" spans="1:5" x14ac:dyDescent="0.2">
      <c r="A207" s="1">
        <v>0.5</v>
      </c>
      <c r="B207" s="1" t="s">
        <v>917</v>
      </c>
      <c r="E207" s="1">
        <f>-SUM(D192:D193)</f>
        <v>32</v>
      </c>
    </row>
    <row r="208" spans="1:5" x14ac:dyDescent="0.2">
      <c r="B208" s="1" t="s">
        <v>868</v>
      </c>
      <c r="E208" s="1">
        <f>+C235</f>
        <v>477</v>
      </c>
    </row>
    <row r="209" spans="2:6" x14ac:dyDescent="0.2">
      <c r="C209" s="1" t="s">
        <v>914</v>
      </c>
      <c r="F209" s="1">
        <f>+D188</f>
        <v>509</v>
      </c>
    </row>
    <row r="210" spans="2:6" x14ac:dyDescent="0.2">
      <c r="B210" s="1" t="s">
        <v>916</v>
      </c>
    </row>
    <row r="212" spans="2:6" x14ac:dyDescent="0.2">
      <c r="B212" s="1" t="s">
        <v>867</v>
      </c>
      <c r="E212" s="1">
        <f>+E201</f>
        <v>45</v>
      </c>
    </row>
    <row r="213" spans="2:6" x14ac:dyDescent="0.2">
      <c r="C213" s="1" t="s">
        <v>951</v>
      </c>
      <c r="F213" s="1">
        <f>+E212</f>
        <v>45</v>
      </c>
    </row>
    <row r="214" spans="2:6" x14ac:dyDescent="0.2">
      <c r="B214" s="1" t="s">
        <v>969</v>
      </c>
    </row>
    <row r="216" spans="2:6" x14ac:dyDescent="0.2">
      <c r="B216" s="1" t="s">
        <v>918</v>
      </c>
    </row>
    <row r="217" spans="2:6" x14ac:dyDescent="0.2">
      <c r="B217" s="1" t="s">
        <v>919</v>
      </c>
      <c r="C217" s="1">
        <v>500</v>
      </c>
      <c r="D217" s="1" t="s">
        <v>922</v>
      </c>
    </row>
    <row r="218" spans="2:6" x14ac:dyDescent="0.2">
      <c r="B218" s="1" t="s">
        <v>380</v>
      </c>
      <c r="C218" s="4">
        <v>7.0000000000000007E-2</v>
      </c>
      <c r="D218" s="1" t="s">
        <v>375</v>
      </c>
    </row>
    <row r="219" spans="2:6" x14ac:dyDescent="0.2">
      <c r="B219" s="1" t="s">
        <v>379</v>
      </c>
      <c r="C219" s="1">
        <v>100</v>
      </c>
    </row>
    <row r="220" spans="2:6" x14ac:dyDescent="0.2">
      <c r="B220" s="1" t="s">
        <v>920</v>
      </c>
      <c r="C220" s="3">
        <v>45199</v>
      </c>
    </row>
    <row r="221" spans="2:6" x14ac:dyDescent="0.2">
      <c r="B221" s="1" t="s">
        <v>921</v>
      </c>
      <c r="C221" s="1">
        <f>+C217*C218</f>
        <v>35</v>
      </c>
      <c r="D221" s="1" t="s">
        <v>756</v>
      </c>
    </row>
    <row r="223" spans="2:6" x14ac:dyDescent="0.2">
      <c r="C223" s="1" t="s">
        <v>923</v>
      </c>
    </row>
    <row r="224" spans="2:6" x14ac:dyDescent="0.2">
      <c r="B224" s="3">
        <v>45199</v>
      </c>
    </row>
    <row r="226" spans="1:9" x14ac:dyDescent="0.2">
      <c r="B226" s="1" t="s">
        <v>924</v>
      </c>
    </row>
    <row r="227" spans="1:9" x14ac:dyDescent="0.2">
      <c r="B227" s="1" t="s">
        <v>925</v>
      </c>
      <c r="E227" s="3">
        <v>44651</v>
      </c>
    </row>
    <row r="228" spans="1:9" x14ac:dyDescent="0.2">
      <c r="B228" s="1" t="s">
        <v>926</v>
      </c>
      <c r="C228" s="1" t="s">
        <v>927</v>
      </c>
      <c r="D228" s="1" t="s">
        <v>928</v>
      </c>
      <c r="F228" s="1" t="s">
        <v>929</v>
      </c>
      <c r="G228" s="1" t="s">
        <v>930</v>
      </c>
      <c r="H228" s="1" t="s">
        <v>931</v>
      </c>
      <c r="I228" s="1" t="s">
        <v>932</v>
      </c>
    </row>
    <row r="229" spans="1:9" x14ac:dyDescent="0.2">
      <c r="B229" s="1" t="s">
        <v>902</v>
      </c>
      <c r="C229" s="1">
        <v>20</v>
      </c>
      <c r="D229" s="3">
        <v>44592</v>
      </c>
      <c r="G229" s="33">
        <v>7.0000000000000007E-2</v>
      </c>
      <c r="H229" s="1">
        <f>YEARFRAC(D229,$E$227)*12</f>
        <v>2</v>
      </c>
      <c r="I229" s="42">
        <f>G229*(H229-F229)/12*C229</f>
        <v>0.23333333333333334</v>
      </c>
    </row>
    <row r="230" spans="1:9" x14ac:dyDescent="0.2">
      <c r="B230" s="1" t="s">
        <v>903</v>
      </c>
      <c r="C230" s="1">
        <v>37</v>
      </c>
      <c r="D230" s="3">
        <v>44592</v>
      </c>
      <c r="G230" s="33">
        <v>7.0000000000000007E-2</v>
      </c>
      <c r="H230" s="1">
        <f t="shared" ref="H230:H233" si="1">YEARFRAC(D230,$E$227)*12</f>
        <v>2</v>
      </c>
      <c r="I230" s="42">
        <f>G230*(H230-F230)/12*C230</f>
        <v>0.4316666666666667</v>
      </c>
    </row>
    <row r="231" spans="1:9" x14ac:dyDescent="0.2">
      <c r="B231" s="1" t="s">
        <v>904</v>
      </c>
      <c r="C231" s="1">
        <v>140</v>
      </c>
      <c r="D231" s="3">
        <v>44592</v>
      </c>
      <c r="G231" s="33">
        <v>7.0000000000000007E-2</v>
      </c>
      <c r="H231" s="1">
        <f t="shared" si="1"/>
        <v>2</v>
      </c>
      <c r="I231" s="42">
        <f t="shared" ref="I231:I233" si="2">G231*(H231-F231)/12*C231</f>
        <v>1.6333333333333333</v>
      </c>
    </row>
    <row r="232" spans="1:9" x14ac:dyDescent="0.2">
      <c r="B232" s="1" t="s">
        <v>904</v>
      </c>
      <c r="C232" s="1">
        <v>140</v>
      </c>
      <c r="D232" s="3">
        <v>44620</v>
      </c>
      <c r="G232" s="33">
        <v>7.0000000000000007E-2</v>
      </c>
      <c r="H232" s="41">
        <f t="shared" si="1"/>
        <v>1.0333333333333332</v>
      </c>
      <c r="I232" s="42">
        <f t="shared" si="2"/>
        <v>0.84388888888888891</v>
      </c>
    </row>
    <row r="233" spans="1:9" x14ac:dyDescent="0.2">
      <c r="B233" s="1" t="s">
        <v>905</v>
      </c>
      <c r="C233" s="1">
        <v>140</v>
      </c>
      <c r="D233" s="3">
        <v>44651</v>
      </c>
      <c r="G233" s="33">
        <v>7.0000000000000007E-2</v>
      </c>
      <c r="H233" s="1">
        <f t="shared" si="1"/>
        <v>0</v>
      </c>
      <c r="I233" s="42">
        <f t="shared" si="2"/>
        <v>0</v>
      </c>
    </row>
    <row r="234" spans="1:9" x14ac:dyDescent="0.2">
      <c r="A234" s="1">
        <v>1</v>
      </c>
      <c r="H234" s="1" t="s">
        <v>933</v>
      </c>
      <c r="I234" s="42">
        <f>SUM(I229:I233)</f>
        <v>3.1422222222222222</v>
      </c>
    </row>
    <row r="235" spans="1:9" x14ac:dyDescent="0.2">
      <c r="C235" s="1">
        <f>SUM(C229:C234)</f>
        <v>477</v>
      </c>
      <c r="H235" s="1" t="s">
        <v>934</v>
      </c>
      <c r="I235" s="6">
        <v>500</v>
      </c>
    </row>
    <row r="236" spans="1:9" x14ac:dyDescent="0.2">
      <c r="H236" s="1" t="s">
        <v>935</v>
      </c>
      <c r="I236" s="6"/>
    </row>
    <row r="237" spans="1:9" x14ac:dyDescent="0.2">
      <c r="I237" s="6">
        <f>SUM(I235:I236)</f>
        <v>500</v>
      </c>
    </row>
    <row r="238" spans="1:9" x14ac:dyDescent="0.2">
      <c r="H238" s="1" t="s">
        <v>932</v>
      </c>
      <c r="I238" s="6">
        <f>IF(I234&lt;I237,I234,I237)</f>
        <v>3.1422222222222222</v>
      </c>
    </row>
    <row r="241" spans="1:6" x14ac:dyDescent="0.2">
      <c r="A241" s="1">
        <v>1</v>
      </c>
      <c r="B241" s="1" t="s">
        <v>868</v>
      </c>
      <c r="E241" s="42">
        <f>+I238</f>
        <v>3.1422222222222222</v>
      </c>
    </row>
    <row r="242" spans="1:6" x14ac:dyDescent="0.2">
      <c r="C242" s="1" t="s">
        <v>936</v>
      </c>
      <c r="F242" s="42">
        <f>+E241</f>
        <v>3.1422222222222222</v>
      </c>
    </row>
    <row r="243" spans="1:6" x14ac:dyDescent="0.2">
      <c r="B243" s="1" t="s">
        <v>937</v>
      </c>
    </row>
    <row r="246" spans="1:6" x14ac:dyDescent="0.2">
      <c r="B246" s="1" t="s">
        <v>96</v>
      </c>
    </row>
    <row r="247" spans="1:6" x14ac:dyDescent="0.2">
      <c r="B247" s="1" t="s">
        <v>306</v>
      </c>
      <c r="C247" s="3">
        <v>44652</v>
      </c>
      <c r="D247" s="42">
        <f>+C235+E241+E212</f>
        <v>525.14222222222224</v>
      </c>
    </row>
    <row r="248" spans="1:6" x14ac:dyDescent="0.2">
      <c r="B248" s="1" t="s">
        <v>298</v>
      </c>
      <c r="D248" s="1">
        <f>25*12</f>
        <v>300</v>
      </c>
      <c r="E248" s="1" t="s">
        <v>52</v>
      </c>
    </row>
    <row r="249" spans="1:6" x14ac:dyDescent="0.2">
      <c r="A249" s="1">
        <v>0.5</v>
      </c>
      <c r="C249" s="6">
        <f>YEARFRAC(C247,C3)*12</f>
        <v>5.9666666666666668</v>
      </c>
      <c r="D249" s="6">
        <f>+C249/D248*D247</f>
        <v>10.444495308641976</v>
      </c>
    </row>
    <row r="251" spans="1:6" x14ac:dyDescent="0.2">
      <c r="B251" s="1" t="s">
        <v>938</v>
      </c>
      <c r="E251" s="6">
        <f>+D249</f>
        <v>10.444495308641976</v>
      </c>
      <c r="F251" s="6"/>
    </row>
    <row r="252" spans="1:6" x14ac:dyDescent="0.2">
      <c r="C252" s="1" t="s">
        <v>939</v>
      </c>
      <c r="E252" s="6"/>
      <c r="F252" s="6">
        <f>+E251</f>
        <v>10.444495308641976</v>
      </c>
    </row>
    <row r="253" spans="1:6" x14ac:dyDescent="0.2">
      <c r="A253" s="1">
        <v>0.5</v>
      </c>
      <c r="B253" s="1" t="s">
        <v>940</v>
      </c>
    </row>
    <row r="256" spans="1:6" x14ac:dyDescent="0.2">
      <c r="B256" s="1" t="s">
        <v>941</v>
      </c>
    </row>
    <row r="261" spans="1:5" x14ac:dyDescent="0.2">
      <c r="B261" s="1" t="s">
        <v>942</v>
      </c>
    </row>
    <row r="262" spans="1:5" x14ac:dyDescent="0.2">
      <c r="A262" s="1">
        <v>0.5</v>
      </c>
      <c r="B262" s="1" t="s">
        <v>943</v>
      </c>
    </row>
    <row r="263" spans="1:5" x14ac:dyDescent="0.2">
      <c r="B263" s="1" t="s">
        <v>944</v>
      </c>
    </row>
    <row r="264" spans="1:5" x14ac:dyDescent="0.2">
      <c r="B264" s="1" t="s">
        <v>945</v>
      </c>
    </row>
    <row r="267" spans="1:5" x14ac:dyDescent="0.2">
      <c r="B267" s="1" t="s">
        <v>946</v>
      </c>
    </row>
    <row r="268" spans="1:5" x14ac:dyDescent="0.2">
      <c r="A268" s="1">
        <v>0.5</v>
      </c>
      <c r="B268" s="1" t="s">
        <v>947</v>
      </c>
    </row>
    <row r="269" spans="1:5" x14ac:dyDescent="0.2">
      <c r="B269" s="1" t="s">
        <v>948</v>
      </c>
    </row>
    <row r="270" spans="1:5" x14ac:dyDescent="0.2">
      <c r="B270" s="1" t="s">
        <v>949</v>
      </c>
    </row>
    <row r="272" spans="1:5" x14ac:dyDescent="0.2">
      <c r="B272" s="1" t="s">
        <v>950</v>
      </c>
      <c r="E272" s="1">
        <f>130-95</f>
        <v>35</v>
      </c>
    </row>
    <row r="273" spans="1:6" x14ac:dyDescent="0.2">
      <c r="C273" s="1" t="s">
        <v>951</v>
      </c>
      <c r="F273" s="1">
        <f>+E272</f>
        <v>35</v>
      </c>
    </row>
    <row r="275" spans="1:6" x14ac:dyDescent="0.2">
      <c r="A275" s="1">
        <v>0.5</v>
      </c>
      <c r="B275" s="1" t="s">
        <v>952</v>
      </c>
    </row>
    <row r="276" spans="1:6" x14ac:dyDescent="0.2">
      <c r="B276" s="1" t="s">
        <v>953</v>
      </c>
    </row>
    <row r="277" spans="1:6" x14ac:dyDescent="0.2">
      <c r="B277" s="1" t="s">
        <v>954</v>
      </c>
    </row>
    <row r="278" spans="1:6" x14ac:dyDescent="0.2">
      <c r="B278" s="1" t="s">
        <v>955</v>
      </c>
    </row>
    <row r="281" spans="1:6" x14ac:dyDescent="0.2">
      <c r="B281" s="1" t="s">
        <v>956</v>
      </c>
    </row>
    <row r="282" spans="1:6" x14ac:dyDescent="0.2">
      <c r="B282" s="1" t="s">
        <v>957</v>
      </c>
    </row>
    <row r="283" spans="1:6" x14ac:dyDescent="0.2">
      <c r="A283" s="1">
        <v>1</v>
      </c>
      <c r="B283" s="1" t="s">
        <v>958</v>
      </c>
    </row>
    <row r="285" spans="1:6" x14ac:dyDescent="0.2">
      <c r="B285" s="1" t="s">
        <v>959</v>
      </c>
    </row>
    <row r="287" spans="1:6" x14ac:dyDescent="0.2">
      <c r="B287" s="1" t="s">
        <v>960</v>
      </c>
      <c r="E287" s="1">
        <v>101</v>
      </c>
    </row>
    <row r="288" spans="1:6" x14ac:dyDescent="0.2">
      <c r="A288" s="1">
        <v>1</v>
      </c>
      <c r="C288" s="1" t="s">
        <v>951</v>
      </c>
      <c r="F288" s="1">
        <v>101</v>
      </c>
    </row>
    <row r="289" spans="2:2" x14ac:dyDescent="0.2">
      <c r="B289" s="1" t="s">
        <v>961</v>
      </c>
    </row>
  </sheetData>
  <hyperlinks>
    <hyperlink ref="A1" location="Main!A1" display="Main" xr:uid="{1D2C1432-D0BE-43EF-AD9D-355C25A088CC}"/>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4EBB2A-1CE3-4EEB-9A08-CF5E3669FD1C}">
  <dimension ref="A1:B2"/>
  <sheetViews>
    <sheetView zoomScale="160" zoomScaleNormal="160" workbookViewId="0">
      <selection activeCell="B3" sqref="B3"/>
    </sheetView>
  </sheetViews>
  <sheetFormatPr defaultRowHeight="12" x14ac:dyDescent="0.2"/>
  <cols>
    <col min="1" max="16384" width="9.140625" style="1"/>
  </cols>
  <sheetData>
    <row r="1" spans="1:2" ht="15" x14ac:dyDescent="0.25">
      <c r="A1" s="2" t="s">
        <v>0</v>
      </c>
    </row>
    <row r="2" spans="1:2" x14ac:dyDescent="0.2">
      <c r="B2" s="1" t="s">
        <v>1129</v>
      </c>
    </row>
  </sheetData>
  <hyperlinks>
    <hyperlink ref="A1" location="Main!A1" display="Main" xr:uid="{8D384A48-2CA3-4FFE-B813-6B559D4379ED}"/>
  </hyperlink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628D61-1FFC-43EF-AEEB-14B8D0C4E2A3}">
  <dimension ref="A1:O353"/>
  <sheetViews>
    <sheetView topLeftCell="A319" zoomScale="190" zoomScaleNormal="190" workbookViewId="0">
      <selection activeCell="E338" sqref="E338"/>
    </sheetView>
  </sheetViews>
  <sheetFormatPr defaultRowHeight="12" x14ac:dyDescent="0.2"/>
  <cols>
    <col min="1" max="1" width="9.140625" style="1"/>
    <col min="2" max="2" width="10.85546875" style="1" customWidth="1"/>
    <col min="3" max="6" width="9.140625" style="1"/>
    <col min="7" max="7" width="7" style="1" customWidth="1"/>
    <col min="8" max="16384" width="9.140625" style="1"/>
  </cols>
  <sheetData>
    <row r="1" spans="1:15" ht="15" x14ac:dyDescent="0.25">
      <c r="A1" s="2" t="s">
        <v>0</v>
      </c>
      <c r="B1" s="4">
        <f>+A2/25</f>
        <v>0.38</v>
      </c>
      <c r="C1" s="1" t="s">
        <v>1073</v>
      </c>
    </row>
    <row r="2" spans="1:15" x14ac:dyDescent="0.2">
      <c r="A2" s="1">
        <f>SUM(A3:A285)</f>
        <v>9.5</v>
      </c>
      <c r="B2" s="1" t="s">
        <v>971</v>
      </c>
    </row>
    <row r="3" spans="1:15" x14ac:dyDescent="0.2">
      <c r="B3" s="1" t="s">
        <v>5</v>
      </c>
      <c r="C3" s="3">
        <v>44742</v>
      </c>
    </row>
    <row r="6" spans="1:15" x14ac:dyDescent="0.2">
      <c r="B6" s="1" t="s">
        <v>972</v>
      </c>
    </row>
    <row r="7" spans="1:15" x14ac:dyDescent="0.2">
      <c r="B7" s="1" t="s">
        <v>971</v>
      </c>
    </row>
    <row r="8" spans="1:15" x14ac:dyDescent="0.2">
      <c r="B8" s="1" t="s">
        <v>818</v>
      </c>
    </row>
    <row r="9" spans="1:15" x14ac:dyDescent="0.2">
      <c r="B9" s="1" t="s">
        <v>973</v>
      </c>
      <c r="M9" s="6"/>
      <c r="N9" s="6"/>
    </row>
    <row r="10" spans="1:15" x14ac:dyDescent="0.2">
      <c r="E10" s="34" t="s">
        <v>1087</v>
      </c>
      <c r="F10" s="34"/>
      <c r="G10" s="56" t="s">
        <v>1122</v>
      </c>
      <c r="H10" s="34" t="s">
        <v>1088</v>
      </c>
      <c r="I10" s="34"/>
      <c r="N10" s="6"/>
      <c r="O10" s="6"/>
    </row>
    <row r="11" spans="1:15" x14ac:dyDescent="0.2">
      <c r="B11" s="1" t="s">
        <v>974</v>
      </c>
      <c r="E11" s="6"/>
      <c r="F11" s="6">
        <v>1693</v>
      </c>
      <c r="G11" s="6">
        <v>1</v>
      </c>
      <c r="H11" s="6">
        <f>+E289</f>
        <v>520.25</v>
      </c>
      <c r="I11" s="6"/>
      <c r="J11" s="6">
        <f>+E11+H11</f>
        <v>520.25</v>
      </c>
      <c r="K11" s="6">
        <f>+F11+I11</f>
        <v>1693</v>
      </c>
      <c r="L11" s="6">
        <f>+J11-K11</f>
        <v>-1172.75</v>
      </c>
      <c r="N11" s="6"/>
      <c r="O11" s="6"/>
    </row>
    <row r="12" spans="1:15" x14ac:dyDescent="0.2">
      <c r="B12" s="1" t="s">
        <v>975</v>
      </c>
      <c r="E12" s="6">
        <v>500</v>
      </c>
      <c r="F12" s="6"/>
      <c r="G12" s="6">
        <v>7</v>
      </c>
      <c r="H12" s="6"/>
      <c r="I12" s="6">
        <v>500</v>
      </c>
      <c r="J12" s="6">
        <f t="shared" ref="J12:J33" si="0">+E12+H12</f>
        <v>500</v>
      </c>
      <c r="K12" s="6">
        <f t="shared" ref="K12:K30" si="1">+F12+I12</f>
        <v>500</v>
      </c>
      <c r="L12" s="6">
        <f t="shared" ref="L12:L33" si="2">+J12-K12</f>
        <v>0</v>
      </c>
      <c r="N12" s="6"/>
      <c r="O12" s="6"/>
    </row>
    <row r="13" spans="1:15" x14ac:dyDescent="0.2">
      <c r="B13" s="1" t="s">
        <v>820</v>
      </c>
      <c r="E13" s="6">
        <v>7453</v>
      </c>
      <c r="F13" s="6"/>
      <c r="G13" s="6"/>
      <c r="H13" s="6"/>
      <c r="I13" s="6"/>
      <c r="J13" s="6">
        <f t="shared" si="0"/>
        <v>7453</v>
      </c>
      <c r="K13" s="6">
        <f t="shared" si="1"/>
        <v>0</v>
      </c>
      <c r="L13" s="6">
        <f t="shared" si="2"/>
        <v>7453</v>
      </c>
    </row>
    <row r="14" spans="1:15" x14ac:dyDescent="0.2">
      <c r="B14" s="1" t="s">
        <v>821</v>
      </c>
      <c r="E14" s="6"/>
      <c r="F14" s="6">
        <v>3526</v>
      </c>
      <c r="G14" s="6">
        <v>1</v>
      </c>
      <c r="H14" s="6"/>
      <c r="I14" s="6">
        <v>230</v>
      </c>
      <c r="J14" s="6">
        <f t="shared" si="0"/>
        <v>0</v>
      </c>
      <c r="K14" s="6">
        <f t="shared" si="1"/>
        <v>3756</v>
      </c>
      <c r="L14" s="6">
        <f t="shared" si="2"/>
        <v>-3756</v>
      </c>
    </row>
    <row r="15" spans="1:15" x14ac:dyDescent="0.2">
      <c r="B15" s="1" t="s">
        <v>409</v>
      </c>
      <c r="E15" s="6">
        <v>214</v>
      </c>
      <c r="F15" s="6"/>
      <c r="G15" s="6">
        <v>1</v>
      </c>
      <c r="H15" s="6"/>
      <c r="I15" s="6">
        <v>87</v>
      </c>
      <c r="J15" s="6">
        <f t="shared" si="0"/>
        <v>214</v>
      </c>
      <c r="K15" s="6">
        <f t="shared" si="1"/>
        <v>87</v>
      </c>
      <c r="L15" s="6">
        <f t="shared" si="2"/>
        <v>127</v>
      </c>
    </row>
    <row r="16" spans="1:15" x14ac:dyDescent="0.2">
      <c r="B16" s="1" t="s">
        <v>976</v>
      </c>
      <c r="E16" s="6">
        <v>541</v>
      </c>
      <c r="F16" s="6"/>
      <c r="G16" s="6"/>
      <c r="H16" s="6"/>
      <c r="I16" s="6"/>
      <c r="J16" s="6">
        <f t="shared" si="0"/>
        <v>541</v>
      </c>
      <c r="K16" s="6">
        <f t="shared" si="1"/>
        <v>0</v>
      </c>
      <c r="L16" s="6">
        <f t="shared" si="2"/>
        <v>541</v>
      </c>
    </row>
    <row r="17" spans="2:12" x14ac:dyDescent="0.2">
      <c r="B17" s="1" t="s">
        <v>977</v>
      </c>
      <c r="E17" s="6"/>
      <c r="F17" s="6">
        <v>351</v>
      </c>
      <c r="G17" s="6">
        <v>1</v>
      </c>
      <c r="H17" s="6"/>
      <c r="I17" s="6">
        <v>13</v>
      </c>
      <c r="J17" s="6">
        <f t="shared" si="0"/>
        <v>0</v>
      </c>
      <c r="K17" s="6">
        <f t="shared" si="1"/>
        <v>364</v>
      </c>
      <c r="L17" s="6">
        <f t="shared" si="2"/>
        <v>-364</v>
      </c>
    </row>
    <row r="18" spans="2:12" x14ac:dyDescent="0.2">
      <c r="B18" s="1" t="s">
        <v>978</v>
      </c>
      <c r="E18" s="6">
        <v>3897</v>
      </c>
      <c r="F18" s="6"/>
      <c r="G18" s="6"/>
      <c r="H18" s="6"/>
      <c r="I18" s="6"/>
      <c r="J18" s="6">
        <f t="shared" si="0"/>
        <v>3897</v>
      </c>
      <c r="K18" s="6">
        <f t="shared" si="1"/>
        <v>0</v>
      </c>
      <c r="L18" s="6">
        <f t="shared" si="2"/>
        <v>3897</v>
      </c>
    </row>
    <row r="19" spans="2:12" x14ac:dyDescent="0.2">
      <c r="B19" s="1" t="s">
        <v>979</v>
      </c>
      <c r="E19" s="6">
        <v>1240</v>
      </c>
      <c r="F19" s="6"/>
      <c r="G19" s="6"/>
      <c r="H19" s="6"/>
      <c r="I19" s="6"/>
      <c r="J19" s="6">
        <f t="shared" si="0"/>
        <v>1240</v>
      </c>
      <c r="K19" s="6">
        <f t="shared" si="1"/>
        <v>0</v>
      </c>
      <c r="L19" s="6">
        <f t="shared" si="2"/>
        <v>1240</v>
      </c>
    </row>
    <row r="20" spans="2:12" x14ac:dyDescent="0.2">
      <c r="B20" s="1" t="s">
        <v>980</v>
      </c>
      <c r="E20" s="6">
        <v>7</v>
      </c>
      <c r="F20" s="6"/>
      <c r="G20" s="6"/>
      <c r="H20" s="6"/>
      <c r="I20" s="6"/>
      <c r="J20" s="6">
        <f t="shared" si="0"/>
        <v>7</v>
      </c>
      <c r="K20" s="6">
        <f t="shared" si="1"/>
        <v>0</v>
      </c>
      <c r="L20" s="6">
        <f t="shared" si="2"/>
        <v>7</v>
      </c>
    </row>
    <row r="21" spans="2:12" x14ac:dyDescent="0.2">
      <c r="B21" s="1" t="s">
        <v>981</v>
      </c>
      <c r="E21" s="6">
        <v>2214</v>
      </c>
      <c r="F21" s="6"/>
      <c r="G21" s="6"/>
      <c r="H21" s="6"/>
      <c r="I21" s="6"/>
      <c r="J21" s="6">
        <f t="shared" si="0"/>
        <v>2214</v>
      </c>
      <c r="K21" s="6">
        <f t="shared" si="1"/>
        <v>0</v>
      </c>
      <c r="L21" s="6">
        <f t="shared" si="2"/>
        <v>2214</v>
      </c>
    </row>
    <row r="22" spans="2:12" x14ac:dyDescent="0.2">
      <c r="B22" s="1" t="s">
        <v>982</v>
      </c>
      <c r="E22" s="6"/>
      <c r="F22" s="6">
        <v>5000</v>
      </c>
      <c r="G22" s="6"/>
      <c r="H22" s="6"/>
      <c r="I22" s="6"/>
      <c r="J22" s="6">
        <f t="shared" si="0"/>
        <v>0</v>
      </c>
      <c r="K22" s="6">
        <f t="shared" si="1"/>
        <v>5000</v>
      </c>
      <c r="L22" s="6">
        <f t="shared" si="2"/>
        <v>-5000</v>
      </c>
    </row>
    <row r="23" spans="2:12" x14ac:dyDescent="0.2">
      <c r="B23" s="1" t="s">
        <v>983</v>
      </c>
      <c r="E23" s="6"/>
      <c r="F23" s="6">
        <v>1000</v>
      </c>
      <c r="G23" s="6"/>
      <c r="H23" s="6"/>
      <c r="I23" s="6"/>
      <c r="J23" s="6">
        <f t="shared" si="0"/>
        <v>0</v>
      </c>
      <c r="K23" s="6">
        <f t="shared" si="1"/>
        <v>1000</v>
      </c>
      <c r="L23" s="6">
        <f t="shared" si="2"/>
        <v>-1000</v>
      </c>
    </row>
    <row r="24" spans="2:12" x14ac:dyDescent="0.2">
      <c r="B24" s="1" t="s">
        <v>984</v>
      </c>
      <c r="E24" s="6"/>
      <c r="F24" s="6">
        <v>825</v>
      </c>
      <c r="G24" s="6" t="s">
        <v>1121</v>
      </c>
      <c r="H24" s="6">
        <v>500</v>
      </c>
      <c r="I24" s="6">
        <v>520</v>
      </c>
      <c r="J24" s="6">
        <f t="shared" si="0"/>
        <v>500</v>
      </c>
      <c r="K24" s="6">
        <f t="shared" si="1"/>
        <v>1345</v>
      </c>
      <c r="L24" s="6">
        <f t="shared" si="2"/>
        <v>-845</v>
      </c>
    </row>
    <row r="25" spans="2:12" x14ac:dyDescent="0.2">
      <c r="B25" s="1" t="s">
        <v>985</v>
      </c>
      <c r="E25" s="6"/>
      <c r="F25" s="6">
        <v>394</v>
      </c>
      <c r="G25" s="6"/>
      <c r="H25" s="6"/>
      <c r="I25" s="6"/>
      <c r="J25" s="6">
        <f t="shared" si="0"/>
        <v>0</v>
      </c>
      <c r="K25" s="6">
        <f t="shared" si="1"/>
        <v>394</v>
      </c>
      <c r="L25" s="6">
        <f t="shared" si="2"/>
        <v>-394</v>
      </c>
    </row>
    <row r="26" spans="2:12" x14ac:dyDescent="0.2">
      <c r="B26" s="1" t="s">
        <v>986</v>
      </c>
      <c r="E26" s="6"/>
      <c r="F26" s="6">
        <v>2250</v>
      </c>
      <c r="G26" s="6"/>
      <c r="H26" s="6"/>
      <c r="I26" s="6"/>
      <c r="J26" s="6">
        <f t="shared" si="0"/>
        <v>0</v>
      </c>
      <c r="K26" s="6">
        <f t="shared" si="1"/>
        <v>2250</v>
      </c>
      <c r="L26" s="6">
        <f t="shared" si="2"/>
        <v>-2250</v>
      </c>
    </row>
    <row r="27" spans="2:12" x14ac:dyDescent="0.2">
      <c r="B27" s="1" t="s">
        <v>987</v>
      </c>
      <c r="E27" s="6"/>
      <c r="F27" s="6">
        <v>204</v>
      </c>
      <c r="G27" s="6"/>
      <c r="H27" s="6"/>
      <c r="I27" s="6"/>
      <c r="J27" s="6">
        <f t="shared" si="0"/>
        <v>0</v>
      </c>
      <c r="K27" s="6">
        <f t="shared" si="1"/>
        <v>204</v>
      </c>
      <c r="L27" s="6">
        <f t="shared" si="2"/>
        <v>-204</v>
      </c>
    </row>
    <row r="28" spans="2:12" x14ac:dyDescent="0.2">
      <c r="B28" s="1" t="s">
        <v>988</v>
      </c>
      <c r="E28" s="6"/>
      <c r="F28" s="6">
        <v>224</v>
      </c>
      <c r="G28" s="6">
        <v>3</v>
      </c>
      <c r="H28" s="6">
        <v>14</v>
      </c>
      <c r="I28" s="6"/>
      <c r="J28" s="6">
        <f t="shared" si="0"/>
        <v>14</v>
      </c>
      <c r="K28" s="6">
        <f t="shared" si="1"/>
        <v>224</v>
      </c>
      <c r="L28" s="6">
        <f t="shared" si="2"/>
        <v>-210</v>
      </c>
    </row>
    <row r="29" spans="2:12" x14ac:dyDescent="0.2">
      <c r="B29" s="1" t="s">
        <v>989</v>
      </c>
      <c r="E29" s="6"/>
      <c r="F29" s="6">
        <v>216</v>
      </c>
      <c r="G29" s="6"/>
      <c r="H29" s="6"/>
      <c r="I29" s="6"/>
      <c r="J29" s="6">
        <f t="shared" si="0"/>
        <v>0</v>
      </c>
      <c r="K29" s="6">
        <f t="shared" si="1"/>
        <v>216</v>
      </c>
      <c r="L29" s="6">
        <f t="shared" si="2"/>
        <v>-216</v>
      </c>
    </row>
    <row r="30" spans="2:12" x14ac:dyDescent="0.2">
      <c r="B30" s="1" t="s">
        <v>990</v>
      </c>
      <c r="E30" s="6"/>
      <c r="F30" s="6">
        <v>234</v>
      </c>
      <c r="G30" s="6"/>
      <c r="H30" s="6"/>
      <c r="I30" s="6"/>
      <c r="J30" s="6">
        <f t="shared" si="0"/>
        <v>0</v>
      </c>
      <c r="K30" s="6">
        <f t="shared" si="1"/>
        <v>234</v>
      </c>
      <c r="L30" s="6">
        <f t="shared" si="2"/>
        <v>-234</v>
      </c>
    </row>
    <row r="31" spans="2:12" x14ac:dyDescent="0.2">
      <c r="B31" s="1" t="s">
        <v>991</v>
      </c>
      <c r="E31" s="6"/>
      <c r="F31" s="6">
        <v>149</v>
      </c>
      <c r="G31" s="6" t="s">
        <v>1120</v>
      </c>
      <c r="H31" s="6">
        <v>140</v>
      </c>
      <c r="I31" s="6">
        <f>360</f>
        <v>360</v>
      </c>
      <c r="J31" s="6">
        <f t="shared" si="0"/>
        <v>140</v>
      </c>
      <c r="K31" s="6">
        <f>+F31+SUM(I31:I33)</f>
        <v>1145</v>
      </c>
      <c r="L31" s="6">
        <f t="shared" si="2"/>
        <v>-1005</v>
      </c>
    </row>
    <row r="32" spans="2:12" x14ac:dyDescent="0.2">
      <c r="E32" s="6"/>
      <c r="F32" s="6"/>
      <c r="G32" s="6"/>
      <c r="H32" s="6"/>
      <c r="I32" s="6">
        <v>400</v>
      </c>
      <c r="J32" s="6">
        <f t="shared" si="0"/>
        <v>0</v>
      </c>
      <c r="K32" s="6">
        <v>0</v>
      </c>
      <c r="L32" s="6">
        <f t="shared" si="2"/>
        <v>0</v>
      </c>
    </row>
    <row r="33" spans="1:12" x14ac:dyDescent="0.2">
      <c r="E33" s="6"/>
      <c r="F33" s="6"/>
      <c r="G33" s="6"/>
      <c r="H33" s="6"/>
      <c r="I33" s="6">
        <v>236</v>
      </c>
      <c r="J33" s="6">
        <f t="shared" si="0"/>
        <v>0</v>
      </c>
      <c r="K33" s="6">
        <v>0</v>
      </c>
      <c r="L33" s="6">
        <f t="shared" si="2"/>
        <v>0</v>
      </c>
    </row>
    <row r="34" spans="1:12" ht="12.75" thickBot="1" x14ac:dyDescent="0.25">
      <c r="E34" s="14">
        <f>SUM(E11:E31)</f>
        <v>16066</v>
      </c>
      <c r="F34" s="14">
        <f>SUM(F11:F31)</f>
        <v>16066</v>
      </c>
      <c r="G34" s="18"/>
      <c r="H34" s="6"/>
      <c r="I34" s="6"/>
      <c r="J34" s="6">
        <f>SUM(J12:J33)</f>
        <v>16720</v>
      </c>
      <c r="K34" s="6">
        <f t="shared" ref="K34:L34" si="3">SUM(K12:K33)</f>
        <v>16719</v>
      </c>
      <c r="L34" s="6">
        <f t="shared" si="3"/>
        <v>1</v>
      </c>
    </row>
    <row r="35" spans="1:12" ht="12.75" thickTop="1" x14ac:dyDescent="0.2"/>
    <row r="36" spans="1:12" s="9" customFormat="1" x14ac:dyDescent="0.2">
      <c r="B36" s="9" t="s">
        <v>992</v>
      </c>
    </row>
    <row r="37" spans="1:12" s="9" customFormat="1" x14ac:dyDescent="0.2">
      <c r="C37" s="9" t="s">
        <v>1013</v>
      </c>
      <c r="D37" s="9" t="s">
        <v>1014</v>
      </c>
      <c r="E37" s="9" t="s">
        <v>1015</v>
      </c>
    </row>
    <row r="38" spans="1:12" s="9" customFormat="1" x14ac:dyDescent="0.2">
      <c r="C38" s="9">
        <v>0.5</v>
      </c>
      <c r="D38" s="9">
        <v>0.35</v>
      </c>
      <c r="E38" s="9">
        <v>0.15</v>
      </c>
    </row>
    <row r="39" spans="1:12" s="9" customFormat="1" x14ac:dyDescent="0.2">
      <c r="B39" s="9" t="s">
        <v>607</v>
      </c>
      <c r="C39" s="9">
        <v>859</v>
      </c>
      <c r="D39" s="9">
        <v>1195</v>
      </c>
      <c r="E39" s="9">
        <v>313</v>
      </c>
      <c r="F39" s="47">
        <f>SUM(C39:E39)</f>
        <v>2367</v>
      </c>
    </row>
    <row r="40" spans="1:12" s="9" customFormat="1" x14ac:dyDescent="0.2">
      <c r="B40" s="9" t="s">
        <v>597</v>
      </c>
      <c r="C40" s="9">
        <v>65</v>
      </c>
      <c r="D40" s="9">
        <v>0</v>
      </c>
      <c r="E40" s="9">
        <v>125</v>
      </c>
      <c r="F40" s="47">
        <f>SUM(C40:E40)</f>
        <v>190</v>
      </c>
    </row>
    <row r="41" spans="1:12" s="9" customFormat="1" x14ac:dyDescent="0.2">
      <c r="B41" s="9" t="s">
        <v>77</v>
      </c>
      <c r="F41" s="47">
        <v>214</v>
      </c>
    </row>
    <row r="42" spans="1:12" s="9" customFormat="1" x14ac:dyDescent="0.2">
      <c r="B42" s="9" t="s">
        <v>400</v>
      </c>
      <c r="C42" s="9">
        <f>+$F$42*C38</f>
        <v>780</v>
      </c>
      <c r="D42" s="9">
        <f t="shared" ref="D42:E42" si="4">+$F$42*D38</f>
        <v>546</v>
      </c>
      <c r="E42" s="9">
        <f t="shared" si="4"/>
        <v>234</v>
      </c>
      <c r="F42" s="47">
        <v>1560</v>
      </c>
    </row>
    <row r="43" spans="1:12" s="9" customFormat="1" ht="12.75" thickBot="1" x14ac:dyDescent="0.25">
      <c r="A43" s="9">
        <v>1</v>
      </c>
      <c r="C43" s="48">
        <f>SUM(C39:C42)</f>
        <v>1704</v>
      </c>
      <c r="D43" s="48">
        <f t="shared" ref="D43:E43" si="5">SUM(D39:D42)</f>
        <v>1741</v>
      </c>
      <c r="E43" s="48">
        <f t="shared" si="5"/>
        <v>672</v>
      </c>
      <c r="F43" s="49">
        <f>SUM(F39:F42)</f>
        <v>4331</v>
      </c>
    </row>
    <row r="44" spans="1:12" s="9" customFormat="1" ht="12.75" thickTop="1" x14ac:dyDescent="0.2">
      <c r="C44" s="51"/>
      <c r="D44" s="51"/>
      <c r="E44" s="51"/>
      <c r="F44" s="52"/>
    </row>
    <row r="45" spans="1:12" s="9" customFormat="1" x14ac:dyDescent="0.2">
      <c r="B45" s="9" t="s">
        <v>32</v>
      </c>
      <c r="C45" s="53">
        <f>+D117</f>
        <v>1680</v>
      </c>
      <c r="D45" s="53">
        <f>+C129+C131+D42</f>
        <v>1665.4</v>
      </c>
      <c r="E45" s="53">
        <f>+C157</f>
        <v>680</v>
      </c>
      <c r="F45" s="52"/>
    </row>
    <row r="46" spans="1:12" s="9" customFormat="1" x14ac:dyDescent="0.2">
      <c r="B46" s="9" t="s">
        <v>1074</v>
      </c>
      <c r="C46" s="53">
        <f>+D118</f>
        <v>-65</v>
      </c>
      <c r="D46" s="53">
        <f>+C130</f>
        <v>-15</v>
      </c>
      <c r="E46" s="53">
        <f>+C158</f>
        <v>-81.599999999999994</v>
      </c>
      <c r="F46" s="52"/>
    </row>
    <row r="47" spans="1:12" s="9" customFormat="1" ht="12.75" thickBot="1" x14ac:dyDescent="0.25">
      <c r="B47" s="9" t="s">
        <v>78</v>
      </c>
      <c r="C47" s="54">
        <f>SUM(C45:C46)</f>
        <v>1615</v>
      </c>
      <c r="D47" s="54">
        <f>SUM(D45:D46)</f>
        <v>1650.4</v>
      </c>
      <c r="E47" s="54">
        <f>SUM(E45:E46)</f>
        <v>598.4</v>
      </c>
      <c r="F47" s="52"/>
    </row>
    <row r="48" spans="1:12" s="9" customFormat="1" ht="12.75" thickTop="1" x14ac:dyDescent="0.2">
      <c r="C48" s="53"/>
      <c r="D48" s="53"/>
      <c r="E48" s="53"/>
      <c r="F48" s="52"/>
    </row>
    <row r="49" spans="2:6" s="9" customFormat="1" x14ac:dyDescent="0.2">
      <c r="B49" s="9" t="s">
        <v>83</v>
      </c>
      <c r="C49" s="53"/>
      <c r="D49" s="53">
        <f>+E137</f>
        <v>361.30099999999999</v>
      </c>
      <c r="E49" s="53"/>
      <c r="F49" s="52"/>
    </row>
    <row r="50" spans="2:6" s="9" customFormat="1" x14ac:dyDescent="0.2">
      <c r="C50" s="53"/>
      <c r="D50" s="53">
        <f t="shared" ref="D50:D52" si="6">+E138</f>
        <v>380.82800000000003</v>
      </c>
      <c r="E50" s="53"/>
      <c r="F50" s="52"/>
    </row>
    <row r="51" spans="2:6" s="9" customFormat="1" x14ac:dyDescent="0.2">
      <c r="C51" s="53"/>
      <c r="D51" s="53">
        <f t="shared" si="6"/>
        <v>390.35399999999998</v>
      </c>
      <c r="E51" s="53"/>
      <c r="F51" s="52"/>
    </row>
    <row r="52" spans="2:6" s="9" customFormat="1" x14ac:dyDescent="0.2">
      <c r="C52" s="53"/>
      <c r="D52" s="53">
        <f t="shared" si="6"/>
        <v>388.15100000000001</v>
      </c>
      <c r="E52" s="53"/>
      <c r="F52" s="52"/>
    </row>
    <row r="53" spans="2:6" s="9" customFormat="1" ht="12.75" thickBot="1" x14ac:dyDescent="0.25">
      <c r="C53" s="54">
        <v>1585</v>
      </c>
      <c r="D53" s="54">
        <f>SUM(D49:D52)</f>
        <v>1520.634</v>
      </c>
      <c r="E53" s="54">
        <f>+C160</f>
        <v>608</v>
      </c>
      <c r="F53" s="52"/>
    </row>
    <row r="54" spans="2:6" s="9" customFormat="1" ht="12.75" thickTop="1" x14ac:dyDescent="0.2">
      <c r="C54" s="53"/>
      <c r="D54" s="53"/>
      <c r="E54" s="53"/>
      <c r="F54" s="52"/>
    </row>
    <row r="55" spans="2:6" s="9" customFormat="1" x14ac:dyDescent="0.2">
      <c r="B55" s="9" t="s">
        <v>1075</v>
      </c>
      <c r="C55" s="53">
        <f>+C43</f>
        <v>1704</v>
      </c>
      <c r="D55" s="53">
        <f t="shared" ref="D55:E55" si="7">+D43</f>
        <v>1741</v>
      </c>
      <c r="E55" s="53">
        <f t="shared" si="7"/>
        <v>672</v>
      </c>
      <c r="F55" s="52"/>
    </row>
    <row r="56" spans="2:6" s="9" customFormat="1" x14ac:dyDescent="0.2">
      <c r="B56" s="9" t="s">
        <v>1076</v>
      </c>
      <c r="C56" s="53">
        <f>MAX(C47,C53)</f>
        <v>1615</v>
      </c>
      <c r="D56" s="53">
        <f t="shared" ref="D56:E56" si="8">MAX(D47,D53)</f>
        <v>1650.4</v>
      </c>
      <c r="E56" s="53">
        <f t="shared" si="8"/>
        <v>608</v>
      </c>
      <c r="F56" s="52"/>
    </row>
    <row r="57" spans="2:6" s="9" customFormat="1" ht="12.75" thickBot="1" x14ac:dyDescent="0.25">
      <c r="B57" s="9" t="s">
        <v>403</v>
      </c>
      <c r="C57" s="54">
        <f>+C56-C55</f>
        <v>-89</v>
      </c>
      <c r="D57" s="54">
        <f t="shared" ref="D57:E57" si="9">+D56-D55</f>
        <v>-90.599999999999909</v>
      </c>
      <c r="E57" s="54">
        <f t="shared" si="9"/>
        <v>-64</v>
      </c>
      <c r="F57" s="52"/>
    </row>
    <row r="58" spans="2:6" s="9" customFormat="1" ht="12.75" thickTop="1" x14ac:dyDescent="0.2">
      <c r="C58" s="53"/>
      <c r="D58" s="53"/>
      <c r="E58" s="53"/>
      <c r="F58" s="52"/>
    </row>
    <row r="59" spans="2:6" s="9" customFormat="1" x14ac:dyDescent="0.2">
      <c r="B59" s="9" t="s">
        <v>620</v>
      </c>
      <c r="C59" s="53"/>
      <c r="D59" s="53"/>
      <c r="E59" s="53"/>
      <c r="F59" s="52"/>
    </row>
    <row r="60" spans="2:6" s="9" customFormat="1" x14ac:dyDescent="0.2">
      <c r="B60" s="9" t="s">
        <v>607</v>
      </c>
      <c r="C60" s="55">
        <f>+(C39+C42)/C43</f>
        <v>0.96185446009389675</v>
      </c>
      <c r="D60" s="55">
        <f>+(D39+D42)/D43</f>
        <v>1</v>
      </c>
      <c r="E60" s="55">
        <f>+(E39+E42)/E43</f>
        <v>0.81398809523809523</v>
      </c>
      <c r="F60" s="52"/>
    </row>
    <row r="61" spans="2:6" s="9" customFormat="1" x14ac:dyDescent="0.2">
      <c r="B61" s="9" t="s">
        <v>597</v>
      </c>
      <c r="C61" s="50">
        <f>+C40/C43</f>
        <v>3.8145539906103289E-2</v>
      </c>
      <c r="D61" s="50">
        <f t="shared" ref="D61:E61" si="10">+D40/D43</f>
        <v>0</v>
      </c>
      <c r="E61" s="50">
        <f t="shared" si="10"/>
        <v>0.18601190476190477</v>
      </c>
      <c r="F61" s="52"/>
    </row>
    <row r="62" spans="2:6" s="9" customFormat="1" x14ac:dyDescent="0.2">
      <c r="C62" s="50"/>
      <c r="D62" s="50"/>
      <c r="E62" s="50"/>
      <c r="F62" s="52"/>
    </row>
    <row r="63" spans="2:6" s="9" customFormat="1" x14ac:dyDescent="0.2">
      <c r="B63" s="9" t="s">
        <v>620</v>
      </c>
      <c r="C63" s="53"/>
      <c r="D63" s="53"/>
      <c r="E63" s="53"/>
      <c r="F63" s="52"/>
    </row>
    <row r="64" spans="2:6" s="9" customFormat="1" x14ac:dyDescent="0.2">
      <c r="B64" s="9" t="s">
        <v>607</v>
      </c>
      <c r="C64" s="53">
        <f t="shared" ref="C64:E65" si="11">+C$57*C60</f>
        <v>-85.605046948356815</v>
      </c>
      <c r="D64" s="53">
        <f t="shared" si="11"/>
        <v>-90.599999999999909</v>
      </c>
      <c r="E64" s="53">
        <f t="shared" si="11"/>
        <v>-52.095238095238095</v>
      </c>
      <c r="F64" s="52"/>
    </row>
    <row r="65" spans="2:6" s="9" customFormat="1" x14ac:dyDescent="0.2">
      <c r="B65" s="9" t="s">
        <v>597</v>
      </c>
      <c r="C65" s="53">
        <f t="shared" si="11"/>
        <v>-3.3949530516431925</v>
      </c>
      <c r="D65" s="53">
        <f t="shared" si="11"/>
        <v>0</v>
      </c>
      <c r="E65" s="53">
        <f t="shared" si="11"/>
        <v>-11.904761904761905</v>
      </c>
      <c r="F65" s="52"/>
    </row>
    <row r="66" spans="2:6" s="9" customFormat="1" ht="12.75" thickBot="1" x14ac:dyDescent="0.25">
      <c r="C66" s="54">
        <f>SUM(C64:C65)</f>
        <v>-89.000000000000014</v>
      </c>
      <c r="D66" s="54">
        <f t="shared" ref="D66:E66" si="12">SUM(D64:D65)</f>
        <v>-90.599999999999909</v>
      </c>
      <c r="E66" s="54">
        <f t="shared" si="12"/>
        <v>-64</v>
      </c>
      <c r="F66" s="52"/>
    </row>
    <row r="67" spans="2:6" s="9" customFormat="1" ht="12.75" thickTop="1" x14ac:dyDescent="0.2">
      <c r="C67" s="53"/>
      <c r="D67" s="53"/>
      <c r="E67" s="53"/>
      <c r="F67" s="52"/>
    </row>
    <row r="68" spans="2:6" s="9" customFormat="1" x14ac:dyDescent="0.2">
      <c r="B68" s="9" t="s">
        <v>621</v>
      </c>
      <c r="C68" s="53">
        <f>+C$57*C60</f>
        <v>-85.605046948356815</v>
      </c>
      <c r="D68" s="53">
        <f t="shared" ref="D68:D69" si="13">+D$57*D60</f>
        <v>-90.599999999999909</v>
      </c>
      <c r="E68" s="53">
        <f>+E$57*E60-2</f>
        <v>-54.095238095238095</v>
      </c>
      <c r="F68" s="52"/>
    </row>
    <row r="69" spans="2:6" s="9" customFormat="1" x14ac:dyDescent="0.2">
      <c r="C69" s="53">
        <f>+C$57*C61</f>
        <v>-3.3949530516431925</v>
      </c>
      <c r="D69" s="53">
        <f t="shared" si="13"/>
        <v>0</v>
      </c>
      <c r="E69" s="53">
        <v>-10</v>
      </c>
      <c r="F69" s="52"/>
    </row>
    <row r="70" spans="2:6" s="9" customFormat="1" ht="12.75" thickBot="1" x14ac:dyDescent="0.25">
      <c r="C70" s="54">
        <f>SUM(C68:C69)</f>
        <v>-89.000000000000014</v>
      </c>
      <c r="D70" s="54">
        <f t="shared" ref="D70" si="14">SUM(D68:D69)</f>
        <v>-90.599999999999909</v>
      </c>
      <c r="E70" s="54">
        <f t="shared" ref="E70" si="15">SUM(E68:E69)</f>
        <v>-64.095238095238102</v>
      </c>
      <c r="F70" s="52"/>
    </row>
    <row r="71" spans="2:6" s="9" customFormat="1" ht="12.75" thickTop="1" x14ac:dyDescent="0.2">
      <c r="C71" s="53"/>
      <c r="D71" s="53"/>
      <c r="E71" s="53"/>
      <c r="F71" s="52"/>
    </row>
    <row r="72" spans="2:6" s="9" customFormat="1" x14ac:dyDescent="0.2">
      <c r="B72" s="9" t="s">
        <v>1077</v>
      </c>
      <c r="C72" s="53"/>
      <c r="D72" s="53"/>
      <c r="E72" s="53"/>
      <c r="F72" s="52"/>
    </row>
    <row r="73" spans="2:6" s="9" customFormat="1" x14ac:dyDescent="0.2">
      <c r="C73" s="53"/>
      <c r="D73" s="53"/>
      <c r="E73" s="53"/>
      <c r="F73" s="52"/>
    </row>
    <row r="74" spans="2:6" s="9" customFormat="1" x14ac:dyDescent="0.2">
      <c r="B74" s="9" t="s">
        <v>409</v>
      </c>
      <c r="C74" s="53"/>
      <c r="D74" s="53"/>
      <c r="E74" s="53"/>
      <c r="F74" s="52"/>
    </row>
    <row r="75" spans="2:6" s="9" customFormat="1" x14ac:dyDescent="0.2">
      <c r="B75" s="9" t="s">
        <v>1078</v>
      </c>
      <c r="C75" s="53"/>
      <c r="D75" s="53"/>
      <c r="E75" s="53">
        <f>SUM(C55:E55)</f>
        <v>4117</v>
      </c>
      <c r="F75" s="52"/>
    </row>
    <row r="76" spans="2:6" s="9" customFormat="1" x14ac:dyDescent="0.2">
      <c r="B76" s="9" t="s">
        <v>1079</v>
      </c>
      <c r="C76" s="53"/>
      <c r="D76" s="53"/>
      <c r="E76" s="53">
        <f>SUM(C70:E70)</f>
        <v>-243.69523809523801</v>
      </c>
      <c r="F76" s="52"/>
    </row>
    <row r="77" spans="2:6" s="9" customFormat="1" x14ac:dyDescent="0.2">
      <c r="B77" s="9" t="s">
        <v>409</v>
      </c>
      <c r="C77" s="53"/>
      <c r="D77" s="53"/>
      <c r="E77" s="53">
        <f>+F41</f>
        <v>214</v>
      </c>
      <c r="F77" s="52"/>
    </row>
    <row r="78" spans="2:6" s="9" customFormat="1" x14ac:dyDescent="0.2">
      <c r="B78" s="9" t="s">
        <v>1080</v>
      </c>
      <c r="C78" s="53"/>
      <c r="D78" s="53"/>
      <c r="E78" s="53">
        <f>SUM(E75:E77)</f>
        <v>4087.304761904762</v>
      </c>
      <c r="F78" s="52"/>
    </row>
    <row r="79" spans="2:6" s="9" customFormat="1" x14ac:dyDescent="0.2">
      <c r="B79" s="9" t="s">
        <v>1081</v>
      </c>
      <c r="C79" s="53"/>
      <c r="D79" s="53"/>
      <c r="E79" s="53">
        <f>+F94</f>
        <v>4000</v>
      </c>
      <c r="F79" s="52"/>
    </row>
    <row r="80" spans="2:6" s="9" customFormat="1" x14ac:dyDescent="0.2">
      <c r="B80" s="9" t="s">
        <v>1082</v>
      </c>
      <c r="C80" s="53"/>
      <c r="D80" s="53"/>
      <c r="E80" s="53">
        <f>+E79-E78</f>
        <v>-87.304761904762017</v>
      </c>
      <c r="F80" s="52"/>
    </row>
    <row r="81" spans="2:6" s="9" customFormat="1" x14ac:dyDescent="0.2">
      <c r="C81" s="53"/>
      <c r="D81" s="53"/>
      <c r="E81" s="53"/>
      <c r="F81" s="52"/>
    </row>
    <row r="82" spans="2:6" s="9" customFormat="1" x14ac:dyDescent="0.2">
      <c r="B82" s="9" t="s">
        <v>1084</v>
      </c>
      <c r="C82" s="53"/>
      <c r="D82" s="53"/>
      <c r="E82" s="53">
        <f>-SUM(C68:E68)</f>
        <v>230.30028504359481</v>
      </c>
      <c r="F82" s="52"/>
    </row>
    <row r="83" spans="2:6" s="9" customFormat="1" x14ac:dyDescent="0.2">
      <c r="B83" s="9" t="s">
        <v>1083</v>
      </c>
      <c r="C83" s="53"/>
      <c r="D83" s="53"/>
      <c r="E83" s="53" cm="1">
        <f t="array" ref="E83">-SUM(+C69:E69)</f>
        <v>13.394953051643192</v>
      </c>
      <c r="F83" s="52"/>
    </row>
    <row r="84" spans="2:6" s="9" customFormat="1" x14ac:dyDescent="0.2">
      <c r="B84" s="9" t="s">
        <v>1085</v>
      </c>
      <c r="C84" s="53"/>
      <c r="D84" s="53"/>
      <c r="E84" s="53">
        <f>-E80</f>
        <v>87.304761904762017</v>
      </c>
      <c r="F84" s="52"/>
    </row>
    <row r="85" spans="2:6" s="9" customFormat="1" x14ac:dyDescent="0.2">
      <c r="B85" s="9" t="s">
        <v>626</v>
      </c>
      <c r="C85" s="53"/>
      <c r="D85" s="53"/>
      <c r="E85" s="53">
        <f>SUM(E82:E84)</f>
        <v>331</v>
      </c>
      <c r="F85" s="51"/>
    </row>
    <row r="86" spans="2:6" s="9" customFormat="1" x14ac:dyDescent="0.2">
      <c r="C86" s="53"/>
      <c r="D86" s="53"/>
      <c r="E86" s="53"/>
      <c r="F86" s="51"/>
    </row>
    <row r="87" spans="2:6" s="9" customFormat="1" x14ac:dyDescent="0.2">
      <c r="B87" s="9" t="s">
        <v>1086</v>
      </c>
      <c r="C87" s="53"/>
      <c r="D87" s="53"/>
      <c r="E87" s="53">
        <f>SUM(F88:F90)</f>
        <v>331</v>
      </c>
      <c r="F87" s="51"/>
    </row>
    <row r="88" spans="2:6" s="9" customFormat="1" x14ac:dyDescent="0.2">
      <c r="C88" s="53" t="s">
        <v>311</v>
      </c>
      <c r="D88" s="53"/>
      <c r="E88" s="53"/>
      <c r="F88" s="53">
        <f>+E82</f>
        <v>230.30028504359481</v>
      </c>
    </row>
    <row r="89" spans="2:6" s="9" customFormat="1" x14ac:dyDescent="0.2">
      <c r="C89" s="53" t="s">
        <v>852</v>
      </c>
      <c r="D89" s="53"/>
      <c r="E89" s="53"/>
      <c r="F89" s="53">
        <f>+E83</f>
        <v>13.394953051643192</v>
      </c>
    </row>
    <row r="90" spans="2:6" s="9" customFormat="1" x14ac:dyDescent="0.2">
      <c r="C90" s="53" t="s">
        <v>80</v>
      </c>
      <c r="D90" s="53"/>
      <c r="E90" s="53"/>
      <c r="F90" s="53">
        <f>+E84</f>
        <v>87.304761904762017</v>
      </c>
    </row>
    <row r="91" spans="2:6" s="9" customFormat="1" x14ac:dyDescent="0.2">
      <c r="B91" s="9" t="s">
        <v>629</v>
      </c>
      <c r="C91" s="53"/>
      <c r="D91" s="53"/>
      <c r="E91" s="53"/>
      <c r="F91" s="51"/>
    </row>
    <row r="92" spans="2:6" s="9" customFormat="1" x14ac:dyDescent="0.2">
      <c r="C92" s="53"/>
      <c r="D92" s="53"/>
      <c r="E92" s="53"/>
      <c r="F92" s="51"/>
    </row>
    <row r="93" spans="2:6" s="9" customFormat="1" x14ac:dyDescent="0.2"/>
    <row r="94" spans="2:6" s="7" customFormat="1" x14ac:dyDescent="0.2">
      <c r="B94" s="7" t="s">
        <v>253</v>
      </c>
      <c r="F94" s="7">
        <v>4000</v>
      </c>
    </row>
    <row r="95" spans="2:6" s="7" customFormat="1" x14ac:dyDescent="0.2">
      <c r="B95" s="7" t="s">
        <v>993</v>
      </c>
      <c r="F95" s="7">
        <f>+F94-F43</f>
        <v>-331</v>
      </c>
    </row>
    <row r="96" spans="2:6" s="7" customFormat="1" x14ac:dyDescent="0.2">
      <c r="B96" s="7" t="s">
        <v>994</v>
      </c>
      <c r="F96" s="7">
        <f>+F41</f>
        <v>214</v>
      </c>
    </row>
    <row r="97" spans="1:6" s="7" customFormat="1" x14ac:dyDescent="0.2">
      <c r="B97" s="7" t="s">
        <v>995</v>
      </c>
      <c r="F97" s="7">
        <f>+F95+F96</f>
        <v>-117</v>
      </c>
    </row>
    <row r="98" spans="1:6" s="7" customFormat="1" x14ac:dyDescent="0.2">
      <c r="B98" s="7" t="s">
        <v>996</v>
      </c>
    </row>
    <row r="99" spans="1:6" s="7" customFormat="1" x14ac:dyDescent="0.2"/>
    <row r="100" spans="1:6" s="7" customFormat="1" x14ac:dyDescent="0.2">
      <c r="C100" s="7">
        <f>+C39+C42</f>
        <v>1639</v>
      </c>
      <c r="D100" s="7">
        <f>+D39+D42</f>
        <v>1741</v>
      </c>
      <c r="E100" s="7">
        <f>+E39+E42</f>
        <v>547</v>
      </c>
    </row>
    <row r="101" spans="1:6" s="7" customFormat="1" x14ac:dyDescent="0.2">
      <c r="C101" s="45">
        <f>+C100/SUM($C$100:$E$100)</f>
        <v>0.4173669467787115</v>
      </c>
      <c r="D101" s="45">
        <f t="shared" ref="D101:E101" si="16">+D100/SUM($C$100:$E$100)</f>
        <v>0.44334097275273748</v>
      </c>
      <c r="E101" s="45">
        <f t="shared" si="16"/>
        <v>0.13929208046855104</v>
      </c>
    </row>
    <row r="102" spans="1:6" s="7" customFormat="1" x14ac:dyDescent="0.2">
      <c r="B102" s="7" t="s">
        <v>997</v>
      </c>
      <c r="C102" s="8">
        <f>+C101*$F$97</f>
        <v>-48.831932773109244</v>
      </c>
      <c r="D102" s="8">
        <f t="shared" ref="D102:E102" si="17">+D101*$F$97</f>
        <v>-51.870893812070285</v>
      </c>
      <c r="E102" s="8">
        <f t="shared" si="17"/>
        <v>-16.297173414820474</v>
      </c>
    </row>
    <row r="103" spans="1:6" s="7" customFormat="1" x14ac:dyDescent="0.2">
      <c r="C103" s="8"/>
      <c r="D103" s="8"/>
      <c r="E103" s="8"/>
    </row>
    <row r="104" spans="1:6" s="7" customFormat="1" x14ac:dyDescent="0.2">
      <c r="A104" s="7">
        <v>0.5</v>
      </c>
      <c r="B104" s="7" t="s">
        <v>1012</v>
      </c>
      <c r="C104" s="8">
        <f>+C43+C102</f>
        <v>1655.1680672268908</v>
      </c>
      <c r="D104" s="8">
        <f>+D43+D102</f>
        <v>1689.1291061879297</v>
      </c>
      <c r="E104" s="8">
        <f>+E43+E102</f>
        <v>655.70282658517954</v>
      </c>
    </row>
    <row r="105" spans="1:6" s="7" customFormat="1" x14ac:dyDescent="0.2"/>
    <row r="106" spans="1:6" s="7" customFormat="1" x14ac:dyDescent="0.2">
      <c r="B106" s="7" t="s">
        <v>998</v>
      </c>
    </row>
    <row r="107" spans="1:6" s="7" customFormat="1" x14ac:dyDescent="0.2">
      <c r="B107" s="7" t="s">
        <v>999</v>
      </c>
      <c r="E107" s="8">
        <f>SUM(F108:F111)</f>
        <v>331</v>
      </c>
    </row>
    <row r="108" spans="1:6" s="7" customFormat="1" x14ac:dyDescent="0.2">
      <c r="C108" s="7" t="s">
        <v>1000</v>
      </c>
      <c r="F108" s="7">
        <f>+F96</f>
        <v>214</v>
      </c>
    </row>
    <row r="109" spans="1:6" s="7" customFormat="1" x14ac:dyDescent="0.2">
      <c r="C109" s="7" t="s">
        <v>1001</v>
      </c>
      <c r="F109" s="8">
        <f>-C102</f>
        <v>48.831932773109244</v>
      </c>
    </row>
    <row r="110" spans="1:6" s="7" customFormat="1" x14ac:dyDescent="0.2">
      <c r="C110" s="7" t="s">
        <v>1002</v>
      </c>
      <c r="F110" s="8">
        <f>-D102</f>
        <v>51.870893812070285</v>
      </c>
    </row>
    <row r="111" spans="1:6" s="7" customFormat="1" x14ac:dyDescent="0.2">
      <c r="C111" s="7" t="s">
        <v>1003</v>
      </c>
      <c r="F111" s="8">
        <f>-E102</f>
        <v>16.297173414820474</v>
      </c>
    </row>
    <row r="112" spans="1:6" s="7" customFormat="1" x14ac:dyDescent="0.2">
      <c r="B112" s="7" t="s">
        <v>1004</v>
      </c>
    </row>
    <row r="113" spans="1:6" s="7" customFormat="1" x14ac:dyDescent="0.2"/>
    <row r="114" spans="1:6" s="7" customFormat="1" x14ac:dyDescent="0.2"/>
    <row r="115" spans="1:6" s="7" customFormat="1" x14ac:dyDescent="0.2"/>
    <row r="116" spans="1:6" s="7" customFormat="1" x14ac:dyDescent="0.2">
      <c r="B116" s="7" t="s">
        <v>1005</v>
      </c>
    </row>
    <row r="117" spans="1:6" s="7" customFormat="1" x14ac:dyDescent="0.2">
      <c r="B117" s="7" t="s">
        <v>32</v>
      </c>
      <c r="D117" s="8">
        <v>1680</v>
      </c>
    </row>
    <row r="118" spans="1:6" s="7" customFormat="1" x14ac:dyDescent="0.2">
      <c r="B118" s="7" t="s">
        <v>1006</v>
      </c>
      <c r="D118" s="8">
        <v>-65</v>
      </c>
    </row>
    <row r="119" spans="1:6" s="7" customFormat="1" x14ac:dyDescent="0.2">
      <c r="B119" s="7" t="s">
        <v>32</v>
      </c>
      <c r="D119" s="8">
        <f>SUM(D117:D118)</f>
        <v>1615</v>
      </c>
    </row>
    <row r="120" spans="1:6" s="7" customFormat="1" x14ac:dyDescent="0.2">
      <c r="A120" s="7">
        <v>0.5</v>
      </c>
      <c r="B120" s="7" t="s">
        <v>306</v>
      </c>
      <c r="D120" s="8">
        <f>+C43</f>
        <v>1704</v>
      </c>
    </row>
    <row r="121" spans="1:6" s="7" customFormat="1" x14ac:dyDescent="0.2">
      <c r="B121" s="7" t="s">
        <v>1007</v>
      </c>
      <c r="D121" s="8">
        <f>+D119-D120</f>
        <v>-89</v>
      </c>
    </row>
    <row r="122" spans="1:6" s="7" customFormat="1" x14ac:dyDescent="0.2"/>
    <row r="123" spans="1:6" s="7" customFormat="1" x14ac:dyDescent="0.2">
      <c r="B123" s="7" t="s">
        <v>1009</v>
      </c>
      <c r="E123" s="8">
        <f>+F124</f>
        <v>89</v>
      </c>
    </row>
    <row r="124" spans="1:6" s="7" customFormat="1" x14ac:dyDescent="0.2">
      <c r="C124" s="7" t="s">
        <v>1008</v>
      </c>
      <c r="F124" s="8">
        <f>-D121</f>
        <v>89</v>
      </c>
    </row>
    <row r="125" spans="1:6" s="7" customFormat="1" x14ac:dyDescent="0.2">
      <c r="B125" s="7" t="s">
        <v>1010</v>
      </c>
      <c r="F125" s="8"/>
    </row>
    <row r="126" spans="1:6" s="7" customFormat="1" x14ac:dyDescent="0.2"/>
    <row r="127" spans="1:6" s="7" customFormat="1" x14ac:dyDescent="0.2"/>
    <row r="128" spans="1:6" s="7" customFormat="1" x14ac:dyDescent="0.2">
      <c r="B128" s="7" t="s">
        <v>1011</v>
      </c>
    </row>
    <row r="129" spans="1:5" s="7" customFormat="1" x14ac:dyDescent="0.2">
      <c r="C129" s="8">
        <v>950</v>
      </c>
    </row>
    <row r="130" spans="1:5" s="7" customFormat="1" x14ac:dyDescent="0.2">
      <c r="C130" s="8">
        <v>-15</v>
      </c>
    </row>
    <row r="131" spans="1:5" s="7" customFormat="1" x14ac:dyDescent="0.2">
      <c r="C131" s="8">
        <f>0.7*242</f>
        <v>169.39999999999998</v>
      </c>
    </row>
    <row r="132" spans="1:5" s="7" customFormat="1" x14ac:dyDescent="0.2">
      <c r="A132" s="7">
        <v>0</v>
      </c>
      <c r="B132" s="7" t="s">
        <v>32</v>
      </c>
      <c r="C132" s="8">
        <f>SUM(C129:C131)</f>
        <v>1104.4000000000001</v>
      </c>
    </row>
    <row r="133" spans="1:5" s="7" customFormat="1" x14ac:dyDescent="0.2">
      <c r="C133" s="8"/>
    </row>
    <row r="134" spans="1:5" s="7" customFormat="1" x14ac:dyDescent="0.2">
      <c r="B134" s="7" t="s">
        <v>1017</v>
      </c>
      <c r="C134" s="8"/>
    </row>
    <row r="135" spans="1:5" s="7" customFormat="1" x14ac:dyDescent="0.2">
      <c r="C135" s="8"/>
    </row>
    <row r="136" spans="1:5" s="7" customFormat="1" x14ac:dyDescent="0.2">
      <c r="B136" s="7" t="s">
        <v>5</v>
      </c>
    </row>
    <row r="137" spans="1:5" s="7" customFormat="1" x14ac:dyDescent="0.2">
      <c r="B137" s="27">
        <v>45107</v>
      </c>
      <c r="C137" s="7">
        <v>401</v>
      </c>
      <c r="D137" s="7">
        <v>0.90100000000000002</v>
      </c>
      <c r="E137" s="8">
        <f>+C137*D137</f>
        <v>361.30099999999999</v>
      </c>
    </row>
    <row r="138" spans="1:5" s="7" customFormat="1" x14ac:dyDescent="0.2">
      <c r="B138" s="27">
        <v>45473</v>
      </c>
      <c r="C138" s="7">
        <v>469</v>
      </c>
      <c r="D138" s="7">
        <v>0.81200000000000006</v>
      </c>
      <c r="E138" s="8">
        <f t="shared" ref="E138:E140" si="18">+C138*D138</f>
        <v>380.82800000000003</v>
      </c>
    </row>
    <row r="139" spans="1:5" s="7" customFormat="1" x14ac:dyDescent="0.2">
      <c r="B139" s="27">
        <v>45838</v>
      </c>
      <c r="C139" s="7">
        <v>534</v>
      </c>
      <c r="D139" s="7">
        <v>0.73099999999999998</v>
      </c>
      <c r="E139" s="8">
        <f t="shared" si="18"/>
        <v>390.35399999999998</v>
      </c>
    </row>
    <row r="140" spans="1:5" s="7" customFormat="1" x14ac:dyDescent="0.2">
      <c r="B140" s="27">
        <v>46203</v>
      </c>
      <c r="C140" s="7">
        <v>589</v>
      </c>
      <c r="D140" s="7">
        <v>0.65900000000000003</v>
      </c>
      <c r="E140" s="8">
        <f t="shared" si="18"/>
        <v>388.15100000000001</v>
      </c>
    </row>
    <row r="141" spans="1:5" s="7" customFormat="1" x14ac:dyDescent="0.2">
      <c r="B141" s="7" t="s">
        <v>83</v>
      </c>
      <c r="E141" s="8">
        <f>SUM(E137:E140)</f>
        <v>1520.634</v>
      </c>
    </row>
    <row r="142" spans="1:5" s="7" customFormat="1" x14ac:dyDescent="0.2">
      <c r="B142" s="7" t="s">
        <v>306</v>
      </c>
      <c r="E142" s="8">
        <f>+D104</f>
        <v>1689.1291061879297</v>
      </c>
    </row>
    <row r="143" spans="1:5" s="7" customFormat="1" ht="12.75" thickBot="1" x14ac:dyDescent="0.25">
      <c r="B143" s="7" t="s">
        <v>1016</v>
      </c>
      <c r="E143" s="46">
        <f>+E141-E142</f>
        <v>-168.49510618792965</v>
      </c>
    </row>
    <row r="144" spans="1:5" s="7" customFormat="1" ht="12.75" thickTop="1" x14ac:dyDescent="0.2"/>
    <row r="145" spans="1:5" s="7" customFormat="1" x14ac:dyDescent="0.2">
      <c r="B145" s="7" t="s">
        <v>36</v>
      </c>
      <c r="E145" s="8">
        <f>-E143</f>
        <v>168.49510618792965</v>
      </c>
    </row>
    <row r="146" spans="1:5" s="7" customFormat="1" x14ac:dyDescent="0.2">
      <c r="C146" s="7" t="s">
        <v>1018</v>
      </c>
    </row>
    <row r="147" spans="1:5" s="7" customFormat="1" x14ac:dyDescent="0.2">
      <c r="B147" s="7" t="s">
        <v>1019</v>
      </c>
    </row>
    <row r="148" spans="1:5" s="7" customFormat="1" x14ac:dyDescent="0.2"/>
    <row r="149" spans="1:5" s="7" customFormat="1" x14ac:dyDescent="0.2"/>
    <row r="150" spans="1:5" s="7" customFormat="1" x14ac:dyDescent="0.2"/>
    <row r="151" spans="1:5" s="7" customFormat="1" x14ac:dyDescent="0.2">
      <c r="B151" s="7" t="s">
        <v>1015</v>
      </c>
    </row>
    <row r="152" spans="1:5" s="7" customFormat="1" x14ac:dyDescent="0.2">
      <c r="B152" s="7" t="s">
        <v>548</v>
      </c>
    </row>
    <row r="153" spans="1:5" s="7" customFormat="1" x14ac:dyDescent="0.2">
      <c r="B153" s="7" t="s">
        <v>32</v>
      </c>
      <c r="C153" s="7">
        <v>115</v>
      </c>
    </row>
    <row r="154" spans="1:5" s="7" customFormat="1" x14ac:dyDescent="0.2">
      <c r="B154" s="7" t="s">
        <v>306</v>
      </c>
      <c r="C154" s="7">
        <f>+E40</f>
        <v>125</v>
      </c>
    </row>
    <row r="155" spans="1:5" s="7" customFormat="1" ht="12.75" thickBot="1" x14ac:dyDescent="0.25">
      <c r="A155" s="7">
        <v>0.5</v>
      </c>
      <c r="B155" s="7" t="s">
        <v>403</v>
      </c>
      <c r="C155" s="44">
        <f>+C153-C154</f>
        <v>-10</v>
      </c>
      <c r="D155" s="7" t="s">
        <v>1020</v>
      </c>
    </row>
    <row r="156" spans="1:5" s="7" customFormat="1" ht="12.75" thickTop="1" x14ac:dyDescent="0.2"/>
    <row r="157" spans="1:5" s="7" customFormat="1" x14ac:dyDescent="0.2">
      <c r="B157" s="7" t="s">
        <v>32</v>
      </c>
      <c r="C157" s="8">
        <v>680</v>
      </c>
    </row>
    <row r="158" spans="1:5" s="7" customFormat="1" x14ac:dyDescent="0.2">
      <c r="A158" s="7">
        <v>0.5</v>
      </c>
      <c r="B158" s="7" t="s">
        <v>240</v>
      </c>
      <c r="C158" s="8">
        <f>-0.12*C157</f>
        <v>-81.599999999999994</v>
      </c>
    </row>
    <row r="159" spans="1:5" s="7" customFormat="1" x14ac:dyDescent="0.2">
      <c r="B159" s="7" t="s">
        <v>32</v>
      </c>
      <c r="C159" s="8">
        <f>SUM(C157:C158)</f>
        <v>598.4</v>
      </c>
    </row>
    <row r="160" spans="1:5" s="7" customFormat="1" x14ac:dyDescent="0.2">
      <c r="B160" s="7" t="s">
        <v>83</v>
      </c>
      <c r="C160" s="8">
        <v>608</v>
      </c>
      <c r="D160" s="7" t="s">
        <v>1022</v>
      </c>
    </row>
    <row r="161" spans="2:7" s="7" customFormat="1" x14ac:dyDescent="0.2">
      <c r="B161" s="7" t="s">
        <v>306</v>
      </c>
      <c r="C161" s="8">
        <f>+E104</f>
        <v>655.70282658517954</v>
      </c>
    </row>
    <row r="162" spans="2:7" s="7" customFormat="1" x14ac:dyDescent="0.2">
      <c r="B162" s="7" t="s">
        <v>79</v>
      </c>
      <c r="C162" s="8">
        <f>+C160-C161</f>
        <v>-47.702826585179537</v>
      </c>
    </row>
    <row r="163" spans="2:7" s="7" customFormat="1" x14ac:dyDescent="0.2">
      <c r="B163" s="7" t="s">
        <v>597</v>
      </c>
      <c r="C163" s="7">
        <f>-C155</f>
        <v>10</v>
      </c>
    </row>
    <row r="164" spans="2:7" s="7" customFormat="1" x14ac:dyDescent="0.2">
      <c r="B164" s="7" t="s">
        <v>607</v>
      </c>
      <c r="C164" s="8">
        <f>SUM(C162:C163)</f>
        <v>-37.702826585179537</v>
      </c>
    </row>
    <row r="165" spans="2:7" s="7" customFormat="1" x14ac:dyDescent="0.2">
      <c r="C165" s="8"/>
    </row>
    <row r="166" spans="2:7" s="7" customFormat="1" x14ac:dyDescent="0.2">
      <c r="B166" s="7" t="s">
        <v>36</v>
      </c>
      <c r="C166" s="8"/>
      <c r="E166" s="8">
        <f>SUM(F167:F168)</f>
        <v>47.702826585179537</v>
      </c>
    </row>
    <row r="167" spans="2:7" s="7" customFormat="1" x14ac:dyDescent="0.2">
      <c r="C167" s="7" t="s">
        <v>587</v>
      </c>
      <c r="F167" s="7">
        <f>-C155</f>
        <v>10</v>
      </c>
    </row>
    <row r="168" spans="2:7" s="7" customFormat="1" x14ac:dyDescent="0.2">
      <c r="C168" s="7" t="s">
        <v>890</v>
      </c>
      <c r="F168" s="8">
        <f>-C164</f>
        <v>37.702826585179537</v>
      </c>
    </row>
    <row r="169" spans="2:7" s="7" customFormat="1" x14ac:dyDescent="0.2">
      <c r="B169" s="7" t="s">
        <v>1021</v>
      </c>
    </row>
    <row r="172" spans="2:7" x14ac:dyDescent="0.2">
      <c r="B172" s="43" t="s">
        <v>991</v>
      </c>
      <c r="F172" s="1">
        <v>149</v>
      </c>
    </row>
    <row r="173" spans="2:7" x14ac:dyDescent="0.2">
      <c r="B173" s="1" t="s">
        <v>988</v>
      </c>
      <c r="F173" s="1">
        <v>224</v>
      </c>
    </row>
    <row r="174" spans="2:7" x14ac:dyDescent="0.2">
      <c r="B174" s="1" t="s">
        <v>1023</v>
      </c>
      <c r="F174" s="1">
        <f>SUM(F173:F173)</f>
        <v>224</v>
      </c>
    </row>
    <row r="176" spans="2:7" x14ac:dyDescent="0.2">
      <c r="B176" s="1" t="s">
        <v>1089</v>
      </c>
      <c r="C176" s="1" t="s">
        <v>1090</v>
      </c>
      <c r="D176" s="1" t="s">
        <v>248</v>
      </c>
      <c r="E176" s="1" t="s">
        <v>34</v>
      </c>
      <c r="F176" s="1" t="s">
        <v>1091</v>
      </c>
      <c r="G176" s="1" t="s">
        <v>1092</v>
      </c>
    </row>
    <row r="177" spans="2:7" x14ac:dyDescent="0.2">
      <c r="B177" s="3">
        <v>44377</v>
      </c>
      <c r="C177" s="4">
        <v>0.06</v>
      </c>
      <c r="D177" s="1">
        <v>15.25</v>
      </c>
      <c r="E177" s="1">
        <v>250</v>
      </c>
      <c r="F177" s="6">
        <f>+C177*D177*E177</f>
        <v>228.74999999999997</v>
      </c>
      <c r="G177" s="6"/>
    </row>
    <row r="178" spans="2:7" x14ac:dyDescent="0.2">
      <c r="B178" s="3">
        <v>44742</v>
      </c>
      <c r="C178" s="4">
        <v>0.04</v>
      </c>
      <c r="D178" s="1">
        <v>14</v>
      </c>
      <c r="E178" s="1">
        <v>250</v>
      </c>
      <c r="F178" s="6">
        <f>+C178*D178*E178</f>
        <v>140</v>
      </c>
      <c r="G178" s="6"/>
    </row>
    <row r="179" spans="2:7" x14ac:dyDescent="0.2">
      <c r="B179" s="3">
        <v>44742</v>
      </c>
      <c r="C179" s="4">
        <v>0.06</v>
      </c>
      <c r="D179" s="1">
        <v>14</v>
      </c>
      <c r="E179" s="1">
        <v>250</v>
      </c>
      <c r="F179" s="6"/>
      <c r="G179" s="6">
        <f>+C179*D179*E179</f>
        <v>210</v>
      </c>
    </row>
    <row r="180" spans="2:7" x14ac:dyDescent="0.2">
      <c r="F180" s="6">
        <f>SUM(F177:F179)</f>
        <v>368.75</v>
      </c>
      <c r="G180" s="6">
        <f>SUM(G177:G179)</f>
        <v>210</v>
      </c>
    </row>
    <row r="182" spans="2:7" x14ac:dyDescent="0.2">
      <c r="B182" s="1" t="s">
        <v>1093</v>
      </c>
      <c r="F182" s="1">
        <f>+F172</f>
        <v>149</v>
      </c>
      <c r="G182" s="1">
        <f>+F173</f>
        <v>224</v>
      </c>
    </row>
    <row r="183" spans="2:7" x14ac:dyDescent="0.2">
      <c r="B183" s="1" t="s">
        <v>1094</v>
      </c>
      <c r="F183" s="1">
        <v>-140</v>
      </c>
      <c r="G183" s="1">
        <v>0</v>
      </c>
    </row>
    <row r="184" spans="2:7" x14ac:dyDescent="0.2">
      <c r="B184" s="1" t="s">
        <v>1095</v>
      </c>
      <c r="F184" s="1">
        <f>SUM(F182:F183)</f>
        <v>9</v>
      </c>
      <c r="G184" s="1">
        <f>SUM(G182:G183)</f>
        <v>224</v>
      </c>
    </row>
    <row r="186" spans="2:7" x14ac:dyDescent="0.2">
      <c r="B186" s="1" t="s">
        <v>1096</v>
      </c>
      <c r="F186" s="6">
        <f>+F180-F184</f>
        <v>359.75</v>
      </c>
      <c r="G186" s="6">
        <f>+G180-G184</f>
        <v>-14</v>
      </c>
    </row>
    <row r="189" spans="2:7" x14ac:dyDescent="0.2">
      <c r="B189" s="1" t="s">
        <v>1097</v>
      </c>
      <c r="E189" s="1">
        <f>-F183</f>
        <v>140</v>
      </c>
    </row>
    <row r="190" spans="2:7" x14ac:dyDescent="0.2">
      <c r="C190" s="1" t="s">
        <v>1098</v>
      </c>
      <c r="F190" s="1">
        <f>+E189</f>
        <v>140</v>
      </c>
    </row>
    <row r="191" spans="2:7" x14ac:dyDescent="0.2">
      <c r="B191" s="1" t="s">
        <v>1099</v>
      </c>
    </row>
    <row r="193" spans="2:8" x14ac:dyDescent="0.2">
      <c r="B193" s="1" t="s">
        <v>1100</v>
      </c>
      <c r="E193" s="6">
        <f>+F195-E194</f>
        <v>345.75</v>
      </c>
    </row>
    <row r="194" spans="2:8" x14ac:dyDescent="0.2">
      <c r="B194" s="1" t="s">
        <v>1101</v>
      </c>
      <c r="E194" s="6">
        <f>-G186</f>
        <v>14</v>
      </c>
    </row>
    <row r="195" spans="2:8" x14ac:dyDescent="0.2">
      <c r="C195" s="1" t="s">
        <v>1040</v>
      </c>
      <c r="F195" s="6">
        <f>+F186</f>
        <v>359.75</v>
      </c>
    </row>
    <row r="196" spans="2:8" x14ac:dyDescent="0.2">
      <c r="B196" s="1" t="s">
        <v>1102</v>
      </c>
    </row>
    <row r="200" spans="2:8" s="7" customFormat="1" x14ac:dyDescent="0.2">
      <c r="D200" s="57" t="s">
        <v>1029</v>
      </c>
      <c r="E200" s="57"/>
      <c r="F200" s="57" t="s">
        <v>1030</v>
      </c>
      <c r="G200" s="57"/>
    </row>
    <row r="201" spans="2:8" s="7" customFormat="1" x14ac:dyDescent="0.2">
      <c r="B201" s="7" t="s">
        <v>1024</v>
      </c>
      <c r="C201" s="7">
        <v>15.25</v>
      </c>
      <c r="D201" s="7" t="s">
        <v>1028</v>
      </c>
      <c r="E201" s="7" t="s">
        <v>1027</v>
      </c>
      <c r="F201" s="7" t="s">
        <v>1028</v>
      </c>
      <c r="G201" s="7" t="s">
        <v>1027</v>
      </c>
    </row>
    <row r="202" spans="2:8" s="7" customFormat="1" x14ac:dyDescent="0.2">
      <c r="B202" s="7" t="s">
        <v>1026</v>
      </c>
      <c r="C202" s="45">
        <v>0.04</v>
      </c>
      <c r="D202" s="7">
        <v>245</v>
      </c>
      <c r="E202" s="8">
        <f>+C202*D202*C201</f>
        <v>149.45000000000002</v>
      </c>
      <c r="F202" s="7">
        <v>250</v>
      </c>
      <c r="G202" s="7">
        <v>140</v>
      </c>
      <c r="H202" s="8">
        <f>+G202-E202</f>
        <v>-9.4500000000000171</v>
      </c>
    </row>
    <row r="203" spans="2:8" s="7" customFormat="1" x14ac:dyDescent="0.2">
      <c r="B203" s="7" t="s">
        <v>1025</v>
      </c>
      <c r="C203" s="45">
        <v>0.06</v>
      </c>
      <c r="D203" s="7">
        <v>245</v>
      </c>
      <c r="E203" s="8">
        <f>+C203*D203*C201</f>
        <v>224.17499999999998</v>
      </c>
      <c r="F203" s="7">
        <v>250</v>
      </c>
      <c r="G203" s="7">
        <f>192-G202</f>
        <v>52</v>
      </c>
      <c r="H203" s="8">
        <f>+G203-E203</f>
        <v>-172.17499999999998</v>
      </c>
    </row>
    <row r="204" spans="2:8" s="7" customFormat="1" x14ac:dyDescent="0.2"/>
    <row r="205" spans="2:8" s="7" customFormat="1" x14ac:dyDescent="0.2"/>
    <row r="206" spans="2:8" s="7" customFormat="1" x14ac:dyDescent="0.2">
      <c r="B206" s="27">
        <v>44377</v>
      </c>
      <c r="C206" s="7" t="s">
        <v>1031</v>
      </c>
      <c r="D206" s="7" t="s">
        <v>1032</v>
      </c>
    </row>
    <row r="207" spans="2:8" s="7" customFormat="1" x14ac:dyDescent="0.2">
      <c r="B207" s="58" t="s">
        <v>1033</v>
      </c>
      <c r="C207" s="45">
        <v>0.04</v>
      </c>
      <c r="D207" s="45">
        <v>0.06</v>
      </c>
      <c r="E207" s="45"/>
    </row>
    <row r="208" spans="2:8" s="7" customFormat="1" x14ac:dyDescent="0.2">
      <c r="B208" s="58" t="s">
        <v>1034</v>
      </c>
      <c r="C208" s="7">
        <v>245</v>
      </c>
      <c r="D208" s="7">
        <v>245</v>
      </c>
    </row>
    <row r="209" spans="1:6" s="7" customFormat="1" x14ac:dyDescent="0.2">
      <c r="B209" s="58" t="s">
        <v>1035</v>
      </c>
      <c r="D209" s="8"/>
      <c r="E209" s="8">
        <v>15.25</v>
      </c>
    </row>
    <row r="210" spans="1:6" s="7" customFormat="1" x14ac:dyDescent="0.2">
      <c r="B210" s="58" t="s">
        <v>746</v>
      </c>
      <c r="C210" s="8">
        <f>+C207*C208*$E$209</f>
        <v>149.45000000000002</v>
      </c>
      <c r="D210" s="8">
        <f>+D207*D208*$E$209</f>
        <v>224.17499999999998</v>
      </c>
    </row>
    <row r="211" spans="1:6" s="7" customFormat="1" x14ac:dyDescent="0.2">
      <c r="B211" s="58"/>
      <c r="C211" s="7">
        <v>192</v>
      </c>
    </row>
    <row r="212" spans="1:6" s="7" customFormat="1" x14ac:dyDescent="0.2">
      <c r="B212" s="58"/>
      <c r="C212" s="8">
        <f>+C211-C210</f>
        <v>42.549999999999983</v>
      </c>
    </row>
    <row r="213" spans="1:6" s="7" customFormat="1" x14ac:dyDescent="0.2">
      <c r="B213" s="58"/>
    </row>
    <row r="214" spans="1:6" s="7" customFormat="1" x14ac:dyDescent="0.2">
      <c r="B214" s="58" t="s">
        <v>1043</v>
      </c>
      <c r="E214" s="8">
        <f>+C210</f>
        <v>149.45000000000002</v>
      </c>
    </row>
    <row r="215" spans="1:6" s="7" customFormat="1" x14ac:dyDescent="0.2">
      <c r="B215" s="58"/>
      <c r="C215" s="7" t="s">
        <v>1042</v>
      </c>
      <c r="F215" s="8">
        <f>+C210</f>
        <v>149.45000000000002</v>
      </c>
    </row>
    <row r="216" spans="1:6" s="7" customFormat="1" x14ac:dyDescent="0.2">
      <c r="B216" s="58" t="s">
        <v>1044</v>
      </c>
    </row>
    <row r="217" spans="1:6" s="7" customFormat="1" x14ac:dyDescent="0.2">
      <c r="B217" s="58"/>
    </row>
    <row r="218" spans="1:6" s="7" customFormat="1" x14ac:dyDescent="0.2">
      <c r="B218" s="58"/>
    </row>
    <row r="219" spans="1:6" s="7" customFormat="1" x14ac:dyDescent="0.2">
      <c r="B219" s="27">
        <v>44742</v>
      </c>
      <c r="C219" s="7" t="s">
        <v>1031</v>
      </c>
      <c r="D219" s="7" t="s">
        <v>1031</v>
      </c>
      <c r="E219" s="7" t="s">
        <v>1036</v>
      </c>
    </row>
    <row r="220" spans="1:6" s="7" customFormat="1" x14ac:dyDescent="0.2">
      <c r="B220" s="58" t="s">
        <v>1033</v>
      </c>
      <c r="C220" s="45">
        <v>0.06</v>
      </c>
      <c r="D220" s="45">
        <v>0.04</v>
      </c>
      <c r="E220" s="45">
        <v>0.06</v>
      </c>
      <c r="F220" s="45"/>
    </row>
    <row r="221" spans="1:6" s="7" customFormat="1" x14ac:dyDescent="0.2">
      <c r="B221" s="58" t="s">
        <v>1034</v>
      </c>
      <c r="C221" s="7">
        <v>250</v>
      </c>
      <c r="D221" s="7">
        <v>250</v>
      </c>
      <c r="E221" s="7">
        <v>250</v>
      </c>
    </row>
    <row r="222" spans="1:6" s="7" customFormat="1" x14ac:dyDescent="0.2">
      <c r="B222" s="58" t="s">
        <v>1035</v>
      </c>
      <c r="D222" s="8"/>
      <c r="E222" s="8"/>
      <c r="F222" s="8">
        <v>14</v>
      </c>
    </row>
    <row r="223" spans="1:6" s="7" customFormat="1" x14ac:dyDescent="0.2">
      <c r="A223" s="7">
        <v>2</v>
      </c>
      <c r="B223" s="58" t="s">
        <v>746</v>
      </c>
      <c r="C223" s="8">
        <f>+C220*C221*$E$209</f>
        <v>228.75</v>
      </c>
      <c r="D223" s="8">
        <f>+D220*D221*$F$222</f>
        <v>140</v>
      </c>
      <c r="E223" s="8">
        <f>+E220*E221*$F$222</f>
        <v>210</v>
      </c>
      <c r="F223" s="8">
        <f>SUM(C223:E223)</f>
        <v>578.75</v>
      </c>
    </row>
    <row r="224" spans="1:6" s="7" customFormat="1" x14ac:dyDescent="0.2"/>
    <row r="225" spans="2:6" s="7" customFormat="1" x14ac:dyDescent="0.2">
      <c r="B225" s="7" t="s">
        <v>1037</v>
      </c>
      <c r="C225" s="27">
        <v>44742</v>
      </c>
    </row>
    <row r="226" spans="2:6" s="7" customFormat="1" x14ac:dyDescent="0.2"/>
    <row r="227" spans="2:6" s="7" customFormat="1" x14ac:dyDescent="0.2">
      <c r="B227" s="7" t="s">
        <v>1038</v>
      </c>
      <c r="E227" s="8">
        <f>+F223</f>
        <v>578.75</v>
      </c>
    </row>
    <row r="228" spans="2:6" s="7" customFormat="1" x14ac:dyDescent="0.2">
      <c r="C228" s="7" t="s">
        <v>1040</v>
      </c>
      <c r="E228" s="8"/>
      <c r="F228" s="8">
        <f>SUM(C223:D223)</f>
        <v>368.75</v>
      </c>
    </row>
    <row r="229" spans="2:6" s="7" customFormat="1" x14ac:dyDescent="0.2">
      <c r="C229" s="7" t="s">
        <v>1041</v>
      </c>
      <c r="F229" s="8">
        <f>+E223</f>
        <v>210</v>
      </c>
    </row>
    <row r="230" spans="2:6" s="7" customFormat="1" x14ac:dyDescent="0.2">
      <c r="B230" s="7" t="s">
        <v>1039</v>
      </c>
    </row>
    <row r="234" spans="2:6" x14ac:dyDescent="0.2">
      <c r="B234" s="1" t="s">
        <v>1045</v>
      </c>
    </row>
    <row r="235" spans="2:6" x14ac:dyDescent="0.2">
      <c r="B235" s="3">
        <v>44501</v>
      </c>
    </row>
    <row r="236" spans="2:6" x14ac:dyDescent="0.2">
      <c r="B236" s="6">
        <v>20</v>
      </c>
      <c r="C236" s="1" t="s">
        <v>1048</v>
      </c>
    </row>
    <row r="237" spans="2:6" x14ac:dyDescent="0.2">
      <c r="B237" s="1">
        <v>1600</v>
      </c>
      <c r="C237" s="1" t="s">
        <v>1046</v>
      </c>
    </row>
    <row r="238" spans="2:6" x14ac:dyDescent="0.2">
      <c r="B238" s="1" t="s">
        <v>1047</v>
      </c>
    </row>
    <row r="239" spans="2:6" x14ac:dyDescent="0.2">
      <c r="B239" s="6">
        <f>+B236*B237*12</f>
        <v>384000</v>
      </c>
      <c r="C239" s="1" t="s">
        <v>1049</v>
      </c>
    </row>
    <row r="241" spans="1:6" x14ac:dyDescent="0.2">
      <c r="B241" s="1" t="s">
        <v>1050</v>
      </c>
      <c r="C241" s="6">
        <v>400</v>
      </c>
    </row>
    <row r="242" spans="1:6" x14ac:dyDescent="0.2">
      <c r="C242" s="6"/>
    </row>
    <row r="243" spans="1:6" x14ac:dyDescent="0.2">
      <c r="C243" s="1" t="s">
        <v>1103</v>
      </c>
    </row>
    <row r="244" spans="1:6" x14ac:dyDescent="0.2">
      <c r="B244" s="3">
        <v>44742</v>
      </c>
      <c r="C244" s="6">
        <f>YEARFRAC(B235,B244)*12</f>
        <v>7.9666666666666668</v>
      </c>
      <c r="D244" s="6">
        <f>+B236*B237*C244</f>
        <v>254933.33333333334</v>
      </c>
    </row>
    <row r="245" spans="1:6" x14ac:dyDescent="0.2">
      <c r="B245" s="3">
        <v>44804</v>
      </c>
      <c r="C245" s="6">
        <f>YEARFRAC(B244,B245)*12</f>
        <v>2</v>
      </c>
      <c r="D245" s="6">
        <f>+B236*B237*C245</f>
        <v>64000</v>
      </c>
    </row>
    <row r="246" spans="1:6" x14ac:dyDescent="0.2">
      <c r="B246" s="3">
        <v>45230</v>
      </c>
      <c r="C246" s="6">
        <f>YEARFRAC(B245,B246)*12</f>
        <v>14</v>
      </c>
      <c r="D246" s="6">
        <f>+B236*B237*C246</f>
        <v>448000</v>
      </c>
    </row>
    <row r="247" spans="1:6" x14ac:dyDescent="0.2">
      <c r="C247" s="6">
        <f>SUM(C244:C246)</f>
        <v>23.966666666666669</v>
      </c>
      <c r="D247" s="6"/>
    </row>
    <row r="248" spans="1:6" x14ac:dyDescent="0.2">
      <c r="C248" s="6"/>
    </row>
    <row r="249" spans="1:6" x14ac:dyDescent="0.2">
      <c r="C249" s="6"/>
    </row>
    <row r="250" spans="1:6" x14ac:dyDescent="0.2">
      <c r="A250" s="1">
        <v>0.5</v>
      </c>
      <c r="B250" s="1" t="s">
        <v>1051</v>
      </c>
    </row>
    <row r="251" spans="1:6" x14ac:dyDescent="0.2">
      <c r="A251" s="1">
        <v>0.5</v>
      </c>
      <c r="B251" s="1" t="s">
        <v>1104</v>
      </c>
    </row>
    <row r="252" spans="1:6" x14ac:dyDescent="0.2">
      <c r="A252" s="1">
        <v>1</v>
      </c>
      <c r="B252" s="1" t="s">
        <v>1052</v>
      </c>
    </row>
    <row r="254" spans="1:6" x14ac:dyDescent="0.2">
      <c r="B254" s="1" t="s">
        <v>1112</v>
      </c>
      <c r="E254" s="6">
        <f>+C241</f>
        <v>400</v>
      </c>
    </row>
    <row r="255" spans="1:6" x14ac:dyDescent="0.2">
      <c r="C255" s="1" t="s">
        <v>1053</v>
      </c>
      <c r="F255" s="1">
        <f>+E254</f>
        <v>400</v>
      </c>
    </row>
    <row r="256" spans="1:6" x14ac:dyDescent="0.2">
      <c r="B256" s="1" t="s">
        <v>1054</v>
      </c>
    </row>
    <row r="259" spans="1:4" x14ac:dyDescent="0.2">
      <c r="A259" s="1">
        <v>1</v>
      </c>
      <c r="B259" s="1" t="s">
        <v>1055</v>
      </c>
    </row>
    <row r="260" spans="1:4" x14ac:dyDescent="0.2">
      <c r="A260" s="1">
        <v>0.5</v>
      </c>
      <c r="B260" s="1" t="s">
        <v>1056</v>
      </c>
    </row>
    <row r="261" spans="1:4" x14ac:dyDescent="0.2">
      <c r="A261" s="1">
        <v>0.5</v>
      </c>
      <c r="B261" s="1" t="s">
        <v>1057</v>
      </c>
    </row>
    <row r="262" spans="1:4" x14ac:dyDescent="0.2">
      <c r="B262" s="1" t="s">
        <v>1058</v>
      </c>
    </row>
    <row r="263" spans="1:4" x14ac:dyDescent="0.2">
      <c r="B263" s="1" t="s">
        <v>1059</v>
      </c>
    </row>
    <row r="265" spans="1:4" x14ac:dyDescent="0.2">
      <c r="C265" s="1" t="s">
        <v>217</v>
      </c>
    </row>
    <row r="266" spans="1:4" x14ac:dyDescent="0.2">
      <c r="B266" s="1" t="s">
        <v>1060</v>
      </c>
      <c r="C266" s="1">
        <v>-165</v>
      </c>
      <c r="D266" s="1" t="s">
        <v>1061</v>
      </c>
    </row>
    <row r="267" spans="1:4" x14ac:dyDescent="0.2">
      <c r="B267" s="1" t="s">
        <v>1062</v>
      </c>
      <c r="C267" s="1">
        <v>247</v>
      </c>
      <c r="D267" s="1" t="s">
        <v>1063</v>
      </c>
    </row>
    <row r="268" spans="1:4" x14ac:dyDescent="0.2">
      <c r="B268" s="1" t="s">
        <v>1064</v>
      </c>
      <c r="C268" s="1">
        <v>24</v>
      </c>
      <c r="D268" s="1" t="s">
        <v>1105</v>
      </c>
    </row>
    <row r="269" spans="1:4" x14ac:dyDescent="0.2">
      <c r="B269" s="1" t="s">
        <v>1065</v>
      </c>
      <c r="C269" s="1">
        <v>11</v>
      </c>
      <c r="D269" s="1" t="s">
        <v>1066</v>
      </c>
    </row>
    <row r="270" spans="1:4" x14ac:dyDescent="0.2">
      <c r="B270" s="1" t="s">
        <v>1067</v>
      </c>
      <c r="C270" s="1">
        <v>4</v>
      </c>
      <c r="D270" s="1" t="s">
        <v>1068</v>
      </c>
    </row>
    <row r="272" spans="1:4" x14ac:dyDescent="0.2">
      <c r="B272" s="1" t="s">
        <v>1069</v>
      </c>
      <c r="C272" s="1">
        <f>247-C269</f>
        <v>236</v>
      </c>
      <c r="D272" s="1" t="s">
        <v>1070</v>
      </c>
    </row>
    <row r="274" spans="1:6" x14ac:dyDescent="0.2">
      <c r="B274" s="1" t="s">
        <v>1112</v>
      </c>
      <c r="E274" s="1">
        <f>+F275</f>
        <v>236</v>
      </c>
    </row>
    <row r="275" spans="1:6" x14ac:dyDescent="0.2">
      <c r="A275" s="1">
        <v>0.5</v>
      </c>
      <c r="C275" s="1" t="s">
        <v>1071</v>
      </c>
      <c r="F275" s="1">
        <f>+C272</f>
        <v>236</v>
      </c>
    </row>
    <row r="276" spans="1:6" x14ac:dyDescent="0.2">
      <c r="B276" s="1" t="s">
        <v>1072</v>
      </c>
    </row>
    <row r="279" spans="1:6" x14ac:dyDescent="0.2">
      <c r="B279" s="1" t="s">
        <v>72</v>
      </c>
    </row>
    <row r="280" spans="1:6" x14ac:dyDescent="0.2">
      <c r="B280" s="1" t="s">
        <v>1106</v>
      </c>
    </row>
    <row r="281" spans="1:6" x14ac:dyDescent="0.2">
      <c r="B281" s="1" t="s">
        <v>1107</v>
      </c>
      <c r="F281" s="6">
        <f>+F11</f>
        <v>1693</v>
      </c>
    </row>
    <row r="282" spans="1:6" x14ac:dyDescent="0.2">
      <c r="B282" s="1" t="s">
        <v>1108</v>
      </c>
      <c r="F282" s="6">
        <f>-E87</f>
        <v>-331</v>
      </c>
    </row>
    <row r="283" spans="1:6" x14ac:dyDescent="0.2">
      <c r="B283" s="1" t="s">
        <v>1109</v>
      </c>
      <c r="F283" s="6">
        <f>+F190</f>
        <v>140</v>
      </c>
    </row>
    <row r="284" spans="1:6" x14ac:dyDescent="0.2">
      <c r="B284" s="1" t="s">
        <v>1110</v>
      </c>
      <c r="F284" s="6">
        <f>-+E193</f>
        <v>-345.75</v>
      </c>
    </row>
    <row r="285" spans="1:6" x14ac:dyDescent="0.2">
      <c r="B285" s="1" t="s">
        <v>1111</v>
      </c>
      <c r="F285" s="6">
        <f>-+E254</f>
        <v>-400</v>
      </c>
    </row>
    <row r="286" spans="1:6" x14ac:dyDescent="0.2">
      <c r="B286" s="1" t="s">
        <v>1113</v>
      </c>
      <c r="F286" s="6">
        <f>-E274</f>
        <v>-236</v>
      </c>
    </row>
    <row r="287" spans="1:6" ht="12.75" thickBot="1" x14ac:dyDescent="0.25">
      <c r="F287" s="14">
        <f>SUM(F281:F286)</f>
        <v>520.25</v>
      </c>
    </row>
    <row r="288" spans="1:6" ht="12.75" thickTop="1" x14ac:dyDescent="0.2"/>
    <row r="289" spans="2:6" x14ac:dyDescent="0.2">
      <c r="B289" s="1" t="s">
        <v>1086</v>
      </c>
      <c r="E289" s="6">
        <f>+F287</f>
        <v>520.25</v>
      </c>
    </row>
    <row r="290" spans="2:6" x14ac:dyDescent="0.2">
      <c r="C290" s="1" t="s">
        <v>1114</v>
      </c>
      <c r="F290" s="6">
        <f>+E289</f>
        <v>520.25</v>
      </c>
    </row>
    <row r="291" spans="2:6" x14ac:dyDescent="0.2">
      <c r="B291" s="1" t="s">
        <v>1115</v>
      </c>
    </row>
    <row r="293" spans="2:6" x14ac:dyDescent="0.2">
      <c r="B293" s="1" t="s">
        <v>1116</v>
      </c>
    </row>
    <row r="294" spans="2:6" x14ac:dyDescent="0.2">
      <c r="B294" s="1" t="s">
        <v>1117</v>
      </c>
      <c r="E294" s="1">
        <f>+E12</f>
        <v>500</v>
      </c>
    </row>
    <row r="295" spans="2:6" x14ac:dyDescent="0.2">
      <c r="C295" s="1" t="s">
        <v>1118</v>
      </c>
      <c r="F295" s="1">
        <f>+E294</f>
        <v>500</v>
      </c>
    </row>
    <row r="296" spans="2:6" x14ac:dyDescent="0.2">
      <c r="B296" s="1" t="s">
        <v>1119</v>
      </c>
    </row>
    <row r="298" spans="2:6" x14ac:dyDescent="0.2">
      <c r="B298" s="1" t="s">
        <v>974</v>
      </c>
      <c r="C298" s="6">
        <v>-1172.75</v>
      </c>
    </row>
    <row r="299" spans="2:6" x14ac:dyDescent="0.2">
      <c r="B299" s="1" t="s">
        <v>975</v>
      </c>
      <c r="C299" s="6">
        <v>0</v>
      </c>
    </row>
    <row r="300" spans="2:6" x14ac:dyDescent="0.2">
      <c r="B300" s="1" t="s">
        <v>820</v>
      </c>
      <c r="C300" s="6">
        <v>7453</v>
      </c>
    </row>
    <row r="301" spans="2:6" x14ac:dyDescent="0.2">
      <c r="B301" s="1" t="s">
        <v>821</v>
      </c>
      <c r="C301" s="6">
        <v>-3756</v>
      </c>
    </row>
    <row r="302" spans="2:6" x14ac:dyDescent="0.2">
      <c r="B302" s="1" t="s">
        <v>409</v>
      </c>
      <c r="C302" s="6">
        <v>127</v>
      </c>
    </row>
    <row r="303" spans="2:6" x14ac:dyDescent="0.2">
      <c r="B303" s="1" t="s">
        <v>976</v>
      </c>
      <c r="C303" s="6">
        <v>541</v>
      </c>
    </row>
    <row r="304" spans="2:6" x14ac:dyDescent="0.2">
      <c r="B304" s="1" t="s">
        <v>977</v>
      </c>
      <c r="C304" s="6">
        <v>-364</v>
      </c>
    </row>
    <row r="305" spans="2:3" x14ac:dyDescent="0.2">
      <c r="B305" s="1" t="s">
        <v>978</v>
      </c>
      <c r="C305" s="6">
        <v>3897</v>
      </c>
    </row>
    <row r="306" spans="2:3" x14ac:dyDescent="0.2">
      <c r="B306" s="1" t="s">
        <v>979</v>
      </c>
      <c r="C306" s="6">
        <v>1240</v>
      </c>
    </row>
    <row r="307" spans="2:3" x14ac:dyDescent="0.2">
      <c r="B307" s="1" t="s">
        <v>980</v>
      </c>
      <c r="C307" s="6">
        <v>7</v>
      </c>
    </row>
    <row r="308" spans="2:3" x14ac:dyDescent="0.2">
      <c r="B308" s="1" t="s">
        <v>981</v>
      </c>
      <c r="C308" s="6">
        <v>2214</v>
      </c>
    </row>
    <row r="309" spans="2:3" x14ac:dyDescent="0.2">
      <c r="B309" s="1" t="s">
        <v>982</v>
      </c>
      <c r="C309" s="6">
        <v>-5000</v>
      </c>
    </row>
    <row r="310" spans="2:3" x14ac:dyDescent="0.2">
      <c r="B310" s="1" t="s">
        <v>983</v>
      </c>
      <c r="C310" s="6">
        <v>-1000</v>
      </c>
    </row>
    <row r="311" spans="2:3" x14ac:dyDescent="0.2">
      <c r="B311" s="1" t="s">
        <v>984</v>
      </c>
      <c r="C311" s="6">
        <v>-845</v>
      </c>
    </row>
    <row r="312" spans="2:3" x14ac:dyDescent="0.2">
      <c r="B312" s="1" t="s">
        <v>985</v>
      </c>
      <c r="C312" s="6">
        <v>-394</v>
      </c>
    </row>
    <row r="313" spans="2:3" x14ac:dyDescent="0.2">
      <c r="B313" s="1" t="s">
        <v>986</v>
      </c>
      <c r="C313" s="6">
        <v>-2250</v>
      </c>
    </row>
    <row r="314" spans="2:3" x14ac:dyDescent="0.2">
      <c r="B314" s="1" t="s">
        <v>987</v>
      </c>
      <c r="C314" s="6">
        <v>-204</v>
      </c>
    </row>
    <row r="315" spans="2:3" x14ac:dyDescent="0.2">
      <c r="B315" s="1" t="s">
        <v>988</v>
      </c>
      <c r="C315" s="6">
        <v>-210</v>
      </c>
    </row>
    <row r="316" spans="2:3" x14ac:dyDescent="0.2">
      <c r="B316" s="1" t="s">
        <v>989</v>
      </c>
      <c r="C316" s="6">
        <v>-216</v>
      </c>
    </row>
    <row r="317" spans="2:3" x14ac:dyDescent="0.2">
      <c r="B317" s="1" t="s">
        <v>990</v>
      </c>
      <c r="C317" s="6">
        <v>-234</v>
      </c>
    </row>
    <row r="318" spans="2:3" x14ac:dyDescent="0.2">
      <c r="B318" s="1" t="s">
        <v>991</v>
      </c>
      <c r="C318" s="6">
        <v>-1005</v>
      </c>
    </row>
    <row r="321" spans="2:3" x14ac:dyDescent="0.2">
      <c r="B321" s="1" t="s">
        <v>1123</v>
      </c>
    </row>
    <row r="322" spans="2:3" x14ac:dyDescent="0.2">
      <c r="B322" s="1" t="s">
        <v>607</v>
      </c>
      <c r="C322" s="6">
        <f>+C300+C301</f>
        <v>3697</v>
      </c>
    </row>
    <row r="323" spans="2:3" x14ac:dyDescent="0.2">
      <c r="B323" s="1" t="s">
        <v>77</v>
      </c>
      <c r="C323" s="6">
        <f>+C302</f>
        <v>127</v>
      </c>
    </row>
    <row r="324" spans="2:3" x14ac:dyDescent="0.2">
      <c r="B324" s="1" t="s">
        <v>597</v>
      </c>
      <c r="C324" s="6">
        <f>+C303+C304</f>
        <v>177</v>
      </c>
    </row>
    <row r="325" spans="2:3" x14ac:dyDescent="0.2">
      <c r="C325" s="6">
        <f>SUM(C322:C324)</f>
        <v>4001</v>
      </c>
    </row>
    <row r="326" spans="2:3" x14ac:dyDescent="0.2">
      <c r="B326" s="1" t="s">
        <v>33</v>
      </c>
    </row>
    <row r="327" spans="2:3" x14ac:dyDescent="0.2">
      <c r="B327" s="1" t="s">
        <v>1124</v>
      </c>
      <c r="C327" s="6">
        <f>+C305</f>
        <v>3897</v>
      </c>
    </row>
    <row r="328" spans="2:3" x14ac:dyDescent="0.2">
      <c r="B328" s="1" t="s">
        <v>773</v>
      </c>
      <c r="C328" s="6">
        <f>+C306</f>
        <v>1240</v>
      </c>
    </row>
    <row r="329" spans="2:3" x14ac:dyDescent="0.2">
      <c r="B329" s="1" t="str" cm="1">
        <f t="array" ref="B329:C330">+B307:C308</f>
        <v>Other current assets</v>
      </c>
      <c r="C329" s="1">
        <v>7</v>
      </c>
    </row>
    <row r="330" spans="2:3" x14ac:dyDescent="0.2">
      <c r="B330" s="1" t="str">
        <v>Cash and cash equivalents</v>
      </c>
      <c r="C330" s="1">
        <v>2214</v>
      </c>
    </row>
    <row r="331" spans="2:3" x14ac:dyDescent="0.2">
      <c r="C331" s="6">
        <f>SUM(C327:C330)</f>
        <v>7358</v>
      </c>
    </row>
    <row r="332" spans="2:3" x14ac:dyDescent="0.2">
      <c r="C332" s="6"/>
    </row>
    <row r="333" spans="2:3" x14ac:dyDescent="0.2">
      <c r="B333" s="5" t="s">
        <v>1126</v>
      </c>
      <c r="C333" s="59">
        <f>+C325+C331</f>
        <v>11359</v>
      </c>
    </row>
    <row r="334" spans="2:3" x14ac:dyDescent="0.2">
      <c r="C334" s="6"/>
    </row>
    <row r="335" spans="2:3" x14ac:dyDescent="0.2">
      <c r="B335" s="1" t="s">
        <v>396</v>
      </c>
    </row>
    <row r="336" spans="2:3" x14ac:dyDescent="0.2">
      <c r="B336" s="1" t="str" cm="1">
        <f t="array" ref="B336:B338">+B313:B315</f>
        <v>Long-term borrowings</v>
      </c>
      <c r="C336" s="6">
        <f>-C313</f>
        <v>2250</v>
      </c>
    </row>
    <row r="337" spans="2:3" x14ac:dyDescent="0.2">
      <c r="B337" s="1" t="str">
        <v>Deferred tax</v>
      </c>
      <c r="C337" s="6">
        <f t="shared" ref="C337:C338" si="19">-C314</f>
        <v>204</v>
      </c>
    </row>
    <row r="338" spans="2:3" x14ac:dyDescent="0.2">
      <c r="B338" s="1" t="str">
        <v>Long-term provisions as at 30 June 2021</v>
      </c>
      <c r="C338" s="6">
        <f t="shared" si="19"/>
        <v>210</v>
      </c>
    </row>
    <row r="339" spans="2:3" x14ac:dyDescent="0.2">
      <c r="C339" s="6">
        <f>SUM(C336:C338)</f>
        <v>2664</v>
      </c>
    </row>
    <row r="340" spans="2:3" x14ac:dyDescent="0.2">
      <c r="B340" s="1" t="s">
        <v>395</v>
      </c>
    </row>
    <row r="341" spans="2:3" x14ac:dyDescent="0.2">
      <c r="B341" s="1" t="str" cm="1">
        <f t="array" ref="B341:B343">+B316:B318</f>
        <v>Trade and other payables</v>
      </c>
      <c r="C341" s="6">
        <f>-C316</f>
        <v>216</v>
      </c>
    </row>
    <row r="342" spans="2:3" x14ac:dyDescent="0.2">
      <c r="B342" s="1" t="str">
        <v>Current tax payable</v>
      </c>
      <c r="C342" s="6">
        <f t="shared" ref="C342:C343" si="20">-C317</f>
        <v>234</v>
      </c>
    </row>
    <row r="343" spans="2:3" x14ac:dyDescent="0.2">
      <c r="B343" s="1" t="str">
        <v>Short-term provisions as at 30 June 2021</v>
      </c>
      <c r="C343" s="6">
        <f t="shared" si="20"/>
        <v>1005</v>
      </c>
    </row>
    <row r="344" spans="2:3" x14ac:dyDescent="0.2">
      <c r="C344" s="6">
        <f>SUM(C341:C343)</f>
        <v>1455</v>
      </c>
    </row>
    <row r="345" spans="2:3" x14ac:dyDescent="0.2">
      <c r="C345" s="6"/>
    </row>
    <row r="346" spans="2:3" x14ac:dyDescent="0.2">
      <c r="B346" s="1" t="s">
        <v>1125</v>
      </c>
    </row>
    <row r="347" spans="2:3" x14ac:dyDescent="0.2">
      <c r="B347" s="1" t="str" cm="1">
        <f t="array" ref="B347:B350">+B309:B312</f>
        <v>Share capital</v>
      </c>
      <c r="C347" s="6" cm="1">
        <f t="array" ref="C347:C350">-C309:C312</f>
        <v>5000</v>
      </c>
    </row>
    <row r="348" spans="2:3" x14ac:dyDescent="0.2">
      <c r="B348" s="1" t="str">
        <v>Share premium</v>
      </c>
      <c r="C348" s="1">
        <v>1000</v>
      </c>
    </row>
    <row r="349" spans="2:3" x14ac:dyDescent="0.2">
      <c r="B349" s="1" t="str">
        <v>Retained earnings as at 30 June 2021</v>
      </c>
      <c r="C349" s="1">
        <v>845</v>
      </c>
    </row>
    <row r="350" spans="2:3" x14ac:dyDescent="0.2">
      <c r="B350" s="1" t="str">
        <v>Revaluation surplus</v>
      </c>
      <c r="C350" s="1">
        <v>394</v>
      </c>
    </row>
    <row r="351" spans="2:3" x14ac:dyDescent="0.2">
      <c r="C351" s="6">
        <f>SUM(_xlfn.ANCHORARRAY(C347))</f>
        <v>7239</v>
      </c>
    </row>
    <row r="353" spans="2:3" x14ac:dyDescent="0.2">
      <c r="B353" s="5" t="s">
        <v>1127</v>
      </c>
      <c r="C353" s="59">
        <f>+C339+C344+C351</f>
        <v>11358</v>
      </c>
    </row>
  </sheetData>
  <hyperlinks>
    <hyperlink ref="A1" location="Main!A1" display="Main" xr:uid="{052D4CFC-46A7-4F44-B848-2105357FCD36}"/>
  </hyperlink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F83C4F-A009-417A-B1EB-8E5CA5BAF4D9}">
  <dimension ref="A1:J199"/>
  <sheetViews>
    <sheetView topLeftCell="A172" zoomScale="160" zoomScaleNormal="160" workbookViewId="0">
      <selection activeCell="C199" sqref="C199"/>
    </sheetView>
  </sheetViews>
  <sheetFormatPr defaultRowHeight="12" x14ac:dyDescent="0.2"/>
  <cols>
    <col min="1" max="16384" width="9.140625" style="1"/>
  </cols>
  <sheetData>
    <row r="1" spans="1:5" ht="15" x14ac:dyDescent="0.25">
      <c r="A1" s="2" t="s">
        <v>0</v>
      </c>
    </row>
    <row r="2" spans="1:5" x14ac:dyDescent="0.2">
      <c r="A2" s="1">
        <f>SUM(A3:A199)</f>
        <v>12</v>
      </c>
      <c r="B2" s="1">
        <v>15</v>
      </c>
      <c r="C2" s="4">
        <f>+A2/B2</f>
        <v>0.8</v>
      </c>
    </row>
    <row r="3" spans="1:5" x14ac:dyDescent="0.2">
      <c r="B3" s="1" t="s">
        <v>295</v>
      </c>
      <c r="C3" s="16" t="s">
        <v>417</v>
      </c>
    </row>
    <row r="5" spans="1:5" x14ac:dyDescent="0.2">
      <c r="B5" s="1" t="s">
        <v>9</v>
      </c>
    </row>
    <row r="6" spans="1:5" x14ac:dyDescent="0.2">
      <c r="B6" s="1" t="s">
        <v>5</v>
      </c>
      <c r="C6" s="3">
        <v>44926</v>
      </c>
    </row>
    <row r="7" spans="1:5" x14ac:dyDescent="0.2">
      <c r="B7" s="1" t="s">
        <v>296</v>
      </c>
    </row>
    <row r="8" spans="1:5" x14ac:dyDescent="0.2">
      <c r="B8" s="1" t="s">
        <v>297</v>
      </c>
    </row>
    <row r="11" spans="1:5" x14ac:dyDescent="0.2">
      <c r="B11" s="31" t="s">
        <v>325</v>
      </c>
    </row>
    <row r="12" spans="1:5" x14ac:dyDescent="0.2">
      <c r="B12" s="1" t="s">
        <v>217</v>
      </c>
      <c r="C12" s="3">
        <v>38353</v>
      </c>
      <c r="D12" s="6">
        <v>5500</v>
      </c>
    </row>
    <row r="13" spans="1:5" x14ac:dyDescent="0.2">
      <c r="B13" s="1" t="s">
        <v>298</v>
      </c>
      <c r="C13" s="3">
        <v>38353</v>
      </c>
      <c r="D13" s="6">
        <f>12*50</f>
        <v>600</v>
      </c>
      <c r="E13" s="1" t="s">
        <v>52</v>
      </c>
    </row>
    <row r="14" spans="1:5" x14ac:dyDescent="0.2">
      <c r="B14" s="1" t="s">
        <v>299</v>
      </c>
      <c r="C14" s="3">
        <v>38353</v>
      </c>
      <c r="D14" s="6">
        <v>0</v>
      </c>
    </row>
    <row r="15" spans="1:5" x14ac:dyDescent="0.2">
      <c r="D15" s="6"/>
    </row>
    <row r="16" spans="1:5" x14ac:dyDescent="0.2">
      <c r="B16" s="1" t="s">
        <v>300</v>
      </c>
      <c r="D16" s="6"/>
    </row>
    <row r="17" spans="1:6" x14ac:dyDescent="0.2">
      <c r="D17" s="6"/>
    </row>
    <row r="18" spans="1:6" x14ac:dyDescent="0.2">
      <c r="B18" s="1" t="s">
        <v>32</v>
      </c>
      <c r="C18" s="3">
        <v>44681</v>
      </c>
      <c r="D18" s="6">
        <v>8300</v>
      </c>
    </row>
    <row r="19" spans="1:6" x14ac:dyDescent="0.2">
      <c r="B19" s="1" t="s">
        <v>32</v>
      </c>
      <c r="C19" s="3">
        <v>44926</v>
      </c>
      <c r="D19" s="6">
        <v>8350</v>
      </c>
    </row>
    <row r="21" spans="1:6" x14ac:dyDescent="0.2">
      <c r="B21" s="1" t="s">
        <v>301</v>
      </c>
    </row>
    <row r="22" spans="1:6" x14ac:dyDescent="0.2">
      <c r="B22" s="1" t="s">
        <v>302</v>
      </c>
      <c r="E22" s="1">
        <f>+D12*12/D13</f>
        <v>110</v>
      </c>
    </row>
    <row r="23" spans="1:6" x14ac:dyDescent="0.2">
      <c r="C23" s="1" t="s">
        <v>303</v>
      </c>
      <c r="F23" s="1">
        <f>+E22</f>
        <v>110</v>
      </c>
    </row>
    <row r="25" spans="1:6" x14ac:dyDescent="0.2">
      <c r="B25" s="1" t="s">
        <v>304</v>
      </c>
      <c r="C25" s="6">
        <f>YEARFRAC(C12,C18)*12</f>
        <v>207.96666666666667</v>
      </c>
    </row>
    <row r="26" spans="1:6" x14ac:dyDescent="0.2">
      <c r="B26" s="1" t="s">
        <v>305</v>
      </c>
      <c r="C26" s="6">
        <f>YEARFRAC(C18,C19)*12</f>
        <v>8</v>
      </c>
    </row>
    <row r="28" spans="1:6" x14ac:dyDescent="0.2">
      <c r="B28" s="1" t="s">
        <v>217</v>
      </c>
      <c r="D28" s="6">
        <f>+D12</f>
        <v>5500</v>
      </c>
    </row>
    <row r="29" spans="1:6" x14ac:dyDescent="0.2">
      <c r="B29" s="1" t="s">
        <v>35</v>
      </c>
      <c r="D29" s="6">
        <f>+D12*C25/D13</f>
        <v>1906.3611111111113</v>
      </c>
    </row>
    <row r="30" spans="1:6" x14ac:dyDescent="0.2">
      <c r="B30" s="1" t="s">
        <v>306</v>
      </c>
      <c r="C30" s="3">
        <f>+C18</f>
        <v>44681</v>
      </c>
      <c r="D30" s="6">
        <f>+D28-D29</f>
        <v>3593.6388888888887</v>
      </c>
    </row>
    <row r="31" spans="1:6" x14ac:dyDescent="0.2">
      <c r="B31" s="1" t="s">
        <v>32</v>
      </c>
      <c r="C31" s="3">
        <v>44681</v>
      </c>
      <c r="D31" s="6">
        <v>8300</v>
      </c>
    </row>
    <row r="32" spans="1:6" x14ac:dyDescent="0.2">
      <c r="A32" s="1">
        <v>0.5</v>
      </c>
      <c r="B32" s="1" t="s">
        <v>307</v>
      </c>
      <c r="D32" s="6">
        <f>+D31-D30</f>
        <v>4706.3611111111113</v>
      </c>
    </row>
    <row r="34" spans="1:8" x14ac:dyDescent="0.2">
      <c r="B34" s="1" t="s">
        <v>309</v>
      </c>
      <c r="E34" s="26">
        <f>+D31</f>
        <v>8300</v>
      </c>
    </row>
    <row r="35" spans="1:8" x14ac:dyDescent="0.2">
      <c r="B35" s="1" t="s">
        <v>311</v>
      </c>
      <c r="E35" s="26">
        <f>+D29</f>
        <v>1906.3611111111113</v>
      </c>
    </row>
    <row r="36" spans="1:8" x14ac:dyDescent="0.2">
      <c r="C36" s="1" t="s">
        <v>308</v>
      </c>
      <c r="F36" s="26">
        <f>+E34-F37+E35</f>
        <v>4706.3611111111113</v>
      </c>
    </row>
    <row r="37" spans="1:8" x14ac:dyDescent="0.2">
      <c r="C37" s="1" t="s">
        <v>310</v>
      </c>
      <c r="F37" s="26">
        <f>+D12</f>
        <v>5500</v>
      </c>
    </row>
    <row r="38" spans="1:8" x14ac:dyDescent="0.2">
      <c r="A38" s="1">
        <v>1</v>
      </c>
      <c r="B38" s="1" t="s">
        <v>312</v>
      </c>
    </row>
    <row r="40" spans="1:8" x14ac:dyDescent="0.2">
      <c r="B40" s="1" t="s">
        <v>313</v>
      </c>
    </row>
    <row r="41" spans="1:8" x14ac:dyDescent="0.2">
      <c r="B41" s="1" t="s">
        <v>314</v>
      </c>
      <c r="E41" s="26">
        <f>+D12*4/D13</f>
        <v>36.666666666666664</v>
      </c>
      <c r="G41" s="13" t="s">
        <v>319</v>
      </c>
    </row>
    <row r="42" spans="1:8" x14ac:dyDescent="0.2">
      <c r="B42" s="1" t="s">
        <v>318</v>
      </c>
      <c r="C42" s="6"/>
      <c r="E42" s="16">
        <f>+F23</f>
        <v>110</v>
      </c>
      <c r="F42" s="6"/>
    </row>
    <row r="43" spans="1:8" x14ac:dyDescent="0.2">
      <c r="C43" s="6" t="s">
        <v>315</v>
      </c>
      <c r="F43" s="26">
        <f>+E41</f>
        <v>36.666666666666664</v>
      </c>
    </row>
    <row r="44" spans="1:8" x14ac:dyDescent="0.2">
      <c r="C44" s="6" t="s">
        <v>317</v>
      </c>
      <c r="F44" s="26">
        <f>+E22</f>
        <v>110</v>
      </c>
      <c r="H44" s="6"/>
    </row>
    <row r="45" spans="1:8" x14ac:dyDescent="0.2">
      <c r="A45" s="1">
        <v>0.5</v>
      </c>
      <c r="B45" s="1" t="s">
        <v>316</v>
      </c>
    </row>
    <row r="47" spans="1:8" x14ac:dyDescent="0.2">
      <c r="B47" s="1" t="s">
        <v>320</v>
      </c>
    </row>
    <row r="48" spans="1:8" x14ac:dyDescent="0.2">
      <c r="B48" s="1" t="s">
        <v>32</v>
      </c>
      <c r="C48" s="3">
        <v>44681</v>
      </c>
      <c r="E48" s="6">
        <f>+D31</f>
        <v>8300</v>
      </c>
    </row>
    <row r="49" spans="1:10" x14ac:dyDescent="0.2">
      <c r="B49" s="1" t="s">
        <v>32</v>
      </c>
      <c r="C49" s="3">
        <v>44926</v>
      </c>
      <c r="E49" s="6">
        <v>8350</v>
      </c>
    </row>
    <row r="50" spans="1:10" x14ac:dyDescent="0.2">
      <c r="A50" s="1">
        <v>0.5</v>
      </c>
      <c r="B50" s="1" t="s">
        <v>321</v>
      </c>
      <c r="E50" s="6">
        <f>+E49-E48</f>
        <v>50</v>
      </c>
    </row>
    <row r="51" spans="1:10" x14ac:dyDescent="0.2">
      <c r="B51" s="1" t="s">
        <v>322</v>
      </c>
    </row>
    <row r="53" spans="1:10" x14ac:dyDescent="0.2">
      <c r="B53" s="1" t="s">
        <v>309</v>
      </c>
      <c r="E53" s="26">
        <f>+E50</f>
        <v>50</v>
      </c>
    </row>
    <row r="54" spans="1:10" x14ac:dyDescent="0.2">
      <c r="C54" s="1" t="s">
        <v>323</v>
      </c>
      <c r="F54" s="26">
        <f>+E53</f>
        <v>50</v>
      </c>
    </row>
    <row r="55" spans="1:10" x14ac:dyDescent="0.2">
      <c r="A55" s="1">
        <v>0.5</v>
      </c>
      <c r="B55" s="1" t="s">
        <v>324</v>
      </c>
      <c r="I55" s="6"/>
    </row>
    <row r="56" spans="1:10" x14ac:dyDescent="0.2">
      <c r="I56" s="6"/>
    </row>
    <row r="57" spans="1:10" x14ac:dyDescent="0.2">
      <c r="B57" s="1" t="s">
        <v>327</v>
      </c>
      <c r="J57" s="6"/>
    </row>
    <row r="59" spans="1:10" x14ac:dyDescent="0.2">
      <c r="J59" s="3"/>
    </row>
    <row r="60" spans="1:10" x14ac:dyDescent="0.2">
      <c r="B60" s="1" t="s">
        <v>326</v>
      </c>
    </row>
    <row r="61" spans="1:10" x14ac:dyDescent="0.2">
      <c r="B61" s="3">
        <v>44835</v>
      </c>
      <c r="J61" s="3"/>
    </row>
    <row r="62" spans="1:10" x14ac:dyDescent="0.2">
      <c r="B62" s="1" t="s">
        <v>329</v>
      </c>
      <c r="C62" s="1">
        <v>343</v>
      </c>
    </row>
    <row r="63" spans="1:10" x14ac:dyDescent="0.2">
      <c r="B63" s="1" t="s">
        <v>330</v>
      </c>
      <c r="C63" s="1">
        <v>17</v>
      </c>
      <c r="D63" s="1" t="s">
        <v>334</v>
      </c>
    </row>
    <row r="64" spans="1:10" x14ac:dyDescent="0.2">
      <c r="B64" s="1" t="s">
        <v>331</v>
      </c>
      <c r="C64" s="1">
        <v>15</v>
      </c>
    </row>
    <row r="65" spans="2:5" x14ac:dyDescent="0.2">
      <c r="B65" s="1" t="s">
        <v>328</v>
      </c>
      <c r="C65" s="1">
        <f>SUM(C62:C64)</f>
        <v>375</v>
      </c>
    </row>
    <row r="66" spans="2:5" x14ac:dyDescent="0.2">
      <c r="B66" s="1" t="s">
        <v>332</v>
      </c>
    </row>
    <row r="67" spans="2:5" x14ac:dyDescent="0.2">
      <c r="C67" s="1">
        <f>-C62</f>
        <v>-343</v>
      </c>
      <c r="D67" s="1" t="s">
        <v>1130</v>
      </c>
    </row>
    <row r="68" spans="2:5" x14ac:dyDescent="0.2">
      <c r="C68" s="1">
        <f>-C64</f>
        <v>-15</v>
      </c>
      <c r="D68" s="1" t="s">
        <v>333</v>
      </c>
    </row>
    <row r="69" spans="2:5" x14ac:dyDescent="0.2">
      <c r="B69" s="1" t="s">
        <v>335</v>
      </c>
      <c r="C69" s="1">
        <f>SUM(C65:C68)</f>
        <v>17</v>
      </c>
    </row>
    <row r="71" spans="2:5" x14ac:dyDescent="0.2">
      <c r="B71" s="1" t="s">
        <v>336</v>
      </c>
    </row>
    <row r="72" spans="2:5" x14ac:dyDescent="0.2">
      <c r="B72" s="1" t="s">
        <v>34</v>
      </c>
      <c r="C72" s="1">
        <f>+C62</f>
        <v>343</v>
      </c>
    </row>
    <row r="73" spans="2:5" x14ac:dyDescent="0.2">
      <c r="B73" s="1" t="s">
        <v>298</v>
      </c>
      <c r="C73" s="1">
        <f>15*12</f>
        <v>180</v>
      </c>
      <c r="D73" s="1" t="s">
        <v>52</v>
      </c>
    </row>
    <row r="74" spans="2:5" x14ac:dyDescent="0.2">
      <c r="B74" s="1" t="s">
        <v>299</v>
      </c>
      <c r="C74" s="1">
        <v>5</v>
      </c>
    </row>
    <row r="76" spans="2:5" x14ac:dyDescent="0.2">
      <c r="B76" s="1" t="s">
        <v>337</v>
      </c>
    </row>
    <row r="77" spans="2:5" x14ac:dyDescent="0.2">
      <c r="B77" s="1" t="s">
        <v>338</v>
      </c>
      <c r="C77" s="3">
        <v>44835</v>
      </c>
      <c r="D77" s="1">
        <v>1</v>
      </c>
      <c r="E77" s="1" t="s">
        <v>340</v>
      </c>
    </row>
    <row r="78" spans="2:5" x14ac:dyDescent="0.2">
      <c r="B78" s="1" t="s">
        <v>217</v>
      </c>
      <c r="D78" s="1">
        <v>250</v>
      </c>
      <c r="E78" s="1" t="s">
        <v>339</v>
      </c>
    </row>
    <row r="79" spans="2:5" x14ac:dyDescent="0.2">
      <c r="B79" s="1" t="s">
        <v>35</v>
      </c>
      <c r="D79" s="1">
        <v>230</v>
      </c>
      <c r="E79" s="1" t="s">
        <v>127</v>
      </c>
    </row>
    <row r="80" spans="2:5" x14ac:dyDescent="0.2">
      <c r="B80" s="1" t="s">
        <v>306</v>
      </c>
      <c r="D80" s="1">
        <f>+D78-D79</f>
        <v>20</v>
      </c>
    </row>
    <row r="81" spans="1:6" x14ac:dyDescent="0.2">
      <c r="A81" s="1">
        <v>0.5</v>
      </c>
      <c r="B81" s="1" t="s">
        <v>356</v>
      </c>
      <c r="D81" s="1">
        <f>+D80-D77</f>
        <v>19</v>
      </c>
      <c r="E81" s="1" t="s">
        <v>357</v>
      </c>
    </row>
    <row r="83" spans="1:6" x14ac:dyDescent="0.2">
      <c r="B83" s="1" t="s">
        <v>341</v>
      </c>
    </row>
    <row r="84" spans="1:6" x14ac:dyDescent="0.2">
      <c r="C84" s="3">
        <v>44562</v>
      </c>
    </row>
    <row r="85" spans="1:6" x14ac:dyDescent="0.2">
      <c r="C85" s="3">
        <v>44834</v>
      </c>
    </row>
    <row r="86" spans="1:6" x14ac:dyDescent="0.2">
      <c r="C86" s="1">
        <v>9</v>
      </c>
    </row>
    <row r="87" spans="1:6" x14ac:dyDescent="0.2">
      <c r="C87" s="6">
        <f>+(C72-C74)*C86/C73</f>
        <v>16.899999999999999</v>
      </c>
      <c r="D87" s="13" t="s">
        <v>342</v>
      </c>
    </row>
    <row r="89" spans="1:6" x14ac:dyDescent="0.2">
      <c r="B89" s="31" t="s">
        <v>343</v>
      </c>
      <c r="C89" s="31"/>
      <c r="D89" s="31"/>
      <c r="E89" s="32">
        <f>+C87</f>
        <v>16.899999999999999</v>
      </c>
      <c r="F89" s="31"/>
    </row>
    <row r="90" spans="1:6" x14ac:dyDescent="0.2">
      <c r="B90" s="31"/>
      <c r="C90" s="31" t="s">
        <v>345</v>
      </c>
      <c r="D90" s="31"/>
      <c r="E90" s="31"/>
      <c r="F90" s="32">
        <f>+E89</f>
        <v>16.899999999999999</v>
      </c>
    </row>
    <row r="91" spans="1:6" x14ac:dyDescent="0.2">
      <c r="B91" s="31"/>
      <c r="C91" s="31"/>
      <c r="D91" s="31"/>
      <c r="E91" s="31"/>
      <c r="F91" s="31"/>
    </row>
    <row r="92" spans="1:6" x14ac:dyDescent="0.2">
      <c r="B92" s="31" t="s">
        <v>346</v>
      </c>
      <c r="C92" s="31"/>
      <c r="D92" s="31"/>
      <c r="E92" s="31"/>
      <c r="F92" s="31"/>
    </row>
    <row r="93" spans="1:6" x14ac:dyDescent="0.2">
      <c r="B93" s="31" t="s">
        <v>347</v>
      </c>
      <c r="C93" s="31"/>
      <c r="D93" s="31"/>
      <c r="E93" s="31">
        <f>+C65</f>
        <v>375</v>
      </c>
      <c r="F93" s="31"/>
    </row>
    <row r="94" spans="1:6" x14ac:dyDescent="0.2">
      <c r="B94" s="31"/>
      <c r="C94" s="31" t="s">
        <v>348</v>
      </c>
      <c r="D94" s="31"/>
      <c r="E94" s="31"/>
      <c r="F94" s="31">
        <f>+E93</f>
        <v>375</v>
      </c>
    </row>
    <row r="95" spans="1:6" x14ac:dyDescent="0.2">
      <c r="B95" s="31"/>
      <c r="C95" s="31"/>
      <c r="D95" s="31"/>
      <c r="E95" s="31"/>
      <c r="F95" s="31"/>
    </row>
    <row r="96" spans="1:6" x14ac:dyDescent="0.2">
      <c r="B96" s="31" t="s">
        <v>349</v>
      </c>
      <c r="C96" s="31"/>
      <c r="D96" s="31"/>
      <c r="E96" s="31"/>
      <c r="F96" s="31"/>
    </row>
    <row r="97" spans="1:6" x14ac:dyDescent="0.2">
      <c r="B97" s="31" t="s">
        <v>340</v>
      </c>
      <c r="C97" s="31"/>
      <c r="D97" s="31"/>
      <c r="E97" s="31">
        <f>+D77</f>
        <v>1</v>
      </c>
      <c r="F97" s="31"/>
    </row>
    <row r="98" spans="1:6" x14ac:dyDescent="0.2">
      <c r="B98" s="31"/>
      <c r="C98" s="31" t="s">
        <v>350</v>
      </c>
      <c r="D98" s="31"/>
      <c r="E98" s="31"/>
      <c r="F98" s="31">
        <f>+E97</f>
        <v>1</v>
      </c>
    </row>
    <row r="100" spans="1:6" x14ac:dyDescent="0.2">
      <c r="B100" s="1" t="s">
        <v>351</v>
      </c>
    </row>
    <row r="101" spans="1:6" x14ac:dyDescent="0.2">
      <c r="B101" s="1" t="s">
        <v>352</v>
      </c>
    </row>
    <row r="102" spans="1:6" x14ac:dyDescent="0.2">
      <c r="B102" s="1" t="s">
        <v>353</v>
      </c>
    </row>
    <row r="104" spans="1:6" x14ac:dyDescent="0.2">
      <c r="B104" s="1" t="s">
        <v>354</v>
      </c>
    </row>
    <row r="105" spans="1:6" x14ac:dyDescent="0.2">
      <c r="B105" s="1" t="s">
        <v>358</v>
      </c>
      <c r="E105" s="16">
        <f>+D77</f>
        <v>1</v>
      </c>
    </row>
    <row r="106" spans="1:6" x14ac:dyDescent="0.2">
      <c r="B106" s="1" t="s">
        <v>127</v>
      </c>
      <c r="E106" s="16">
        <f>+D79</f>
        <v>230</v>
      </c>
    </row>
    <row r="107" spans="1:6" x14ac:dyDescent="0.2">
      <c r="B107" s="1" t="s">
        <v>355</v>
      </c>
      <c r="E107" s="16">
        <f>+D81</f>
        <v>19</v>
      </c>
    </row>
    <row r="108" spans="1:6" x14ac:dyDescent="0.2">
      <c r="C108" s="1" t="s">
        <v>344</v>
      </c>
      <c r="F108" s="16">
        <f>+D78</f>
        <v>250</v>
      </c>
    </row>
    <row r="109" spans="1:6" x14ac:dyDescent="0.2">
      <c r="A109" s="1">
        <v>0</v>
      </c>
      <c r="B109" s="1" t="s">
        <v>359</v>
      </c>
    </row>
    <row r="110" spans="1:6" x14ac:dyDescent="0.2">
      <c r="A110" s="1">
        <v>2</v>
      </c>
    </row>
    <row r="111" spans="1:6" x14ac:dyDescent="0.2">
      <c r="B111" s="1" t="s">
        <v>360</v>
      </c>
    </row>
    <row r="112" spans="1:6" x14ac:dyDescent="0.2">
      <c r="B112" s="1" t="s">
        <v>361</v>
      </c>
      <c r="E112" s="16">
        <f>+C62+C63</f>
        <v>360</v>
      </c>
    </row>
    <row r="113" spans="1:6" x14ac:dyDescent="0.2">
      <c r="B113" s="1" t="s">
        <v>362</v>
      </c>
      <c r="E113" s="16">
        <f>+C64</f>
        <v>15</v>
      </c>
    </row>
    <row r="114" spans="1:6" x14ac:dyDescent="0.2">
      <c r="A114" s="1">
        <v>1</v>
      </c>
      <c r="C114" s="1" t="s">
        <v>363</v>
      </c>
      <c r="F114" s="16">
        <f>SUM(E112:E113)</f>
        <v>375</v>
      </c>
    </row>
    <row r="115" spans="1:6" x14ac:dyDescent="0.2">
      <c r="B115" s="1" t="s">
        <v>418</v>
      </c>
      <c r="F115" s="16"/>
    </row>
    <row r="117" spans="1:6" x14ac:dyDescent="0.2">
      <c r="B117" s="1" t="s">
        <v>364</v>
      </c>
    </row>
    <row r="118" spans="1:6" x14ac:dyDescent="0.2">
      <c r="B118" s="1" t="s">
        <v>329</v>
      </c>
    </row>
    <row r="119" spans="1:6" x14ac:dyDescent="0.2">
      <c r="B119" s="1" t="s">
        <v>365</v>
      </c>
      <c r="E119" s="26">
        <f>+(E112-C74)*3/C73</f>
        <v>5.916666666666667</v>
      </c>
    </row>
    <row r="120" spans="1:6" x14ac:dyDescent="0.2">
      <c r="C120" s="1" t="s">
        <v>366</v>
      </c>
      <c r="F120" s="26">
        <f>+E119</f>
        <v>5.916666666666667</v>
      </c>
    </row>
    <row r="121" spans="1:6" x14ac:dyDescent="0.2">
      <c r="A121" s="1">
        <v>1</v>
      </c>
      <c r="B121" s="1" t="s">
        <v>413</v>
      </c>
    </row>
    <row r="123" spans="1:6" x14ac:dyDescent="0.2">
      <c r="B123" s="1" t="s">
        <v>367</v>
      </c>
    </row>
    <row r="126" spans="1:6" x14ac:dyDescent="0.2">
      <c r="B126" s="31" t="s">
        <v>368</v>
      </c>
    </row>
    <row r="127" spans="1:6" x14ac:dyDescent="0.2">
      <c r="B127" s="1" t="s">
        <v>369</v>
      </c>
      <c r="C127" s="3">
        <v>44562</v>
      </c>
    </row>
    <row r="128" spans="1:6" x14ac:dyDescent="0.2">
      <c r="B128" s="1" t="s">
        <v>370</v>
      </c>
      <c r="C128" s="1">
        <v>5000</v>
      </c>
      <c r="D128" s="1" t="s">
        <v>371</v>
      </c>
    </row>
    <row r="129" spans="1:6" x14ac:dyDescent="0.2">
      <c r="B129" s="1" t="s">
        <v>54</v>
      </c>
      <c r="C129" s="1">
        <f>5*12</f>
        <v>60</v>
      </c>
      <c r="D129" s="1" t="s">
        <v>52</v>
      </c>
    </row>
    <row r="130" spans="1:6" x14ac:dyDescent="0.2">
      <c r="B130" s="1" t="s">
        <v>372</v>
      </c>
      <c r="C130" s="3">
        <v>44562</v>
      </c>
    </row>
    <row r="131" spans="1:6" x14ac:dyDescent="0.2">
      <c r="B131" s="1" t="s">
        <v>373</v>
      </c>
      <c r="C131" s="1">
        <v>1000</v>
      </c>
    </row>
    <row r="132" spans="1:6" x14ac:dyDescent="0.2">
      <c r="B132" s="1" t="s">
        <v>374</v>
      </c>
      <c r="C132" s="4">
        <v>0.12</v>
      </c>
      <c r="D132" s="1" t="s">
        <v>375</v>
      </c>
    </row>
    <row r="133" spans="1:6" x14ac:dyDescent="0.2">
      <c r="B133" s="1" t="s">
        <v>376</v>
      </c>
      <c r="C133" s="1">
        <v>3.0369999999999999</v>
      </c>
    </row>
    <row r="135" spans="1:6" x14ac:dyDescent="0.2">
      <c r="B135" s="31" t="s">
        <v>301</v>
      </c>
      <c r="C135" s="31"/>
      <c r="D135" s="31"/>
      <c r="E135" s="31"/>
      <c r="F135" s="31"/>
    </row>
    <row r="136" spans="1:6" x14ac:dyDescent="0.2">
      <c r="B136" s="31" t="s">
        <v>377</v>
      </c>
      <c r="C136" s="31"/>
      <c r="D136" s="31"/>
      <c r="E136" s="31">
        <f>+C128</f>
        <v>5000</v>
      </c>
      <c r="F136" s="31"/>
    </row>
    <row r="137" spans="1:6" x14ac:dyDescent="0.2">
      <c r="B137" s="31"/>
      <c r="C137" s="31" t="s">
        <v>378</v>
      </c>
      <c r="D137" s="31"/>
      <c r="E137" s="31"/>
      <c r="F137" s="31">
        <f>+E136</f>
        <v>5000</v>
      </c>
    </row>
    <row r="139" spans="1:6" x14ac:dyDescent="0.2">
      <c r="A139" s="1">
        <v>0.5</v>
      </c>
      <c r="B139" s="1" t="s">
        <v>381</v>
      </c>
      <c r="C139" s="1">
        <f>+C128*C133</f>
        <v>15185</v>
      </c>
      <c r="D139" s="1" t="s">
        <v>419</v>
      </c>
    </row>
    <row r="140" spans="1:6" x14ac:dyDescent="0.2">
      <c r="A140" s="1">
        <v>0</v>
      </c>
      <c r="B140" s="1" t="s">
        <v>92</v>
      </c>
      <c r="C140" s="1">
        <f>+C139+C128+C131</f>
        <v>21185</v>
      </c>
      <c r="D140" s="1" t="s">
        <v>420</v>
      </c>
    </row>
    <row r="142" spans="1:6" x14ac:dyDescent="0.2">
      <c r="B142" s="1" t="s">
        <v>382</v>
      </c>
      <c r="E142" s="6">
        <f>+C140</f>
        <v>21185</v>
      </c>
      <c r="F142" s="6"/>
    </row>
    <row r="143" spans="1:6" x14ac:dyDescent="0.2">
      <c r="C143" s="1" t="s">
        <v>383</v>
      </c>
      <c r="E143" s="6"/>
      <c r="F143" s="6">
        <f>+C139</f>
        <v>15185</v>
      </c>
    </row>
    <row r="144" spans="1:6" x14ac:dyDescent="0.2">
      <c r="C144" s="1" t="s">
        <v>384</v>
      </c>
      <c r="E144" s="6"/>
      <c r="F144" s="6">
        <f>+E142-F143</f>
        <v>6000</v>
      </c>
    </row>
    <row r="145" spans="1:6" x14ac:dyDescent="0.2">
      <c r="A145" s="1">
        <v>2</v>
      </c>
      <c r="B145" s="1" t="s">
        <v>385</v>
      </c>
    </row>
    <row r="147" spans="1:6" x14ac:dyDescent="0.2">
      <c r="B147" s="1" t="s">
        <v>386</v>
      </c>
    </row>
    <row r="148" spans="1:6" x14ac:dyDescent="0.2">
      <c r="B148" s="1" t="s">
        <v>92</v>
      </c>
      <c r="C148" s="6">
        <f>+C140</f>
        <v>21185</v>
      </c>
    </row>
    <row r="149" spans="1:6" x14ac:dyDescent="0.2">
      <c r="B149" s="1" t="s">
        <v>387</v>
      </c>
      <c r="C149" s="6">
        <f>+C129</f>
        <v>60</v>
      </c>
    </row>
    <row r="150" spans="1:6" x14ac:dyDescent="0.2">
      <c r="A150" s="1">
        <v>0.5</v>
      </c>
      <c r="B150" s="1" t="s">
        <v>388</v>
      </c>
      <c r="C150" s="6">
        <f>+C148*12/C149</f>
        <v>4237</v>
      </c>
      <c r="D150" s="1" t="s">
        <v>391</v>
      </c>
    </row>
    <row r="152" spans="1:6" x14ac:dyDescent="0.2">
      <c r="B152" s="1" t="s">
        <v>314</v>
      </c>
      <c r="E152" s="6">
        <f>+C150</f>
        <v>4237</v>
      </c>
    </row>
    <row r="153" spans="1:6" x14ac:dyDescent="0.2">
      <c r="C153" s="1" t="s">
        <v>389</v>
      </c>
      <c r="F153" s="6">
        <f>+E152</f>
        <v>4237</v>
      </c>
    </row>
    <row r="154" spans="1:6" x14ac:dyDescent="0.2">
      <c r="B154" s="1" t="s">
        <v>390</v>
      </c>
    </row>
    <row r="156" spans="1:6" x14ac:dyDescent="0.2">
      <c r="A156" s="1">
        <v>0</v>
      </c>
      <c r="B156" s="1" t="s">
        <v>414</v>
      </c>
      <c r="E156" s="6">
        <f>+E161</f>
        <v>1822.2</v>
      </c>
    </row>
    <row r="157" spans="1:6" x14ac:dyDescent="0.2">
      <c r="C157" s="1" t="s">
        <v>415</v>
      </c>
      <c r="F157" s="6">
        <f>+E156</f>
        <v>1822.2</v>
      </c>
    </row>
    <row r="158" spans="1:6" x14ac:dyDescent="0.2">
      <c r="B158" s="1" t="s">
        <v>416</v>
      </c>
      <c r="F158" s="6"/>
    </row>
    <row r="160" spans="1:6" x14ac:dyDescent="0.2">
      <c r="B160" s="3"/>
      <c r="C160" s="1" t="s">
        <v>393</v>
      </c>
      <c r="D160" s="1" t="s">
        <v>379</v>
      </c>
      <c r="E160" s="1" t="s">
        <v>394</v>
      </c>
      <c r="F160" s="1" t="s">
        <v>392</v>
      </c>
    </row>
    <row r="161" spans="2:6" x14ac:dyDescent="0.2">
      <c r="B161" s="3">
        <v>44926</v>
      </c>
      <c r="C161" s="6">
        <f>+C128*C133</f>
        <v>15185</v>
      </c>
      <c r="D161" s="6">
        <v>0</v>
      </c>
      <c r="E161" s="6">
        <f>SUM(C161:D161)*$C$132</f>
        <v>1822.2</v>
      </c>
      <c r="F161" s="6">
        <f>SUM(C161:E161)</f>
        <v>17007.2</v>
      </c>
    </row>
    <row r="162" spans="2:6" x14ac:dyDescent="0.2">
      <c r="B162" s="3">
        <v>45291</v>
      </c>
      <c r="C162" s="6">
        <f>+F161</f>
        <v>17007.2</v>
      </c>
      <c r="D162" s="6">
        <f t="shared" ref="D162:D165" si="0">-$C$128</f>
        <v>-5000</v>
      </c>
      <c r="E162" s="6">
        <f t="shared" ref="E162:E164" si="1">SUM(C162:D162)*$C$132</f>
        <v>1440.864</v>
      </c>
      <c r="F162" s="6">
        <f t="shared" ref="F162:F164" si="2">SUM(C162:E162)</f>
        <v>13448.064</v>
      </c>
    </row>
    <row r="163" spans="2:6" x14ac:dyDescent="0.2">
      <c r="B163" s="3">
        <v>45657</v>
      </c>
      <c r="C163" s="6">
        <f t="shared" ref="C163:C164" si="3">+F162</f>
        <v>13448.064</v>
      </c>
      <c r="D163" s="6">
        <f t="shared" si="0"/>
        <v>-5000</v>
      </c>
      <c r="E163" s="6">
        <f t="shared" si="1"/>
        <v>1013.76768</v>
      </c>
      <c r="F163" s="6">
        <f t="shared" si="2"/>
        <v>9461.8316800000011</v>
      </c>
    </row>
    <row r="164" spans="2:6" x14ac:dyDescent="0.2">
      <c r="B164" s="3">
        <v>46022</v>
      </c>
      <c r="C164" s="6">
        <f t="shared" si="3"/>
        <v>9461.8316800000011</v>
      </c>
      <c r="D164" s="6">
        <f t="shared" si="0"/>
        <v>-5000</v>
      </c>
      <c r="E164" s="6">
        <f t="shared" si="1"/>
        <v>535.41980160000014</v>
      </c>
      <c r="F164" s="6">
        <f t="shared" si="2"/>
        <v>4997.2514816000012</v>
      </c>
    </row>
    <row r="165" spans="2:6" x14ac:dyDescent="0.2">
      <c r="B165" s="3">
        <v>46387</v>
      </c>
      <c r="C165" s="6">
        <f t="shared" ref="C165" si="4">+F164</f>
        <v>4997.2514816000012</v>
      </c>
      <c r="D165" s="6">
        <f t="shared" si="0"/>
        <v>-5000</v>
      </c>
      <c r="E165" s="6">
        <f t="shared" ref="E165" si="5">SUM(C165:D165)*$C$132</f>
        <v>-0.32982220799985951</v>
      </c>
      <c r="F165" s="6">
        <f t="shared" ref="F165" si="6">SUM(C165:E165)</f>
        <v>-3.078340607998689</v>
      </c>
    </row>
    <row r="168" spans="2:6" x14ac:dyDescent="0.2">
      <c r="B168" s="1" t="s">
        <v>395</v>
      </c>
      <c r="C168" s="6">
        <f>+F161-F162</f>
        <v>3559.1360000000004</v>
      </c>
    </row>
    <row r="169" spans="2:6" x14ac:dyDescent="0.2">
      <c r="B169" s="1" t="s">
        <v>396</v>
      </c>
      <c r="C169" s="6">
        <f>+F161-C168</f>
        <v>13448.064</v>
      </c>
    </row>
    <row r="172" spans="2:6" x14ac:dyDescent="0.2">
      <c r="B172" s="1" t="s">
        <v>397</v>
      </c>
    </row>
    <row r="173" spans="2:6" x14ac:dyDescent="0.2">
      <c r="B173" s="1" t="s">
        <v>398</v>
      </c>
      <c r="C173" s="4">
        <v>1</v>
      </c>
    </row>
    <row r="174" spans="2:6" x14ac:dyDescent="0.2">
      <c r="B174" s="1" t="s">
        <v>77</v>
      </c>
      <c r="C174" s="1">
        <v>1100</v>
      </c>
    </row>
    <row r="176" spans="2:6" x14ac:dyDescent="0.2">
      <c r="C176" s="1" t="s">
        <v>400</v>
      </c>
      <c r="D176" s="1" t="s">
        <v>401</v>
      </c>
      <c r="E176" s="1" t="s">
        <v>402</v>
      </c>
    </row>
    <row r="177" spans="1:7" x14ac:dyDescent="0.2">
      <c r="B177" s="1" t="s">
        <v>33</v>
      </c>
      <c r="C177" s="6">
        <v>2200</v>
      </c>
      <c r="D177" s="6">
        <v>3800</v>
      </c>
      <c r="E177" s="6">
        <v>1750</v>
      </c>
      <c r="F177" s="6">
        <f>SUM(C177:E177)</f>
        <v>7750</v>
      </c>
    </row>
    <row r="178" spans="1:7" x14ac:dyDescent="0.2">
      <c r="B178" s="1" t="s">
        <v>46</v>
      </c>
      <c r="C178" s="6">
        <v>1900</v>
      </c>
      <c r="D178" s="6">
        <v>2900</v>
      </c>
      <c r="E178" s="6">
        <v>1550</v>
      </c>
      <c r="F178" s="6"/>
    </row>
    <row r="179" spans="1:7" x14ac:dyDescent="0.2">
      <c r="B179" s="1" t="s">
        <v>83</v>
      </c>
      <c r="C179" s="6">
        <v>2300</v>
      </c>
      <c r="D179" s="6">
        <v>3200</v>
      </c>
      <c r="E179" s="6">
        <v>1500</v>
      </c>
      <c r="F179" s="6"/>
    </row>
    <row r="180" spans="1:7" x14ac:dyDescent="0.2">
      <c r="B180" s="6" t="s">
        <v>399</v>
      </c>
      <c r="C180" s="6">
        <f>+MAX(C178,C179)</f>
        <v>2300</v>
      </c>
      <c r="D180" s="6">
        <f t="shared" ref="D180:E180" si="7">+MAX(D178,D179)</f>
        <v>3200</v>
      </c>
      <c r="E180" s="6">
        <f t="shared" si="7"/>
        <v>1550</v>
      </c>
      <c r="F180" s="6">
        <v>7200</v>
      </c>
    </row>
    <row r="181" spans="1:7" x14ac:dyDescent="0.2">
      <c r="A181" s="1">
        <v>0.5</v>
      </c>
      <c r="B181" s="1" t="s">
        <v>403</v>
      </c>
      <c r="C181" s="6">
        <v>0</v>
      </c>
      <c r="D181" s="6">
        <f t="shared" ref="D181:E181" si="8">+D180-D177</f>
        <v>-600</v>
      </c>
      <c r="E181" s="6">
        <f t="shared" si="8"/>
        <v>-200</v>
      </c>
      <c r="F181" s="6">
        <f t="shared" ref="F181" si="9">SUM(C181:E181)</f>
        <v>-800</v>
      </c>
      <c r="G181" s="6">
        <f>SUM(D181:E181)-F181</f>
        <v>0</v>
      </c>
    </row>
    <row r="183" spans="1:7" x14ac:dyDescent="0.2">
      <c r="B183" s="1" t="s">
        <v>404</v>
      </c>
    </row>
    <row r="184" spans="1:7" x14ac:dyDescent="0.2">
      <c r="B184" s="1" t="s">
        <v>405</v>
      </c>
    </row>
    <row r="185" spans="1:7" x14ac:dyDescent="0.2">
      <c r="B185" s="1" t="s">
        <v>406</v>
      </c>
    </row>
    <row r="188" spans="1:7" x14ac:dyDescent="0.2">
      <c r="B188" s="1" t="s">
        <v>407</v>
      </c>
      <c r="F188" s="6">
        <f>+F177</f>
        <v>7750</v>
      </c>
    </row>
    <row r="189" spans="1:7" x14ac:dyDescent="0.2">
      <c r="B189" s="1" t="s">
        <v>408</v>
      </c>
      <c r="F189" s="6">
        <v>-800</v>
      </c>
    </row>
    <row r="190" spans="1:7" x14ac:dyDescent="0.2">
      <c r="B190" s="1" t="s">
        <v>409</v>
      </c>
      <c r="F190" s="1">
        <f>+C174</f>
        <v>1100</v>
      </c>
    </row>
    <row r="191" spans="1:7" x14ac:dyDescent="0.2">
      <c r="B191" s="1" t="s">
        <v>410</v>
      </c>
      <c r="F191" s="6">
        <f>SUM(F188:F190)</f>
        <v>8050</v>
      </c>
    </row>
    <row r="192" spans="1:7" x14ac:dyDescent="0.2">
      <c r="B192" s="1" t="s">
        <v>411</v>
      </c>
      <c r="F192" s="6">
        <f>+F180</f>
        <v>7200</v>
      </c>
    </row>
    <row r="193" spans="1:6" x14ac:dyDescent="0.2">
      <c r="A193" s="1">
        <v>1</v>
      </c>
      <c r="B193" s="1" t="s">
        <v>141</v>
      </c>
      <c r="F193" s="6">
        <f>+F192-F191</f>
        <v>-850</v>
      </c>
    </row>
    <row r="196" spans="1:6" x14ac:dyDescent="0.2">
      <c r="B196" s="1" t="s">
        <v>36</v>
      </c>
      <c r="E196" s="26">
        <f>SUM(F197:F198)</f>
        <v>1650</v>
      </c>
    </row>
    <row r="197" spans="1:6" x14ac:dyDescent="0.2">
      <c r="C197" s="1" t="s">
        <v>80</v>
      </c>
      <c r="F197" s="26">
        <f>-+F193</f>
        <v>850</v>
      </c>
    </row>
    <row r="198" spans="1:6" x14ac:dyDescent="0.2">
      <c r="C198" s="1" t="s">
        <v>1131</v>
      </c>
      <c r="F198" s="26">
        <f>-F189</f>
        <v>800</v>
      </c>
    </row>
    <row r="199" spans="1:6" x14ac:dyDescent="0.2">
      <c r="B199" s="1" t="s">
        <v>412</v>
      </c>
    </row>
  </sheetData>
  <hyperlinks>
    <hyperlink ref="A1" location="Main!A1" display="Main" xr:uid="{E565F225-3727-4399-A9B5-018C34F90023}"/>
  </hyperlinks>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D40C4-9050-4234-BEFD-6C2720FBB882}">
  <dimension ref="A1:I127"/>
  <sheetViews>
    <sheetView topLeftCell="A100" zoomScale="175" zoomScaleNormal="175" workbookViewId="0">
      <selection activeCell="G104" sqref="G104"/>
    </sheetView>
  </sheetViews>
  <sheetFormatPr defaultRowHeight="12" x14ac:dyDescent="0.2"/>
  <cols>
    <col min="1" max="16384" width="9.140625" style="1"/>
  </cols>
  <sheetData>
    <row r="1" spans="1:6" ht="15" x14ac:dyDescent="0.25">
      <c r="A1" s="2" t="s">
        <v>0</v>
      </c>
    </row>
    <row r="2" spans="1:6" x14ac:dyDescent="0.2">
      <c r="A2" s="1">
        <f>SUM(A3:A248)</f>
        <v>7</v>
      </c>
      <c r="B2" s="1">
        <v>12</v>
      </c>
      <c r="C2" s="4">
        <f>+A2/B2</f>
        <v>0.58333333333333337</v>
      </c>
    </row>
    <row r="3" spans="1:6" x14ac:dyDescent="0.2">
      <c r="B3" s="1" t="s">
        <v>421</v>
      </c>
    </row>
    <row r="4" spans="1:6" x14ac:dyDescent="0.2">
      <c r="B4" s="1" t="s">
        <v>5</v>
      </c>
      <c r="C4" s="3">
        <v>44926</v>
      </c>
    </row>
    <row r="7" spans="1:6" x14ac:dyDescent="0.2">
      <c r="B7" s="1" t="s">
        <v>422</v>
      </c>
    </row>
    <row r="9" spans="1:6" x14ac:dyDescent="0.2">
      <c r="B9" s="1" t="s">
        <v>423</v>
      </c>
    </row>
    <row r="10" spans="1:6" x14ac:dyDescent="0.2">
      <c r="B10" s="1" t="s">
        <v>424</v>
      </c>
      <c r="C10" s="3">
        <v>44701</v>
      </c>
    </row>
    <row r="11" spans="1:6" x14ac:dyDescent="0.2">
      <c r="B11" s="1" t="s">
        <v>425</v>
      </c>
      <c r="C11" s="3">
        <v>44742</v>
      </c>
    </row>
    <row r="12" spans="1:6" x14ac:dyDescent="0.2">
      <c r="B12" s="1" t="s">
        <v>426</v>
      </c>
      <c r="C12" s="6">
        <v>600000</v>
      </c>
      <c r="D12" s="1" t="s">
        <v>427</v>
      </c>
    </row>
    <row r="13" spans="1:6" x14ac:dyDescent="0.2">
      <c r="B13" s="1" t="s">
        <v>428</v>
      </c>
      <c r="C13" s="6">
        <v>775000</v>
      </c>
      <c r="D13" s="3">
        <v>45657</v>
      </c>
      <c r="E13" s="6">
        <f>YEARFRAC(C11,D13)*12</f>
        <v>30</v>
      </c>
      <c r="F13" s="1" t="s">
        <v>436</v>
      </c>
    </row>
    <row r="14" spans="1:6" x14ac:dyDescent="0.2">
      <c r="A14" s="1">
        <v>0.5</v>
      </c>
      <c r="B14" s="1" t="s">
        <v>435</v>
      </c>
      <c r="C14" s="6">
        <f>+C13-C12</f>
        <v>175000</v>
      </c>
      <c r="D14" s="3"/>
    </row>
    <row r="15" spans="1:6" x14ac:dyDescent="0.2">
      <c r="B15" s="1" t="s">
        <v>380</v>
      </c>
      <c r="C15" s="33">
        <v>5.2600000000000001E-2</v>
      </c>
      <c r="D15" s="1" t="s">
        <v>429</v>
      </c>
    </row>
    <row r="16" spans="1:6" x14ac:dyDescent="0.2">
      <c r="B16" s="1" t="s">
        <v>305</v>
      </c>
      <c r="C16" s="6">
        <f>YEARFRAC(C11,C4)*12</f>
        <v>6</v>
      </c>
    </row>
    <row r="17" spans="1:6" x14ac:dyDescent="0.2">
      <c r="B17" s="1" t="s">
        <v>438</v>
      </c>
      <c r="C17" s="6">
        <f>+C16*C14/E13</f>
        <v>35000</v>
      </c>
      <c r="D17" s="1" t="s">
        <v>437</v>
      </c>
    </row>
    <row r="18" spans="1:6" x14ac:dyDescent="0.2">
      <c r="C18" s="6"/>
    </row>
    <row r="19" spans="1:6" x14ac:dyDescent="0.2">
      <c r="A19" s="1">
        <v>0</v>
      </c>
      <c r="B19" s="1" t="s">
        <v>490</v>
      </c>
      <c r="C19" s="6"/>
    </row>
    <row r="21" spans="1:6" x14ac:dyDescent="0.2">
      <c r="B21" s="1" t="s">
        <v>301</v>
      </c>
    </row>
    <row r="22" spans="1:6" x14ac:dyDescent="0.2">
      <c r="B22" s="1" t="s">
        <v>292</v>
      </c>
    </row>
    <row r="23" spans="1:6" x14ac:dyDescent="0.2">
      <c r="C23" s="1" t="s">
        <v>430</v>
      </c>
    </row>
    <row r="25" spans="1:6" x14ac:dyDescent="0.2">
      <c r="B25" s="1" t="s">
        <v>431</v>
      </c>
    </row>
    <row r="27" spans="1:6" x14ac:dyDescent="0.2">
      <c r="B27" s="1" t="s">
        <v>432</v>
      </c>
      <c r="E27" s="6">
        <f>SUM(F28:F29)</f>
        <v>631560</v>
      </c>
      <c r="F27" s="6"/>
    </row>
    <row r="28" spans="1:6" x14ac:dyDescent="0.2">
      <c r="A28" s="1">
        <v>1</v>
      </c>
      <c r="C28" s="1" t="s">
        <v>433</v>
      </c>
      <c r="E28" s="6"/>
      <c r="F28" s="6">
        <f>+C12</f>
        <v>600000</v>
      </c>
    </row>
    <row r="29" spans="1:6" x14ac:dyDescent="0.2">
      <c r="A29" s="1">
        <v>0</v>
      </c>
      <c r="C29" s="1" t="s">
        <v>434</v>
      </c>
      <c r="E29" s="6"/>
      <c r="F29" s="6">
        <f>+C12*C15</f>
        <v>31560</v>
      </c>
    </row>
    <row r="30" spans="1:6" x14ac:dyDescent="0.2">
      <c r="A30" s="1">
        <v>0.5</v>
      </c>
      <c r="B30" s="1" t="s">
        <v>439</v>
      </c>
    </row>
    <row r="34" spans="1:9" x14ac:dyDescent="0.2">
      <c r="B34" s="1" t="s">
        <v>440</v>
      </c>
    </row>
    <row r="35" spans="1:9" x14ac:dyDescent="0.2">
      <c r="B35" s="1" t="s">
        <v>441</v>
      </c>
      <c r="C35" s="3">
        <v>44621</v>
      </c>
    </row>
    <row r="36" spans="1:9" x14ac:dyDescent="0.2">
      <c r="B36" s="1" t="s">
        <v>442</v>
      </c>
      <c r="C36" s="1">
        <v>12</v>
      </c>
      <c r="D36" s="1" t="s">
        <v>443</v>
      </c>
    </row>
    <row r="37" spans="1:9" x14ac:dyDescent="0.2">
      <c r="B37" s="1" t="s">
        <v>444</v>
      </c>
      <c r="C37" s="6">
        <v>100000</v>
      </c>
      <c r="D37" s="1" t="s">
        <v>445</v>
      </c>
    </row>
    <row r="38" spans="1:9" x14ac:dyDescent="0.2">
      <c r="B38" s="1" t="s">
        <v>446</v>
      </c>
      <c r="C38" s="1">
        <v>11</v>
      </c>
      <c r="D38" s="1" t="s">
        <v>443</v>
      </c>
    </row>
    <row r="39" spans="1:9" x14ac:dyDescent="0.2">
      <c r="A39" s="1">
        <v>0.5</v>
      </c>
      <c r="B39" s="1" t="s">
        <v>447</v>
      </c>
    </row>
    <row r="40" spans="1:9" x14ac:dyDescent="0.2">
      <c r="B40" s="1" t="s">
        <v>448</v>
      </c>
    </row>
    <row r="42" spans="1:9" x14ac:dyDescent="0.2">
      <c r="A42" s="1">
        <v>0</v>
      </c>
      <c r="B42" s="1" t="s">
        <v>491</v>
      </c>
    </row>
    <row r="43" spans="1:9" x14ac:dyDescent="0.2">
      <c r="E43" s="10"/>
      <c r="F43" s="10"/>
      <c r="G43" s="9"/>
      <c r="H43" s="9"/>
      <c r="I43" s="9"/>
    </row>
    <row r="44" spans="1:9" x14ac:dyDescent="0.2">
      <c r="B44" s="1" t="s">
        <v>301</v>
      </c>
      <c r="E44" s="10"/>
      <c r="F44" s="10"/>
      <c r="G44" s="9"/>
      <c r="H44" s="9"/>
      <c r="I44" s="9"/>
    </row>
    <row r="45" spans="1:9" x14ac:dyDescent="0.2">
      <c r="B45" s="1" t="s">
        <v>449</v>
      </c>
      <c r="E45" s="10">
        <f>+C36*C37</f>
        <v>1200000</v>
      </c>
      <c r="F45" s="10"/>
      <c r="G45" s="9"/>
      <c r="H45" s="10">
        <f>+E45-F48</f>
        <v>60000</v>
      </c>
      <c r="I45" s="9"/>
    </row>
    <row r="46" spans="1:9" x14ac:dyDescent="0.2">
      <c r="C46" s="1" t="s">
        <v>450</v>
      </c>
      <c r="E46" s="10"/>
      <c r="F46" s="10">
        <f>+E45</f>
        <v>1200000</v>
      </c>
      <c r="G46" s="9"/>
      <c r="H46" s="9"/>
      <c r="I46" s="9"/>
    </row>
    <row r="47" spans="1:9" x14ac:dyDescent="0.2">
      <c r="B47" s="1" t="s">
        <v>340</v>
      </c>
      <c r="E47" s="10">
        <f>95000*C36</f>
        <v>1140000</v>
      </c>
      <c r="F47" s="10"/>
      <c r="G47" s="9"/>
      <c r="H47" s="9"/>
      <c r="I47" s="9"/>
    </row>
    <row r="48" spans="1:9" x14ac:dyDescent="0.2">
      <c r="C48" s="1" t="s">
        <v>451</v>
      </c>
      <c r="E48" s="10"/>
      <c r="F48" s="10">
        <f>+E47</f>
        <v>1140000</v>
      </c>
      <c r="G48" s="9"/>
      <c r="H48" s="9"/>
      <c r="I48" s="9"/>
    </row>
    <row r="49" spans="1:9" x14ac:dyDescent="0.2">
      <c r="E49" s="10"/>
      <c r="F49" s="10"/>
      <c r="G49" s="9"/>
      <c r="H49" s="9"/>
      <c r="I49" s="9"/>
    </row>
    <row r="50" spans="1:9" x14ac:dyDescent="0.2">
      <c r="A50" s="1">
        <v>0</v>
      </c>
      <c r="B50" s="1" t="s">
        <v>492</v>
      </c>
      <c r="E50" s="10"/>
      <c r="F50" s="10"/>
      <c r="G50" s="9"/>
      <c r="H50" s="9"/>
      <c r="I50" s="9"/>
    </row>
    <row r="51" spans="1:9" x14ac:dyDescent="0.2">
      <c r="E51" s="6"/>
      <c r="F51" s="6"/>
    </row>
    <row r="52" spans="1:9" x14ac:dyDescent="0.2">
      <c r="A52" s="1">
        <v>0.5</v>
      </c>
      <c r="B52" s="1" t="s">
        <v>452</v>
      </c>
      <c r="E52" s="6"/>
      <c r="F52" s="6"/>
    </row>
    <row r="53" spans="1:9" x14ac:dyDescent="0.2">
      <c r="E53" s="6"/>
      <c r="F53" s="6"/>
    </row>
    <row r="54" spans="1:9" x14ac:dyDescent="0.2">
      <c r="A54" s="1">
        <v>0.5</v>
      </c>
      <c r="B54" s="1" t="s">
        <v>454</v>
      </c>
      <c r="E54" s="6">
        <f>SUM(F55:F55)</f>
        <v>100000</v>
      </c>
      <c r="F54" s="6"/>
    </row>
    <row r="55" spans="1:9" x14ac:dyDescent="0.2">
      <c r="C55" s="1" t="s">
        <v>453</v>
      </c>
      <c r="E55" s="6"/>
      <c r="F55" s="6">
        <f>(C36-C38)*C37</f>
        <v>100000</v>
      </c>
    </row>
    <row r="56" spans="1:9" x14ac:dyDescent="0.2">
      <c r="B56" s="1" t="s">
        <v>493</v>
      </c>
      <c r="E56" s="6"/>
      <c r="F56" s="6"/>
    </row>
    <row r="57" spans="1:9" x14ac:dyDescent="0.2">
      <c r="E57" s="6"/>
      <c r="F57" s="6"/>
    </row>
    <row r="59" spans="1:9" x14ac:dyDescent="0.2">
      <c r="B59" s="1" t="s">
        <v>455</v>
      </c>
    </row>
    <row r="60" spans="1:9" x14ac:dyDescent="0.2">
      <c r="B60" s="1" t="s">
        <v>424</v>
      </c>
      <c r="C60" s="3">
        <v>44804</v>
      </c>
    </row>
    <row r="61" spans="1:9" x14ac:dyDescent="0.2">
      <c r="B61" s="1" t="s">
        <v>458</v>
      </c>
      <c r="C61" s="6">
        <v>38000</v>
      </c>
    </row>
    <row r="62" spans="1:9" x14ac:dyDescent="0.2">
      <c r="B62" s="1" t="s">
        <v>456</v>
      </c>
      <c r="C62" s="6">
        <v>48000</v>
      </c>
    </row>
    <row r="63" spans="1:9" x14ac:dyDescent="0.2">
      <c r="B63" s="1" t="s">
        <v>457</v>
      </c>
      <c r="C63" s="6">
        <v>40000</v>
      </c>
    </row>
    <row r="64" spans="1:9" x14ac:dyDescent="0.2">
      <c r="C64" s="6"/>
    </row>
    <row r="65" spans="1:6" x14ac:dyDescent="0.2">
      <c r="B65" s="1" t="s">
        <v>494</v>
      </c>
      <c r="C65" s="6"/>
    </row>
    <row r="67" spans="1:6" x14ac:dyDescent="0.2">
      <c r="B67" s="1" t="s">
        <v>459</v>
      </c>
    </row>
    <row r="69" spans="1:6" x14ac:dyDescent="0.2">
      <c r="B69" s="1" t="s">
        <v>462</v>
      </c>
    </row>
    <row r="70" spans="1:6" x14ac:dyDescent="0.2">
      <c r="A70" s="1">
        <v>0.5</v>
      </c>
      <c r="B70" s="1" t="s">
        <v>495</v>
      </c>
    </row>
    <row r="71" spans="1:6" x14ac:dyDescent="0.2">
      <c r="B71" s="1" t="s">
        <v>463</v>
      </c>
      <c r="C71" s="6">
        <f>+C63</f>
        <v>40000</v>
      </c>
    </row>
    <row r="72" spans="1:6" x14ac:dyDescent="0.2">
      <c r="B72" s="1" t="s">
        <v>464</v>
      </c>
    </row>
    <row r="74" spans="1:6" x14ac:dyDescent="0.2">
      <c r="B74" s="1" t="s">
        <v>465</v>
      </c>
      <c r="E74" s="6">
        <f>+C71</f>
        <v>40000</v>
      </c>
    </row>
    <row r="75" spans="1:6" x14ac:dyDescent="0.2">
      <c r="C75" s="1" t="s">
        <v>466</v>
      </c>
      <c r="F75" s="6">
        <f>+E74</f>
        <v>40000</v>
      </c>
    </row>
    <row r="76" spans="1:6" x14ac:dyDescent="0.2">
      <c r="A76" s="1">
        <v>0.5</v>
      </c>
      <c r="B76" s="1" t="s">
        <v>467</v>
      </c>
    </row>
    <row r="78" spans="1:6" x14ac:dyDescent="0.2">
      <c r="B78" s="1" t="s">
        <v>468</v>
      </c>
      <c r="E78" s="6">
        <f>+C61</f>
        <v>38000</v>
      </c>
    </row>
    <row r="79" spans="1:6" x14ac:dyDescent="0.2">
      <c r="C79" s="1" t="s">
        <v>469</v>
      </c>
      <c r="F79" s="6">
        <f>+E78</f>
        <v>38000</v>
      </c>
    </row>
    <row r="80" spans="1:6" x14ac:dyDescent="0.2">
      <c r="A80" s="1">
        <v>0.5</v>
      </c>
      <c r="B80" s="1" t="s">
        <v>470</v>
      </c>
    </row>
    <row r="83" spans="2:4" x14ac:dyDescent="0.2">
      <c r="B83" s="1" t="s">
        <v>471</v>
      </c>
    </row>
    <row r="84" spans="2:4" x14ac:dyDescent="0.2">
      <c r="B84" s="1" t="s">
        <v>472</v>
      </c>
      <c r="C84" s="3">
        <v>44895</v>
      </c>
    </row>
    <row r="85" spans="2:4" x14ac:dyDescent="0.2">
      <c r="B85" s="1" t="s">
        <v>473</v>
      </c>
    </row>
    <row r="86" spans="2:4" x14ac:dyDescent="0.2">
      <c r="B86" s="1" t="s">
        <v>474</v>
      </c>
    </row>
    <row r="87" spans="2:4" x14ac:dyDescent="0.2">
      <c r="B87" s="1" t="s">
        <v>475</v>
      </c>
    </row>
    <row r="88" spans="2:4" x14ac:dyDescent="0.2">
      <c r="C88" s="1" t="s">
        <v>461</v>
      </c>
    </row>
    <row r="90" spans="2:4" x14ac:dyDescent="0.2">
      <c r="B90" s="1" t="s">
        <v>496</v>
      </c>
    </row>
    <row r="93" spans="2:4" x14ac:dyDescent="0.2">
      <c r="B93" s="1" t="s">
        <v>476</v>
      </c>
    </row>
    <row r="94" spans="2:4" x14ac:dyDescent="0.2">
      <c r="B94" s="3">
        <v>44895</v>
      </c>
      <c r="C94" s="1">
        <v>1.19</v>
      </c>
      <c r="D94" s="1" t="s">
        <v>477</v>
      </c>
    </row>
    <row r="95" spans="2:4" x14ac:dyDescent="0.2">
      <c r="B95" s="3">
        <v>44926</v>
      </c>
      <c r="C95" s="1">
        <v>1.1100000000000001</v>
      </c>
      <c r="D95" s="1" t="s">
        <v>477</v>
      </c>
    </row>
    <row r="96" spans="2:4" x14ac:dyDescent="0.2">
      <c r="B96" s="3"/>
    </row>
    <row r="97" spans="1:8" x14ac:dyDescent="0.2">
      <c r="B97" s="3" t="s">
        <v>497</v>
      </c>
    </row>
    <row r="99" spans="1:8" x14ac:dyDescent="0.2">
      <c r="B99" s="1" t="s">
        <v>478</v>
      </c>
    </row>
    <row r="100" spans="1:8" x14ac:dyDescent="0.2">
      <c r="E100" s="34" t="s">
        <v>479</v>
      </c>
      <c r="F100" s="34"/>
      <c r="G100" s="34" t="s">
        <v>480</v>
      </c>
      <c r="H100" s="34"/>
    </row>
    <row r="101" spans="1:8" x14ac:dyDescent="0.2">
      <c r="B101" s="1" t="s">
        <v>449</v>
      </c>
      <c r="E101" s="6">
        <v>30000</v>
      </c>
      <c r="F101" s="6"/>
      <c r="G101" s="6">
        <f>+E101/C94</f>
        <v>25210.084033613446</v>
      </c>
      <c r="H101" s="6"/>
    </row>
    <row r="102" spans="1:8" x14ac:dyDescent="0.2">
      <c r="C102" s="1" t="s">
        <v>460</v>
      </c>
      <c r="E102" s="6"/>
      <c r="F102" s="6">
        <f>+E101</f>
        <v>30000</v>
      </c>
      <c r="G102" s="6"/>
      <c r="H102" s="6">
        <f>+G101</f>
        <v>25210.084033613446</v>
      </c>
    </row>
    <row r="103" spans="1:8" x14ac:dyDescent="0.2">
      <c r="E103" s="6"/>
      <c r="F103" s="6"/>
      <c r="G103" s="6"/>
      <c r="H103" s="6"/>
    </row>
    <row r="104" spans="1:8" x14ac:dyDescent="0.2">
      <c r="B104" s="1" t="s">
        <v>481</v>
      </c>
      <c r="E104" s="6"/>
      <c r="F104" s="6"/>
      <c r="G104" s="6"/>
      <c r="H104" s="6"/>
    </row>
    <row r="105" spans="1:8" x14ac:dyDescent="0.2">
      <c r="B105" s="1" t="s">
        <v>449</v>
      </c>
      <c r="E105" s="6">
        <v>30000</v>
      </c>
      <c r="F105" s="6"/>
      <c r="G105" s="6">
        <f>+E105/C95</f>
        <v>27027.027027027023</v>
      </c>
      <c r="H105" s="6"/>
    </row>
    <row r="106" spans="1:8" x14ac:dyDescent="0.2">
      <c r="C106" s="1" t="s">
        <v>460</v>
      </c>
      <c r="E106" s="6"/>
      <c r="F106" s="6">
        <f>+E105</f>
        <v>30000</v>
      </c>
      <c r="G106" s="6"/>
      <c r="H106" s="6">
        <f>+G105</f>
        <v>27027.027027027023</v>
      </c>
    </row>
    <row r="108" spans="1:8" x14ac:dyDescent="0.2">
      <c r="A108" s="1">
        <v>0.5</v>
      </c>
      <c r="B108" s="1" t="s">
        <v>449</v>
      </c>
      <c r="E108" s="6">
        <v>30000</v>
      </c>
      <c r="F108" s="6"/>
      <c r="G108" s="6">
        <f>+G105-G101</f>
        <v>1816.9429934135769</v>
      </c>
      <c r="H108" s="6"/>
    </row>
    <row r="109" spans="1:8" x14ac:dyDescent="0.2">
      <c r="C109" s="1" t="s">
        <v>482</v>
      </c>
      <c r="E109" s="6"/>
      <c r="F109" s="6">
        <f>+E108</f>
        <v>30000</v>
      </c>
      <c r="G109" s="6"/>
      <c r="H109" s="6">
        <f>+G108</f>
        <v>1816.9429934135769</v>
      </c>
    </row>
    <row r="111" spans="1:8" x14ac:dyDescent="0.2">
      <c r="A111" s="1">
        <v>0.5</v>
      </c>
      <c r="B111" s="1" t="s">
        <v>483</v>
      </c>
      <c r="E111" s="10">
        <f>+G108</f>
        <v>1816.9429934135769</v>
      </c>
    </row>
    <row r="112" spans="1:8" x14ac:dyDescent="0.2">
      <c r="C112" s="1" t="s">
        <v>482</v>
      </c>
      <c r="F112" s="6">
        <f>+H109</f>
        <v>1816.9429934135769</v>
      </c>
    </row>
    <row r="113" spans="1:6" x14ac:dyDescent="0.2">
      <c r="A113" s="1">
        <v>0.5</v>
      </c>
      <c r="B113" s="1" t="s">
        <v>484</v>
      </c>
    </row>
    <row r="117" spans="1:6" x14ac:dyDescent="0.2">
      <c r="B117" s="1" t="s">
        <v>485</v>
      </c>
    </row>
    <row r="118" spans="1:6" x14ac:dyDescent="0.2">
      <c r="B118" s="1" t="s">
        <v>486</v>
      </c>
      <c r="C118" s="3">
        <v>44804</v>
      </c>
    </row>
    <row r="119" spans="1:6" x14ac:dyDescent="0.2">
      <c r="B119" s="1" t="s">
        <v>487</v>
      </c>
      <c r="C119" s="1">
        <v>28000</v>
      </c>
      <c r="D119" s="3">
        <v>45169</v>
      </c>
    </row>
    <row r="120" spans="1:6" x14ac:dyDescent="0.2">
      <c r="D120" s="3"/>
    </row>
    <row r="121" spans="1:6" x14ac:dyDescent="0.2">
      <c r="A121" s="1">
        <v>0</v>
      </c>
      <c r="B121" s="1" t="s">
        <v>498</v>
      </c>
      <c r="D121" s="3"/>
    </row>
    <row r="122" spans="1:6" x14ac:dyDescent="0.2">
      <c r="A122" s="1">
        <v>0</v>
      </c>
      <c r="B122" s="1" t="s">
        <v>499</v>
      </c>
      <c r="D122" s="3"/>
    </row>
    <row r="123" spans="1:6" x14ac:dyDescent="0.2">
      <c r="A123" s="1">
        <v>0</v>
      </c>
      <c r="B123" s="1" t="s">
        <v>500</v>
      </c>
      <c r="D123" s="3"/>
    </row>
    <row r="125" spans="1:6" x14ac:dyDescent="0.2">
      <c r="A125" s="1">
        <v>0.5</v>
      </c>
      <c r="B125" s="1" t="s">
        <v>488</v>
      </c>
      <c r="E125" s="1">
        <f>+C119</f>
        <v>28000</v>
      </c>
    </row>
    <row r="126" spans="1:6" x14ac:dyDescent="0.2">
      <c r="C126" s="1" t="s">
        <v>433</v>
      </c>
      <c r="F126" s="1">
        <f>+E125</f>
        <v>28000</v>
      </c>
    </row>
    <row r="127" spans="1:6" x14ac:dyDescent="0.2">
      <c r="B127" s="1" t="s">
        <v>489</v>
      </c>
    </row>
  </sheetData>
  <hyperlinks>
    <hyperlink ref="A1" location="Main!A1" display="Main" xr:uid="{DBAB8505-3B07-4324-8563-7B379077DC74}"/>
  </hyperlinks>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930168-ADE2-429C-BDB7-20CFAEB3FF19}">
  <dimension ref="A1:C38"/>
  <sheetViews>
    <sheetView topLeftCell="A16" zoomScale="175" zoomScaleNormal="175" workbookViewId="0">
      <selection activeCell="B39" sqref="B39"/>
    </sheetView>
  </sheetViews>
  <sheetFormatPr defaultRowHeight="12" x14ac:dyDescent="0.2"/>
  <cols>
    <col min="1" max="16384" width="9.140625" style="1"/>
  </cols>
  <sheetData>
    <row r="1" spans="1:3" ht="15" x14ac:dyDescent="0.25">
      <c r="A1" s="2" t="s">
        <v>0</v>
      </c>
    </row>
    <row r="2" spans="1:3" x14ac:dyDescent="0.2">
      <c r="B2" s="1" t="s">
        <v>654</v>
      </c>
    </row>
    <row r="3" spans="1:3" x14ac:dyDescent="0.2">
      <c r="B3" s="1" t="s">
        <v>655</v>
      </c>
    </row>
    <row r="4" spans="1:3" x14ac:dyDescent="0.2">
      <c r="B4" s="1" t="s">
        <v>656</v>
      </c>
    </row>
    <row r="6" spans="1:3" x14ac:dyDescent="0.2">
      <c r="B6" s="1" t="s">
        <v>668</v>
      </c>
    </row>
    <row r="7" spans="1:3" x14ac:dyDescent="0.2">
      <c r="B7" s="1" t="s">
        <v>669</v>
      </c>
    </row>
    <row r="8" spans="1:3" x14ac:dyDescent="0.2">
      <c r="B8" s="1" t="s">
        <v>670</v>
      </c>
    </row>
    <row r="9" spans="1:3" x14ac:dyDescent="0.2">
      <c r="B9" s="1" t="s">
        <v>671</v>
      </c>
    </row>
    <row r="11" spans="1:3" x14ac:dyDescent="0.2">
      <c r="B11" s="1" t="s">
        <v>672</v>
      </c>
    </row>
    <row r="13" spans="1:3" x14ac:dyDescent="0.2">
      <c r="B13" s="1" t="s">
        <v>673</v>
      </c>
    </row>
    <row r="14" spans="1:3" x14ac:dyDescent="0.2">
      <c r="B14" s="1" t="s">
        <v>674</v>
      </c>
      <c r="C14" s="1" t="s">
        <v>677</v>
      </c>
    </row>
    <row r="15" spans="1:3" x14ac:dyDescent="0.2">
      <c r="B15" s="1" t="s">
        <v>675</v>
      </c>
      <c r="C15" s="1" t="s">
        <v>678</v>
      </c>
    </row>
    <row r="16" spans="1:3" x14ac:dyDescent="0.2">
      <c r="B16" s="1" t="s">
        <v>676</v>
      </c>
      <c r="C16" s="1" t="s">
        <v>679</v>
      </c>
    </row>
    <row r="21" spans="2:3" x14ac:dyDescent="0.2">
      <c r="B21" s="1" t="s">
        <v>657</v>
      </c>
    </row>
    <row r="22" spans="2:3" x14ac:dyDescent="0.2">
      <c r="B22" s="1" t="s">
        <v>658</v>
      </c>
    </row>
    <row r="23" spans="2:3" x14ac:dyDescent="0.2">
      <c r="B23" s="1" t="s">
        <v>659</v>
      </c>
    </row>
    <row r="25" spans="2:3" x14ac:dyDescent="0.2">
      <c r="B25" s="1" t="s">
        <v>660</v>
      </c>
    </row>
    <row r="26" spans="2:3" x14ac:dyDescent="0.2">
      <c r="B26" s="1" t="s">
        <v>661</v>
      </c>
    </row>
    <row r="28" spans="2:3" x14ac:dyDescent="0.2">
      <c r="B28" s="1" t="s">
        <v>5</v>
      </c>
      <c r="C28" s="3">
        <v>44742</v>
      </c>
    </row>
    <row r="30" spans="2:3" x14ac:dyDescent="0.2">
      <c r="B30" s="1" t="s">
        <v>662</v>
      </c>
    </row>
    <row r="31" spans="2:3" x14ac:dyDescent="0.2">
      <c r="B31" s="1" t="s">
        <v>663</v>
      </c>
    </row>
    <row r="32" spans="2:3" x14ac:dyDescent="0.2">
      <c r="B32" s="1" t="s">
        <v>664</v>
      </c>
    </row>
    <row r="33" spans="2:2" x14ac:dyDescent="0.2">
      <c r="B33" s="1" t="s">
        <v>665</v>
      </c>
    </row>
    <row r="34" spans="2:2" x14ac:dyDescent="0.2">
      <c r="B34" s="1" t="s">
        <v>666</v>
      </c>
    </row>
    <row r="35" spans="2:2" x14ac:dyDescent="0.2">
      <c r="B35" s="1" t="s">
        <v>667</v>
      </c>
    </row>
    <row r="36" spans="2:2" x14ac:dyDescent="0.2">
      <c r="B36" s="1" t="s">
        <v>680</v>
      </c>
    </row>
    <row r="37" spans="2:2" x14ac:dyDescent="0.2">
      <c r="B37" s="1" t="s">
        <v>681</v>
      </c>
    </row>
    <row r="38" spans="2:2" x14ac:dyDescent="0.2">
      <c r="B38" s="1" t="s">
        <v>682</v>
      </c>
    </row>
  </sheetData>
  <hyperlinks>
    <hyperlink ref="A1" location="Main!A1" display="Main" xr:uid="{F3C42FB3-C00A-439B-B945-DE8D80A8497A}"/>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327B7C-2426-4E2F-85D9-816756F7FF9C}">
  <dimension ref="A1:G72"/>
  <sheetViews>
    <sheetView topLeftCell="A47" zoomScale="160" zoomScaleNormal="160" workbookViewId="0">
      <selection activeCell="D74" sqref="D74"/>
    </sheetView>
  </sheetViews>
  <sheetFormatPr defaultRowHeight="12" x14ac:dyDescent="0.2"/>
  <cols>
    <col min="1" max="16384" width="9.140625" style="1"/>
  </cols>
  <sheetData>
    <row r="1" spans="1:7" ht="15" x14ac:dyDescent="0.25">
      <c r="A1" s="2" t="s">
        <v>0</v>
      </c>
    </row>
    <row r="2" spans="1:7" x14ac:dyDescent="0.2">
      <c r="B2" s="1" t="s">
        <v>690</v>
      </c>
    </row>
    <row r="3" spans="1:7" x14ac:dyDescent="0.2">
      <c r="B3" s="1" t="s">
        <v>691</v>
      </c>
    </row>
    <row r="5" spans="1:7" x14ac:dyDescent="0.2">
      <c r="B5" s="1" t="s">
        <v>692</v>
      </c>
      <c r="C5" s="3">
        <v>44834</v>
      </c>
    </row>
    <row r="6" spans="1:7" x14ac:dyDescent="0.2">
      <c r="B6" s="1" t="s">
        <v>693</v>
      </c>
      <c r="C6" s="6">
        <v>240000</v>
      </c>
    </row>
    <row r="7" spans="1:7" x14ac:dyDescent="0.2">
      <c r="B7" s="1" t="s">
        <v>425</v>
      </c>
      <c r="C7" s="3">
        <v>44895</v>
      </c>
    </row>
    <row r="8" spans="1:7" x14ac:dyDescent="0.2">
      <c r="B8" s="1" t="s">
        <v>694</v>
      </c>
      <c r="C8" s="3">
        <v>45626</v>
      </c>
    </row>
    <row r="9" spans="1:7" x14ac:dyDescent="0.2">
      <c r="B9" s="1" t="s">
        <v>695</v>
      </c>
      <c r="C9" s="4">
        <v>0.04</v>
      </c>
    </row>
    <row r="10" spans="1:7" x14ac:dyDescent="0.2">
      <c r="B10" s="1" t="s">
        <v>696</v>
      </c>
      <c r="C10" s="6">
        <f>+C6/((1+C9)^2)</f>
        <v>221893.49112426033</v>
      </c>
      <c r="D10" s="6"/>
      <c r="E10" s="6"/>
      <c r="F10" s="6"/>
      <c r="G10" s="6"/>
    </row>
    <row r="11" spans="1:7" x14ac:dyDescent="0.2">
      <c r="C11" s="6"/>
      <c r="D11" s="6"/>
      <c r="E11" s="6"/>
      <c r="F11" s="6"/>
      <c r="G11" s="6"/>
    </row>
    <row r="12" spans="1:7" x14ac:dyDescent="0.2">
      <c r="B12" s="1" t="s">
        <v>697</v>
      </c>
      <c r="C12" s="6"/>
      <c r="D12" s="6"/>
      <c r="E12" s="6">
        <f>C6-C10</f>
        <v>18106.508875739673</v>
      </c>
      <c r="F12" s="6"/>
      <c r="G12" s="6"/>
    </row>
    <row r="13" spans="1:7" x14ac:dyDescent="0.2">
      <c r="C13" s="6" t="s">
        <v>434</v>
      </c>
      <c r="D13" s="6"/>
      <c r="E13" s="6"/>
      <c r="F13" s="6">
        <f>+E12</f>
        <v>18106.508875739673</v>
      </c>
      <c r="G13" s="6"/>
    </row>
    <row r="14" spans="1:7" x14ac:dyDescent="0.2">
      <c r="B14" s="1" t="s">
        <v>698</v>
      </c>
    </row>
    <row r="16" spans="1:7" x14ac:dyDescent="0.2">
      <c r="B16" s="1" t="s">
        <v>449</v>
      </c>
      <c r="E16" s="6">
        <f>+C9*C10*1/12</f>
        <v>739.64497041420111</v>
      </c>
      <c r="F16" s="6"/>
    </row>
    <row r="17" spans="2:6" x14ac:dyDescent="0.2">
      <c r="C17" s="1" t="s">
        <v>723</v>
      </c>
      <c r="E17" s="6"/>
      <c r="F17" s="6">
        <f>+E16</f>
        <v>739.64497041420111</v>
      </c>
    </row>
    <row r="18" spans="2:6" x14ac:dyDescent="0.2">
      <c r="B18" s="1" t="s">
        <v>724</v>
      </c>
    </row>
    <row r="20" spans="2:6" x14ac:dyDescent="0.2">
      <c r="B20" s="1" t="s">
        <v>441</v>
      </c>
      <c r="C20" s="3">
        <v>44896</v>
      </c>
    </row>
    <row r="21" spans="2:6" x14ac:dyDescent="0.2">
      <c r="B21" s="1" t="s">
        <v>699</v>
      </c>
      <c r="C21" s="1">
        <v>2200</v>
      </c>
      <c r="D21" s="1" t="s">
        <v>700</v>
      </c>
    </row>
    <row r="22" spans="2:6" x14ac:dyDescent="0.2">
      <c r="B22" s="1" t="s">
        <v>701</v>
      </c>
      <c r="C22" s="1">
        <v>55</v>
      </c>
      <c r="D22" s="1" t="s">
        <v>248</v>
      </c>
    </row>
    <row r="23" spans="2:6" x14ac:dyDescent="0.2">
      <c r="B23" s="1" t="s">
        <v>263</v>
      </c>
      <c r="C23" s="1">
        <v>5</v>
      </c>
    </row>
    <row r="24" spans="2:6" x14ac:dyDescent="0.2">
      <c r="B24" s="1" t="s">
        <v>702</v>
      </c>
      <c r="C24" s="1">
        <v>1800</v>
      </c>
      <c r="D24" s="1" t="s">
        <v>703</v>
      </c>
    </row>
    <row r="25" spans="2:6" x14ac:dyDescent="0.2">
      <c r="B25" s="1" t="s">
        <v>704</v>
      </c>
    </row>
    <row r="28" spans="2:6" x14ac:dyDescent="0.2">
      <c r="B28" s="1" t="s">
        <v>454</v>
      </c>
      <c r="E28" s="6">
        <f>+F29</f>
        <v>2000</v>
      </c>
      <c r="F28" s="6"/>
    </row>
    <row r="29" spans="2:6" x14ac:dyDescent="0.2">
      <c r="C29" s="1" t="s">
        <v>705</v>
      </c>
      <c r="E29" s="6"/>
      <c r="F29" s="6">
        <f>+C23*(C21-C24)</f>
        <v>2000</v>
      </c>
    </row>
    <row r="30" spans="2:6" x14ac:dyDescent="0.2">
      <c r="B30" s="1" t="s">
        <v>706</v>
      </c>
      <c r="E30" s="6"/>
      <c r="F30" s="6"/>
    </row>
    <row r="31" spans="2:6" x14ac:dyDescent="0.2">
      <c r="E31" s="6"/>
      <c r="F31" s="6"/>
    </row>
    <row r="32" spans="2:6" x14ac:dyDescent="0.2">
      <c r="B32" s="1" t="s">
        <v>707</v>
      </c>
      <c r="E32" s="6"/>
      <c r="F32" s="6"/>
    </row>
    <row r="33" spans="2:6" x14ac:dyDescent="0.2">
      <c r="B33" s="1" t="s">
        <v>709</v>
      </c>
      <c r="E33" s="6"/>
      <c r="F33" s="6"/>
    </row>
    <row r="34" spans="2:6" x14ac:dyDescent="0.2">
      <c r="E34" s="6"/>
      <c r="F34" s="6"/>
    </row>
    <row r="35" spans="2:6" x14ac:dyDescent="0.2">
      <c r="B35" s="1" t="s">
        <v>449</v>
      </c>
      <c r="E35" s="6">
        <f>5*C21</f>
        <v>11000</v>
      </c>
      <c r="F35" s="6"/>
    </row>
    <row r="36" spans="2:6" x14ac:dyDescent="0.2">
      <c r="C36" s="1" t="s">
        <v>433</v>
      </c>
      <c r="E36" s="6"/>
      <c r="F36" s="6">
        <f>+E35</f>
        <v>11000</v>
      </c>
    </row>
    <row r="37" spans="2:6" x14ac:dyDescent="0.2">
      <c r="B37" s="1" t="s">
        <v>708</v>
      </c>
      <c r="E37" s="6"/>
      <c r="F37" s="6"/>
    </row>
    <row r="40" spans="2:6" x14ac:dyDescent="0.2">
      <c r="B40" s="1" t="s">
        <v>710</v>
      </c>
      <c r="C40" s="1" t="s">
        <v>712</v>
      </c>
      <c r="D40" s="1" t="s">
        <v>711</v>
      </c>
      <c r="E40" s="1" t="s">
        <v>713</v>
      </c>
    </row>
    <row r="41" spans="2:6" x14ac:dyDescent="0.2">
      <c r="B41" s="1" t="s">
        <v>714</v>
      </c>
      <c r="C41" s="1">
        <v>250</v>
      </c>
      <c r="D41" s="1">
        <v>50</v>
      </c>
      <c r="E41" s="1">
        <f>+C41+D41</f>
        <v>300</v>
      </c>
    </row>
    <row r="42" spans="2:6" x14ac:dyDescent="0.2">
      <c r="B42" s="1" t="s">
        <v>715</v>
      </c>
      <c r="C42" s="1">
        <v>600</v>
      </c>
      <c r="D42" s="1">
        <v>40</v>
      </c>
      <c r="E42" s="1">
        <f t="shared" ref="E42:E46" si="0">+C42+D42</f>
        <v>640</v>
      </c>
    </row>
    <row r="43" spans="2:6" x14ac:dyDescent="0.2">
      <c r="B43" s="1" t="s">
        <v>716</v>
      </c>
      <c r="C43" s="1">
        <v>30</v>
      </c>
      <c r="D43" s="1">
        <v>5</v>
      </c>
      <c r="E43" s="1">
        <f t="shared" si="0"/>
        <v>35</v>
      </c>
    </row>
    <row r="44" spans="2:6" x14ac:dyDescent="0.2">
      <c r="B44" s="1" t="s">
        <v>717</v>
      </c>
      <c r="C44" s="1">
        <v>25</v>
      </c>
      <c r="D44" s="1">
        <v>5</v>
      </c>
      <c r="E44" s="1">
        <f t="shared" si="0"/>
        <v>30</v>
      </c>
    </row>
    <row r="45" spans="2:6" x14ac:dyDescent="0.2">
      <c r="B45" s="1" t="s">
        <v>718</v>
      </c>
      <c r="C45" s="1">
        <v>100</v>
      </c>
      <c r="D45" s="1">
        <v>10</v>
      </c>
      <c r="E45" s="1">
        <f t="shared" si="0"/>
        <v>110</v>
      </c>
    </row>
    <row r="46" spans="2:6" x14ac:dyDescent="0.2">
      <c r="B46" s="1" t="s">
        <v>189</v>
      </c>
      <c r="C46" s="1">
        <v>20</v>
      </c>
      <c r="D46" s="1">
        <v>10</v>
      </c>
      <c r="E46" s="1">
        <f t="shared" si="0"/>
        <v>30</v>
      </c>
      <c r="F46" s="1" t="s">
        <v>726</v>
      </c>
    </row>
    <row r="47" spans="2:6" x14ac:dyDescent="0.2">
      <c r="C47" s="1">
        <f>SUM(C41:C46)</f>
        <v>1025</v>
      </c>
      <c r="D47" s="1">
        <f>SUM(D41:D46)</f>
        <v>120</v>
      </c>
      <c r="E47" s="1">
        <f>SUM(E41:E46)</f>
        <v>1145</v>
      </c>
    </row>
    <row r="48" spans="2:6" x14ac:dyDescent="0.2">
      <c r="B48" s="1" t="s">
        <v>725</v>
      </c>
      <c r="C48" s="1">
        <f>-C46</f>
        <v>-20</v>
      </c>
      <c r="D48" s="1">
        <f t="shared" ref="D48:E48" si="1">-D46</f>
        <v>-10</v>
      </c>
      <c r="E48" s="1">
        <f t="shared" si="1"/>
        <v>-30</v>
      </c>
    </row>
    <row r="49" spans="2:6" x14ac:dyDescent="0.2">
      <c r="C49" s="1">
        <f>SUM(C47:C48)</f>
        <v>1005</v>
      </c>
      <c r="D49" s="1">
        <f t="shared" ref="D49:E49" si="2">SUM(D47:D48)</f>
        <v>110</v>
      </c>
      <c r="E49" s="1">
        <f t="shared" si="2"/>
        <v>1115</v>
      </c>
      <c r="F49" s="1">
        <f t="shared" ref="F49" si="3">+C49/E49</f>
        <v>0.90134529147982068</v>
      </c>
    </row>
    <row r="52" spans="2:6" x14ac:dyDescent="0.2">
      <c r="B52" s="1" t="s">
        <v>693</v>
      </c>
      <c r="C52" s="6">
        <v>1350</v>
      </c>
    </row>
    <row r="53" spans="2:6" x14ac:dyDescent="0.2">
      <c r="B53" s="1" t="s">
        <v>444</v>
      </c>
      <c r="C53" s="6">
        <v>50</v>
      </c>
      <c r="D53" s="1" t="s">
        <v>719</v>
      </c>
    </row>
    <row r="54" spans="2:6" x14ac:dyDescent="0.2">
      <c r="B54" s="1" t="s">
        <v>720</v>
      </c>
      <c r="C54" s="6"/>
    </row>
    <row r="55" spans="2:6" x14ac:dyDescent="0.2">
      <c r="B55" s="1" t="s">
        <v>721</v>
      </c>
      <c r="C55" s="6">
        <f>+C52+C53</f>
        <v>1400</v>
      </c>
    </row>
    <row r="56" spans="2:6" x14ac:dyDescent="0.2">
      <c r="B56" s="1" t="s">
        <v>722</v>
      </c>
      <c r="C56" s="4">
        <f>+F49</f>
        <v>0.90134529147982068</v>
      </c>
    </row>
    <row r="57" spans="2:6" x14ac:dyDescent="0.2">
      <c r="C57" s="6">
        <f>+C55*C56</f>
        <v>1261.883408071749</v>
      </c>
    </row>
    <row r="58" spans="2:6" x14ac:dyDescent="0.2">
      <c r="B58" s="1" t="s">
        <v>727</v>
      </c>
    </row>
    <row r="59" spans="2:6" x14ac:dyDescent="0.2">
      <c r="B59" s="1" t="s">
        <v>488</v>
      </c>
      <c r="E59" s="6">
        <f>+C57</f>
        <v>1261.883408071749</v>
      </c>
    </row>
    <row r="60" spans="2:6" x14ac:dyDescent="0.2">
      <c r="C60" s="1" t="s">
        <v>460</v>
      </c>
      <c r="F60" s="6">
        <f>+C57</f>
        <v>1261.883408071749</v>
      </c>
    </row>
    <row r="61" spans="2:6" x14ac:dyDescent="0.2">
      <c r="B61" s="1" t="s">
        <v>728</v>
      </c>
    </row>
    <row r="63" spans="2:6" x14ac:dyDescent="0.2">
      <c r="B63" s="1" t="s">
        <v>729</v>
      </c>
    </row>
    <row r="65" spans="2:6" x14ac:dyDescent="0.2">
      <c r="B65" s="1" t="s">
        <v>730</v>
      </c>
      <c r="E65" s="1">
        <f>+C49</f>
        <v>1005</v>
      </c>
    </row>
    <row r="66" spans="2:6" x14ac:dyDescent="0.2">
      <c r="C66" s="1" t="s">
        <v>731</v>
      </c>
      <c r="F66" s="1">
        <f>+E65</f>
        <v>1005</v>
      </c>
    </row>
    <row r="67" spans="2:6" x14ac:dyDescent="0.2">
      <c r="B67" s="1" t="s">
        <v>732</v>
      </c>
    </row>
    <row r="69" spans="2:6" x14ac:dyDescent="0.2">
      <c r="B69" s="1" t="s">
        <v>449</v>
      </c>
      <c r="E69" s="1">
        <v>1100</v>
      </c>
    </row>
    <row r="70" spans="2:6" x14ac:dyDescent="0.2">
      <c r="B70" s="1" t="s">
        <v>733</v>
      </c>
      <c r="E70" s="1">
        <f>+E69</f>
        <v>1100</v>
      </c>
    </row>
    <row r="71" spans="2:6" x14ac:dyDescent="0.2">
      <c r="C71" s="1" t="s">
        <v>734</v>
      </c>
      <c r="F71" s="1">
        <f>SUM(E69:E70)</f>
        <v>2200</v>
      </c>
    </row>
    <row r="72" spans="2:6" x14ac:dyDescent="0.2">
      <c r="B72" s="1" t="s">
        <v>735</v>
      </c>
    </row>
  </sheetData>
  <hyperlinks>
    <hyperlink ref="A1" location="Main!A1" display="Main" xr:uid="{D7215644-17A9-4D40-AA84-6156D0BC1444}"/>
  </hyperlinks>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F72C36-2218-4905-8F71-C13979CA100D}">
  <dimension ref="A1:F100"/>
  <sheetViews>
    <sheetView topLeftCell="A56" zoomScale="160" zoomScaleNormal="160" workbookViewId="0">
      <selection activeCell="B82" sqref="B82"/>
    </sheetView>
  </sheetViews>
  <sheetFormatPr defaultRowHeight="12" x14ac:dyDescent="0.2"/>
  <cols>
    <col min="1" max="16384" width="9.140625" style="1"/>
  </cols>
  <sheetData>
    <row r="1" spans="1:4" ht="15" x14ac:dyDescent="0.25">
      <c r="A1" s="2" t="s">
        <v>0</v>
      </c>
    </row>
    <row r="2" spans="1:4" x14ac:dyDescent="0.2">
      <c r="B2" s="1" t="s">
        <v>743</v>
      </c>
      <c r="C2" s="16" t="s">
        <v>812</v>
      </c>
    </row>
    <row r="3" spans="1:4" s="9" customFormat="1" x14ac:dyDescent="0.2">
      <c r="C3" s="16" t="s">
        <v>813</v>
      </c>
    </row>
    <row r="4" spans="1:4" s="9" customFormat="1" x14ac:dyDescent="0.2"/>
    <row r="5" spans="1:4" s="9" customFormat="1" x14ac:dyDescent="0.2"/>
    <row r="6" spans="1:4" x14ac:dyDescent="0.2">
      <c r="B6" s="1" t="s">
        <v>744</v>
      </c>
    </row>
    <row r="7" spans="1:4" x14ac:dyDescent="0.2">
      <c r="B7" s="1" t="s">
        <v>5</v>
      </c>
      <c r="C7" s="3">
        <v>44651</v>
      </c>
    </row>
    <row r="9" spans="1:4" x14ac:dyDescent="0.2">
      <c r="B9" s="1" t="s">
        <v>745</v>
      </c>
    </row>
    <row r="10" spans="1:4" x14ac:dyDescent="0.2">
      <c r="B10" s="1" t="s">
        <v>746</v>
      </c>
      <c r="C10" s="6">
        <v>6525</v>
      </c>
      <c r="D10" s="1" t="s">
        <v>747</v>
      </c>
    </row>
    <row r="11" spans="1:4" x14ac:dyDescent="0.2">
      <c r="B11" s="1" t="s">
        <v>749</v>
      </c>
      <c r="C11" s="1">
        <v>50</v>
      </c>
      <c r="D11" s="1" t="s">
        <v>748</v>
      </c>
    </row>
    <row r="12" spans="1:4" x14ac:dyDescent="0.2">
      <c r="B12" s="1" t="s">
        <v>750</v>
      </c>
    </row>
    <row r="13" spans="1:4" x14ac:dyDescent="0.2">
      <c r="B13" s="1" t="s">
        <v>751</v>
      </c>
      <c r="C13" s="1">
        <v>14</v>
      </c>
      <c r="D13" s="1" t="s">
        <v>748</v>
      </c>
    </row>
    <row r="14" spans="1:4" x14ac:dyDescent="0.2">
      <c r="B14" s="1" t="s">
        <v>752</v>
      </c>
      <c r="C14" s="6">
        <v>24000</v>
      </c>
    </row>
    <row r="15" spans="1:4" x14ac:dyDescent="0.2">
      <c r="B15" s="1" t="s">
        <v>753</v>
      </c>
      <c r="C15" s="6">
        <f>+C14-C10</f>
        <v>17475</v>
      </c>
    </row>
    <row r="16" spans="1:4" x14ac:dyDescent="0.2">
      <c r="B16" s="1" t="s">
        <v>755</v>
      </c>
      <c r="C16" s="4">
        <v>7.0000000000000007E-2</v>
      </c>
    </row>
    <row r="18" spans="2:6" x14ac:dyDescent="0.2">
      <c r="B18" s="1" t="s">
        <v>787</v>
      </c>
    </row>
    <row r="19" spans="2:6" x14ac:dyDescent="0.2">
      <c r="B19" s="1" t="s">
        <v>788</v>
      </c>
    </row>
    <row r="20" spans="2:6" x14ac:dyDescent="0.2">
      <c r="B20" s="1" t="s">
        <v>789</v>
      </c>
    </row>
    <row r="21" spans="2:6" x14ac:dyDescent="0.2">
      <c r="B21" s="1" t="s">
        <v>790</v>
      </c>
    </row>
    <row r="23" spans="2:6" x14ac:dyDescent="0.2">
      <c r="B23" s="1" t="s">
        <v>791</v>
      </c>
      <c r="C23" s="3">
        <v>44286</v>
      </c>
      <c r="F23" s="6">
        <f>+C10</f>
        <v>6525</v>
      </c>
    </row>
    <row r="24" spans="2:6" x14ac:dyDescent="0.2">
      <c r="B24" s="1" t="s">
        <v>792</v>
      </c>
      <c r="E24" s="4">
        <f>+C16</f>
        <v>7.0000000000000007E-2</v>
      </c>
      <c r="F24" s="6">
        <f>+F23*E24</f>
        <v>456.75000000000006</v>
      </c>
    </row>
    <row r="25" spans="2:6" x14ac:dyDescent="0.2">
      <c r="B25" s="1" t="s">
        <v>746</v>
      </c>
      <c r="C25" s="3">
        <v>44651</v>
      </c>
      <c r="D25" s="1" t="s">
        <v>793</v>
      </c>
      <c r="F25" s="6">
        <f>SUM(F23:F24)</f>
        <v>6981.75</v>
      </c>
    </row>
    <row r="26" spans="2:6" x14ac:dyDescent="0.2">
      <c r="B26" s="1" t="s">
        <v>746</v>
      </c>
      <c r="C26" s="3">
        <v>44651</v>
      </c>
      <c r="D26" s="1" t="s">
        <v>794</v>
      </c>
      <c r="F26" s="6">
        <f>+C14/(1+E24)^C13</f>
        <v>9307.6137844157984</v>
      </c>
    </row>
    <row r="27" spans="2:6" x14ac:dyDescent="0.2">
      <c r="B27" s="1" t="s">
        <v>795</v>
      </c>
      <c r="F27" s="6">
        <f>+F26-F25</f>
        <v>2325.8637844157984</v>
      </c>
    </row>
    <row r="30" spans="2:6" x14ac:dyDescent="0.2">
      <c r="B30" s="1" t="s">
        <v>756</v>
      </c>
      <c r="E30" s="6">
        <f>+F24</f>
        <v>456.75000000000006</v>
      </c>
    </row>
    <row r="31" spans="2:6" x14ac:dyDescent="0.2">
      <c r="B31" s="1" t="s">
        <v>796</v>
      </c>
      <c r="E31" s="6">
        <f>+F27</f>
        <v>2325.8637844157984</v>
      </c>
    </row>
    <row r="32" spans="2:6" x14ac:dyDescent="0.2">
      <c r="C32" s="1" t="s">
        <v>754</v>
      </c>
      <c r="F32" s="6">
        <f>+F27+F24</f>
        <v>2782.6137844157984</v>
      </c>
    </row>
    <row r="33" spans="2:5" x14ac:dyDescent="0.2">
      <c r="B33" s="1" t="s">
        <v>811</v>
      </c>
    </row>
    <row r="35" spans="2:5" x14ac:dyDescent="0.2">
      <c r="B35" s="1" t="s">
        <v>757</v>
      </c>
    </row>
    <row r="36" spans="2:5" x14ac:dyDescent="0.2">
      <c r="B36" s="1" t="s">
        <v>758</v>
      </c>
    </row>
    <row r="37" spans="2:5" x14ac:dyDescent="0.2">
      <c r="B37" s="1" t="s">
        <v>759</v>
      </c>
    </row>
    <row r="38" spans="2:5" x14ac:dyDescent="0.2">
      <c r="B38" s="1" t="s">
        <v>760</v>
      </c>
    </row>
    <row r="39" spans="2:5" x14ac:dyDescent="0.2">
      <c r="B39" s="1" t="s">
        <v>761</v>
      </c>
    </row>
    <row r="40" spans="2:5" x14ac:dyDescent="0.2">
      <c r="B40" s="1" t="s">
        <v>762</v>
      </c>
    </row>
    <row r="41" spans="2:5" x14ac:dyDescent="0.2">
      <c r="B41" s="1" t="s">
        <v>763</v>
      </c>
      <c r="E41" s="1">
        <v>348</v>
      </c>
    </row>
    <row r="42" spans="2:5" x14ac:dyDescent="0.2">
      <c r="B42" s="1" t="s">
        <v>764</v>
      </c>
      <c r="E42" s="1">
        <v>255</v>
      </c>
    </row>
    <row r="43" spans="2:5" x14ac:dyDescent="0.2">
      <c r="E43" s="1">
        <f>SUM(E41:E42)</f>
        <v>603</v>
      </c>
    </row>
    <row r="45" spans="2:5" x14ac:dyDescent="0.2">
      <c r="B45" s="1" t="s">
        <v>807</v>
      </c>
    </row>
    <row r="46" spans="2:5" x14ac:dyDescent="0.2">
      <c r="B46" s="1" t="s">
        <v>808</v>
      </c>
    </row>
    <row r="47" spans="2:5" x14ac:dyDescent="0.2">
      <c r="B47" s="1" t="s">
        <v>809</v>
      </c>
    </row>
    <row r="48" spans="2:5" x14ac:dyDescent="0.2">
      <c r="B48" s="1" t="s">
        <v>810</v>
      </c>
    </row>
    <row r="50" spans="2:6" x14ac:dyDescent="0.2">
      <c r="B50" s="1" t="s">
        <v>225</v>
      </c>
      <c r="E50" s="1">
        <f>+E43</f>
        <v>603</v>
      </c>
    </row>
    <row r="51" spans="2:6" x14ac:dyDescent="0.2">
      <c r="C51" s="1" t="s">
        <v>765</v>
      </c>
      <c r="F51" s="1">
        <f>+E43</f>
        <v>603</v>
      </c>
    </row>
    <row r="52" spans="2:6" x14ac:dyDescent="0.2">
      <c r="B52" s="1" t="s">
        <v>766</v>
      </c>
    </row>
    <row r="55" spans="2:6" x14ac:dyDescent="0.2">
      <c r="B55" s="1" t="s">
        <v>767</v>
      </c>
    </row>
    <row r="56" spans="2:6" x14ac:dyDescent="0.2">
      <c r="B56" s="1" t="s">
        <v>802</v>
      </c>
    </row>
    <row r="57" spans="2:6" x14ac:dyDescent="0.2">
      <c r="B57" s="1" t="s">
        <v>803</v>
      </c>
    </row>
    <row r="58" spans="2:6" x14ac:dyDescent="0.2">
      <c r="B58" s="1" t="s">
        <v>804</v>
      </c>
    </row>
    <row r="59" spans="2:6" x14ac:dyDescent="0.2">
      <c r="B59" s="1" t="s">
        <v>805</v>
      </c>
    </row>
    <row r="60" spans="2:6" x14ac:dyDescent="0.2">
      <c r="B60" s="1" t="s">
        <v>806</v>
      </c>
    </row>
    <row r="63" spans="2:6" x14ac:dyDescent="0.2">
      <c r="B63" s="1" t="s">
        <v>768</v>
      </c>
    </row>
    <row r="64" spans="2:6" x14ac:dyDescent="0.2">
      <c r="B64" s="1" t="s">
        <v>814</v>
      </c>
    </row>
    <row r="65" spans="2:3" x14ac:dyDescent="0.2">
      <c r="B65" s="1" t="s">
        <v>797</v>
      </c>
    </row>
    <row r="66" spans="2:3" x14ac:dyDescent="0.2">
      <c r="B66" s="1" t="s">
        <v>798</v>
      </c>
    </row>
    <row r="68" spans="2:3" x14ac:dyDescent="0.2">
      <c r="B68" s="1" t="s">
        <v>769</v>
      </c>
    </row>
    <row r="69" spans="2:3" x14ac:dyDescent="0.2">
      <c r="B69" s="1" t="s">
        <v>770</v>
      </c>
    </row>
    <row r="70" spans="2:3" x14ac:dyDescent="0.2">
      <c r="B70" s="1" t="s">
        <v>771</v>
      </c>
    </row>
    <row r="71" spans="2:3" x14ac:dyDescent="0.2">
      <c r="B71" s="1" t="s">
        <v>772</v>
      </c>
    </row>
    <row r="73" spans="2:3" x14ac:dyDescent="0.2">
      <c r="B73" s="1" t="s">
        <v>773</v>
      </c>
      <c r="C73" s="6">
        <v>38.4</v>
      </c>
    </row>
    <row r="74" spans="2:3" x14ac:dyDescent="0.2">
      <c r="C74" s="6"/>
    </row>
    <row r="75" spans="2:3" x14ac:dyDescent="0.2">
      <c r="B75" s="1" t="s">
        <v>774</v>
      </c>
      <c r="C75" s="6">
        <v>47.7</v>
      </c>
    </row>
    <row r="76" spans="2:3" x14ac:dyDescent="0.2">
      <c r="B76" s="1" t="s">
        <v>218</v>
      </c>
      <c r="C76" s="6">
        <v>10.8</v>
      </c>
    </row>
    <row r="77" spans="2:3" x14ac:dyDescent="0.2">
      <c r="B77" s="1" t="s">
        <v>775</v>
      </c>
      <c r="C77" s="6">
        <v>1.8</v>
      </c>
    </row>
    <row r="78" spans="2:3" x14ac:dyDescent="0.2">
      <c r="C78" s="6">
        <f>+C76-C77</f>
        <v>9</v>
      </c>
    </row>
    <row r="79" spans="2:3" x14ac:dyDescent="0.2">
      <c r="B79" s="1" t="s">
        <v>776</v>
      </c>
    </row>
    <row r="80" spans="2:3" x14ac:dyDescent="0.2">
      <c r="B80" s="1" t="s">
        <v>777</v>
      </c>
    </row>
    <row r="81" spans="2:6" x14ac:dyDescent="0.2">
      <c r="E81" s="6"/>
      <c r="F81" s="6"/>
    </row>
    <row r="82" spans="2:6" x14ac:dyDescent="0.2">
      <c r="B82" s="1" t="s">
        <v>779</v>
      </c>
      <c r="E82" s="6">
        <f>+C73</f>
        <v>38.4</v>
      </c>
      <c r="F82" s="6"/>
    </row>
    <row r="83" spans="2:6" x14ac:dyDescent="0.2">
      <c r="C83" s="1" t="s">
        <v>451</v>
      </c>
      <c r="E83" s="6"/>
      <c r="F83" s="6">
        <f>+E82</f>
        <v>38.4</v>
      </c>
    </row>
    <row r="84" spans="2:6" x14ac:dyDescent="0.2">
      <c r="B84" s="1" t="s">
        <v>780</v>
      </c>
    </row>
    <row r="86" spans="2:6" x14ac:dyDescent="0.2">
      <c r="B86" s="1" t="s">
        <v>778</v>
      </c>
    </row>
    <row r="87" spans="2:6" x14ac:dyDescent="0.2">
      <c r="B87" s="1" t="s">
        <v>781</v>
      </c>
    </row>
    <row r="89" spans="2:6" x14ac:dyDescent="0.2">
      <c r="B89" s="1" t="s">
        <v>782</v>
      </c>
      <c r="C89" s="6">
        <f>+C75</f>
        <v>47.7</v>
      </c>
    </row>
    <row r="90" spans="2:6" x14ac:dyDescent="0.2">
      <c r="B90" s="1" t="s">
        <v>783</v>
      </c>
      <c r="C90" s="6">
        <f>+C78</f>
        <v>9</v>
      </c>
    </row>
    <row r="91" spans="2:6" x14ac:dyDescent="0.2">
      <c r="B91" s="1" t="s">
        <v>784</v>
      </c>
      <c r="C91" s="6">
        <f>+C90-C89</f>
        <v>-38.700000000000003</v>
      </c>
    </row>
    <row r="93" spans="2:6" x14ac:dyDescent="0.2">
      <c r="B93" s="1" t="s">
        <v>785</v>
      </c>
      <c r="E93" s="6">
        <f>-C91</f>
        <v>38.700000000000003</v>
      </c>
    </row>
    <row r="94" spans="2:6" x14ac:dyDescent="0.2">
      <c r="C94" s="1" t="s">
        <v>461</v>
      </c>
      <c r="F94" s="6">
        <f>+E93</f>
        <v>38.700000000000003</v>
      </c>
    </row>
    <row r="95" spans="2:6" x14ac:dyDescent="0.2">
      <c r="B95" s="1" t="s">
        <v>786</v>
      </c>
    </row>
    <row r="98" spans="2:2" x14ac:dyDescent="0.2">
      <c r="B98" s="1" t="s">
        <v>801</v>
      </c>
    </row>
    <row r="99" spans="2:2" x14ac:dyDescent="0.2">
      <c r="B99" s="1" t="s">
        <v>799</v>
      </c>
    </row>
    <row r="100" spans="2:2" x14ac:dyDescent="0.2">
      <c r="B100" s="1" t="s">
        <v>800</v>
      </c>
    </row>
  </sheetData>
  <hyperlinks>
    <hyperlink ref="A1" location="Main!A1" display="Main" xr:uid="{279FE16E-9BF8-454D-91E8-0AAE89DC39F3}"/>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557D53-6300-466E-BCE6-45996FE6AB5C}">
  <sheetPr>
    <tabColor rgb="FFFFFF00"/>
  </sheetPr>
  <dimension ref="A1:C3"/>
  <sheetViews>
    <sheetView zoomScale="160" zoomScaleNormal="160" workbookViewId="0">
      <selection activeCell="E39" sqref="E39"/>
    </sheetView>
  </sheetViews>
  <sheetFormatPr defaultRowHeight="12" x14ac:dyDescent="0.2"/>
  <cols>
    <col min="1" max="16384" width="9.140625" style="1"/>
  </cols>
  <sheetData>
    <row r="1" spans="1:3" ht="15" x14ac:dyDescent="0.25">
      <c r="A1" s="2" t="s">
        <v>0</v>
      </c>
    </row>
    <row r="2" spans="1:3" x14ac:dyDescent="0.2">
      <c r="B2" s="1" t="s">
        <v>737</v>
      </c>
    </row>
    <row r="3" spans="1:3" x14ac:dyDescent="0.2">
      <c r="B3" s="1" t="s">
        <v>5</v>
      </c>
      <c r="C3" s="3">
        <v>44712</v>
      </c>
    </row>
  </sheetData>
  <hyperlinks>
    <hyperlink ref="A1" location="Main!A1" display="Main" xr:uid="{A03871FB-0816-4CC5-9E2A-45449BCAD45D}"/>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688E87-83A0-4E03-B0AE-1821DB7D3977}">
  <dimension ref="A1:I189"/>
  <sheetViews>
    <sheetView zoomScale="205" zoomScaleNormal="205" workbookViewId="0"/>
  </sheetViews>
  <sheetFormatPr defaultRowHeight="12" x14ac:dyDescent="0.2"/>
  <cols>
    <col min="1" max="1" width="9.140625" style="1"/>
    <col min="2" max="2" width="10.7109375" style="1" bestFit="1" customWidth="1"/>
    <col min="3" max="3" width="11.7109375" style="1" bestFit="1" customWidth="1"/>
    <col min="4" max="4" width="9.5703125" style="1" bestFit="1" customWidth="1"/>
    <col min="5" max="5" width="10.5703125" style="1" bestFit="1" customWidth="1"/>
    <col min="6" max="7" width="9.140625" style="1"/>
    <col min="8" max="8" width="10.140625" style="1" bestFit="1" customWidth="1"/>
    <col min="9" max="9" width="9.5703125" style="1" bestFit="1" customWidth="1"/>
    <col min="10" max="16384" width="9.140625" style="1"/>
  </cols>
  <sheetData>
    <row r="1" spans="1:3" ht="15" x14ac:dyDescent="0.25">
      <c r="A1" s="2" t="s">
        <v>0</v>
      </c>
    </row>
    <row r="3" spans="1:3" x14ac:dyDescent="0.2">
      <c r="B3" s="1" t="s">
        <v>148</v>
      </c>
      <c r="C3" s="16" t="s">
        <v>294</v>
      </c>
    </row>
    <row r="4" spans="1:3" x14ac:dyDescent="0.2">
      <c r="C4" s="16" t="s">
        <v>689</v>
      </c>
    </row>
    <row r="5" spans="1:3" x14ac:dyDescent="0.2">
      <c r="B5" s="1" t="s">
        <v>5</v>
      </c>
      <c r="C5" s="3">
        <v>45016</v>
      </c>
    </row>
    <row r="7" spans="1:3" x14ac:dyDescent="0.2">
      <c r="B7" s="1" t="s">
        <v>186</v>
      </c>
    </row>
    <row r="9" spans="1:3" x14ac:dyDescent="0.2">
      <c r="B9" s="1" t="s">
        <v>9</v>
      </c>
    </row>
    <row r="11" spans="1:3" x14ac:dyDescent="0.2">
      <c r="A11" s="1">
        <v>0.5</v>
      </c>
      <c r="B11" s="1" t="s">
        <v>686</v>
      </c>
    </row>
    <row r="13" spans="1:3" x14ac:dyDescent="0.2">
      <c r="A13" s="1">
        <v>0.5</v>
      </c>
      <c r="B13" s="1" t="s">
        <v>258</v>
      </c>
    </row>
    <row r="14" spans="1:3" x14ac:dyDescent="0.2">
      <c r="A14" s="1">
        <v>0.5</v>
      </c>
      <c r="B14" s="1" t="s">
        <v>259</v>
      </c>
    </row>
    <row r="15" spans="1:3" x14ac:dyDescent="0.2">
      <c r="A15" s="1">
        <v>0.5</v>
      </c>
      <c r="B15" s="1" t="s">
        <v>260</v>
      </c>
    </row>
    <row r="16" spans="1:3" x14ac:dyDescent="0.2">
      <c r="B16" s="1" t="s">
        <v>685</v>
      </c>
    </row>
    <row r="18" spans="2:5" x14ac:dyDescent="0.2">
      <c r="B18" s="1" t="s">
        <v>187</v>
      </c>
      <c r="C18" s="6">
        <v>980</v>
      </c>
    </row>
    <row r="19" spans="2:5" x14ac:dyDescent="0.2">
      <c r="B19" s="1" t="s">
        <v>188</v>
      </c>
      <c r="C19" s="6"/>
    </row>
    <row r="20" spans="2:5" x14ac:dyDescent="0.2">
      <c r="B20" s="1" t="s">
        <v>189</v>
      </c>
      <c r="C20" s="6">
        <v>62</v>
      </c>
      <c r="D20" s="1" t="s">
        <v>684</v>
      </c>
      <c r="E20" s="6"/>
    </row>
    <row r="21" spans="2:5" x14ac:dyDescent="0.2">
      <c r="B21" s="1" t="s">
        <v>190</v>
      </c>
      <c r="C21" s="6">
        <v>50</v>
      </c>
      <c r="D21" s="1" t="s">
        <v>684</v>
      </c>
      <c r="E21" s="6"/>
    </row>
    <row r="22" spans="2:5" ht="12.75" thickBot="1" x14ac:dyDescent="0.25">
      <c r="B22" s="1" t="s">
        <v>199</v>
      </c>
      <c r="C22" s="14">
        <f>+C18-C20-C21</f>
        <v>868</v>
      </c>
    </row>
    <row r="23" spans="2:5" ht="12.75" thickTop="1" x14ac:dyDescent="0.2">
      <c r="C23" s="18"/>
    </row>
    <row r="24" spans="2:5" x14ac:dyDescent="0.2">
      <c r="B24" s="1" t="s">
        <v>261</v>
      </c>
      <c r="C24" s="6">
        <f>+D64*1.5/5</f>
        <v>63.333333333333329</v>
      </c>
    </row>
    <row r="25" spans="2:5" x14ac:dyDescent="0.2">
      <c r="C25" s="6">
        <f>-D65*1000/G67</f>
        <v>-13.548387096774194</v>
      </c>
    </row>
    <row r="26" spans="2:5" x14ac:dyDescent="0.2">
      <c r="C26" s="6">
        <f>-D66*1000/(F66*C70)</f>
        <v>-4.7619047619047619</v>
      </c>
      <c r="D26" s="16" t="s">
        <v>264</v>
      </c>
    </row>
    <row r="27" spans="2:5" ht="12.75" thickBot="1" x14ac:dyDescent="0.25">
      <c r="C27" s="14">
        <f>SUM(C22:C26)</f>
        <v>913.02304147465441</v>
      </c>
    </row>
    <row r="28" spans="2:5" ht="12.75" thickTop="1" x14ac:dyDescent="0.2">
      <c r="C28" s="18"/>
    </row>
    <row r="29" spans="2:5" x14ac:dyDescent="0.2">
      <c r="B29" s="1" t="s">
        <v>262</v>
      </c>
      <c r="C29" s="18"/>
    </row>
    <row r="30" spans="2:5" x14ac:dyDescent="0.2">
      <c r="B30" s="1" t="s">
        <v>263</v>
      </c>
      <c r="C30" s="18">
        <f>+F64</f>
        <v>5</v>
      </c>
      <c r="D30" s="1">
        <f>+C69</f>
        <v>200</v>
      </c>
      <c r="E30" s="1">
        <f>+C30*D30</f>
        <v>1000</v>
      </c>
    </row>
    <row r="31" spans="2:5" x14ac:dyDescent="0.2">
      <c r="C31" s="18">
        <f>+F66</f>
        <v>7</v>
      </c>
      <c r="D31" s="1">
        <f>+C70</f>
        <v>300</v>
      </c>
      <c r="E31" s="1">
        <f>+C31*D31</f>
        <v>2100</v>
      </c>
    </row>
    <row r="32" spans="2:5" x14ac:dyDescent="0.2">
      <c r="C32" s="18"/>
      <c r="E32" s="6">
        <f>-C56</f>
        <v>-450</v>
      </c>
    </row>
    <row r="33" spans="2:5" x14ac:dyDescent="0.2">
      <c r="B33" s="1" t="s">
        <v>263</v>
      </c>
      <c r="C33" s="18"/>
      <c r="E33" s="1">
        <f>SUM(E30:E32)</f>
        <v>2650</v>
      </c>
    </row>
    <row r="34" spans="2:5" x14ac:dyDescent="0.2">
      <c r="B34" s="1" t="s">
        <v>190</v>
      </c>
      <c r="C34" s="18">
        <f>+C21</f>
        <v>50</v>
      </c>
    </row>
    <row r="35" spans="2:5" x14ac:dyDescent="0.2">
      <c r="B35" s="1" t="s">
        <v>265</v>
      </c>
      <c r="C35" s="18">
        <f>-+D67*1000/E33</f>
        <v>-5.6603773584905657</v>
      </c>
    </row>
    <row r="36" spans="2:5" x14ac:dyDescent="0.2">
      <c r="C36" s="18">
        <f>SUM(C34:C35)</f>
        <v>44.339622641509436</v>
      </c>
    </row>
    <row r="37" spans="2:5" x14ac:dyDescent="0.2">
      <c r="C37" s="18"/>
    </row>
    <row r="38" spans="2:5" x14ac:dyDescent="0.2">
      <c r="B38" s="1" t="s">
        <v>218</v>
      </c>
      <c r="C38" s="18"/>
    </row>
    <row r="39" spans="2:5" x14ac:dyDescent="0.2">
      <c r="B39" s="1" t="s">
        <v>266</v>
      </c>
      <c r="C39" s="18">
        <v>1500</v>
      </c>
    </row>
    <row r="40" spans="2:5" x14ac:dyDescent="0.2">
      <c r="B40" s="18" t="s">
        <v>267</v>
      </c>
      <c r="C40" s="1">
        <f>-C39/6</f>
        <v>-250</v>
      </c>
    </row>
    <row r="41" spans="2:5" x14ac:dyDescent="0.2">
      <c r="B41" s="1" t="s">
        <v>268</v>
      </c>
      <c r="C41" s="18">
        <f>-C36</f>
        <v>-44.339622641509436</v>
      </c>
    </row>
    <row r="42" spans="2:5" ht="12.75" thickBot="1" x14ac:dyDescent="0.25">
      <c r="C42" s="14">
        <f>SUM(C39:C41)</f>
        <v>1205.6603773584907</v>
      </c>
    </row>
    <row r="43" spans="2:5" ht="12.75" thickTop="1" x14ac:dyDescent="0.2">
      <c r="C43" s="18"/>
    </row>
    <row r="44" spans="2:5" x14ac:dyDescent="0.2">
      <c r="B44" s="1" t="s">
        <v>687</v>
      </c>
      <c r="C44" s="18"/>
    </row>
    <row r="45" spans="2:5" x14ac:dyDescent="0.2">
      <c r="C45" s="6"/>
    </row>
    <row r="46" spans="2:5" x14ac:dyDescent="0.2">
      <c r="B46" s="1" t="s">
        <v>191</v>
      </c>
      <c r="C46" s="6"/>
    </row>
    <row r="47" spans="2:5" x14ac:dyDescent="0.2">
      <c r="B47" s="1" t="s">
        <v>192</v>
      </c>
      <c r="C47" s="6">
        <v>350</v>
      </c>
      <c r="E47" s="6">
        <f>SUM(C47:D47)</f>
        <v>350</v>
      </c>
    </row>
    <row r="48" spans="2:5" x14ac:dyDescent="0.2">
      <c r="B48" s="1" t="s">
        <v>193</v>
      </c>
      <c r="C48" s="6">
        <v>120</v>
      </c>
      <c r="E48" s="6">
        <f t="shared" ref="E48:E49" si="0">SUM(C48:D48)</f>
        <v>120</v>
      </c>
    </row>
    <row r="49" spans="2:7" x14ac:dyDescent="0.2">
      <c r="B49" s="1" t="s">
        <v>194</v>
      </c>
      <c r="C49" s="6">
        <v>150</v>
      </c>
      <c r="E49" s="6">
        <f t="shared" si="0"/>
        <v>150</v>
      </c>
    </row>
    <row r="50" spans="2:7" ht="12.75" thickBot="1" x14ac:dyDescent="0.25">
      <c r="C50" s="14">
        <f>SUM(C47:C49)</f>
        <v>620</v>
      </c>
      <c r="E50" s="14">
        <f>SUM(E47:E49)</f>
        <v>620</v>
      </c>
    </row>
    <row r="51" spans="2:7" ht="12.75" thickTop="1" x14ac:dyDescent="0.2">
      <c r="C51" s="6"/>
    </row>
    <row r="52" spans="2:7" x14ac:dyDescent="0.2">
      <c r="B52" s="1" t="s">
        <v>195</v>
      </c>
      <c r="C52" s="6"/>
    </row>
    <row r="53" spans="2:7" x14ac:dyDescent="0.2">
      <c r="B53" s="1" t="s">
        <v>196</v>
      </c>
      <c r="C53" s="25">
        <v>248</v>
      </c>
      <c r="E53" s="25">
        <f>+C53</f>
        <v>248</v>
      </c>
    </row>
    <row r="54" spans="2:7" ht="12.75" thickBot="1" x14ac:dyDescent="0.25">
      <c r="C54" s="14">
        <f>+C50+C53</f>
        <v>868</v>
      </c>
      <c r="E54" s="14">
        <f>+E50+E53</f>
        <v>868</v>
      </c>
    </row>
    <row r="55" spans="2:7" ht="12.75" thickTop="1" x14ac:dyDescent="0.2">
      <c r="C55" s="18"/>
    </row>
    <row r="56" spans="2:7" x14ac:dyDescent="0.2">
      <c r="B56" s="1" t="s">
        <v>197</v>
      </c>
      <c r="C56" s="6">
        <v>450</v>
      </c>
      <c r="E56" s="6">
        <v>450</v>
      </c>
    </row>
    <row r="57" spans="2:7" x14ac:dyDescent="0.2">
      <c r="B57" s="1" t="s">
        <v>198</v>
      </c>
      <c r="C57" s="6">
        <v>980</v>
      </c>
      <c r="E57" s="6">
        <v>980</v>
      </c>
    </row>
    <row r="58" spans="2:7" x14ac:dyDescent="0.2">
      <c r="B58" s="1" t="s">
        <v>199</v>
      </c>
      <c r="C58" s="6">
        <f>+C27</f>
        <v>913.02304147465441</v>
      </c>
      <c r="E58" s="6">
        <f>+E50+E53</f>
        <v>868</v>
      </c>
    </row>
    <row r="59" spans="2:7" ht="12.75" thickBot="1" x14ac:dyDescent="0.25">
      <c r="B59" s="1" t="s">
        <v>200</v>
      </c>
      <c r="C59" s="14">
        <f>+(C57-C58)*C56</f>
        <v>30139.631336405517</v>
      </c>
      <c r="E59" s="14">
        <f>+(E57-E58)*E56</f>
        <v>50400</v>
      </c>
    </row>
    <row r="60" spans="2:7" ht="12.75" thickTop="1" x14ac:dyDescent="0.2"/>
    <row r="61" spans="2:7" x14ac:dyDescent="0.2">
      <c r="B61" s="1" t="s">
        <v>202</v>
      </c>
      <c r="D61" s="1" t="s">
        <v>208</v>
      </c>
    </row>
    <row r="62" spans="2:7" x14ac:dyDescent="0.2">
      <c r="B62" s="1" t="s">
        <v>210</v>
      </c>
      <c r="C62" s="1" t="s">
        <v>203</v>
      </c>
      <c r="D62" s="6">
        <v>277.77777777777777</v>
      </c>
    </row>
    <row r="63" spans="2:7" x14ac:dyDescent="0.2">
      <c r="B63" s="1" t="s">
        <v>209</v>
      </c>
      <c r="D63" s="24">
        <f>-30000/C56</f>
        <v>-66.666666666666671</v>
      </c>
    </row>
    <row r="64" spans="2:7" x14ac:dyDescent="0.2">
      <c r="B64" s="1" t="s">
        <v>211</v>
      </c>
      <c r="C64" s="3"/>
      <c r="D64" s="6">
        <f>SUM(D62:D63)</f>
        <v>211.11111111111109</v>
      </c>
      <c r="E64" s="3">
        <v>44866</v>
      </c>
      <c r="F64" s="1">
        <f>+YEARFRAC(E64,C5)*12</f>
        <v>5</v>
      </c>
      <c r="G64" s="1">
        <f>+F64*C69</f>
        <v>1000</v>
      </c>
    </row>
    <row r="65" spans="2:7" x14ac:dyDescent="0.2">
      <c r="B65" s="1" t="s">
        <v>206</v>
      </c>
      <c r="C65" s="1" t="s">
        <v>204</v>
      </c>
      <c r="D65" s="6">
        <v>42</v>
      </c>
      <c r="E65" s="1" t="s">
        <v>212</v>
      </c>
    </row>
    <row r="66" spans="2:7" x14ac:dyDescent="0.2">
      <c r="B66" s="1" t="s">
        <v>207</v>
      </c>
      <c r="C66" s="1" t="s">
        <v>204</v>
      </c>
      <c r="D66" s="6">
        <v>10</v>
      </c>
      <c r="E66" s="3">
        <v>44805</v>
      </c>
      <c r="F66" s="1">
        <f>+YEARFRAC(E66,C5)*12</f>
        <v>7</v>
      </c>
      <c r="G66" s="1">
        <f>+F66*C70</f>
        <v>2100</v>
      </c>
    </row>
    <row r="67" spans="2:7" x14ac:dyDescent="0.2">
      <c r="B67" s="1" t="s">
        <v>190</v>
      </c>
      <c r="C67" s="1" t="s">
        <v>204</v>
      </c>
      <c r="D67" s="6">
        <v>15</v>
      </c>
      <c r="E67" s="1" t="s">
        <v>213</v>
      </c>
      <c r="G67" s="1">
        <f>SUM(G64:G66)</f>
        <v>3100</v>
      </c>
    </row>
    <row r="69" spans="2:7" x14ac:dyDescent="0.2">
      <c r="B69" s="1" t="s">
        <v>214</v>
      </c>
      <c r="C69" s="1">
        <v>200</v>
      </c>
    </row>
    <row r="70" spans="2:7" x14ac:dyDescent="0.2">
      <c r="B70" s="1" t="s">
        <v>215</v>
      </c>
      <c r="C70" s="1">
        <v>300</v>
      </c>
    </row>
    <row r="71" spans="2:7" x14ac:dyDescent="0.2">
      <c r="B71" s="1" t="s">
        <v>216</v>
      </c>
    </row>
    <row r="73" spans="2:7" x14ac:dyDescent="0.2">
      <c r="B73" s="1" t="s">
        <v>217</v>
      </c>
      <c r="C73" s="6">
        <f>+E56*E58</f>
        <v>390600</v>
      </c>
    </row>
    <row r="74" spans="2:7" x14ac:dyDescent="0.2">
      <c r="B74" s="1" t="s">
        <v>218</v>
      </c>
    </row>
    <row r="75" spans="2:7" x14ac:dyDescent="0.2">
      <c r="B75" s="1" t="s">
        <v>219</v>
      </c>
      <c r="C75" s="6">
        <v>1500</v>
      </c>
      <c r="D75" s="1" t="s">
        <v>220</v>
      </c>
    </row>
    <row r="76" spans="2:7" x14ac:dyDescent="0.2">
      <c r="B76" s="1" t="s">
        <v>221</v>
      </c>
      <c r="C76" s="6">
        <f>+C75*C56</f>
        <v>675000</v>
      </c>
    </row>
    <row r="78" spans="2:7" x14ac:dyDescent="0.2">
      <c r="B78" s="1" t="s">
        <v>222</v>
      </c>
      <c r="C78" s="6">
        <f>+C73</f>
        <v>390600</v>
      </c>
    </row>
    <row r="79" spans="2:7" x14ac:dyDescent="0.2">
      <c r="B79" s="1" t="s">
        <v>223</v>
      </c>
    </row>
    <row r="81" spans="1:6" x14ac:dyDescent="0.2">
      <c r="B81" s="1" t="s">
        <v>224</v>
      </c>
    </row>
    <row r="82" spans="1:6" x14ac:dyDescent="0.2">
      <c r="B82" s="1" t="s">
        <v>225</v>
      </c>
      <c r="E82" s="6">
        <f>+C59</f>
        <v>30139.631336405517</v>
      </c>
      <c r="F82" s="6"/>
    </row>
    <row r="83" spans="1:6" x14ac:dyDescent="0.2">
      <c r="C83" s="1" t="s">
        <v>201</v>
      </c>
      <c r="E83" s="6"/>
      <c r="F83" s="6">
        <f>+E59</f>
        <v>50400</v>
      </c>
    </row>
    <row r="84" spans="1:6" x14ac:dyDescent="0.2">
      <c r="B84" s="1" t="s">
        <v>226</v>
      </c>
      <c r="E84" s="6"/>
      <c r="F84" s="6"/>
    </row>
    <row r="86" spans="1:6" x14ac:dyDescent="0.2">
      <c r="B86" s="5" t="s">
        <v>49</v>
      </c>
      <c r="C86" s="9"/>
    </row>
    <row r="87" spans="1:6" x14ac:dyDescent="0.2">
      <c r="B87" s="1" t="s">
        <v>227</v>
      </c>
    </row>
    <row r="89" spans="1:6" x14ac:dyDescent="0.2">
      <c r="B89" s="1" t="s">
        <v>205</v>
      </c>
      <c r="C89" s="6">
        <v>2450</v>
      </c>
    </row>
    <row r="90" spans="1:6" x14ac:dyDescent="0.2">
      <c r="B90" s="1" t="s">
        <v>206</v>
      </c>
      <c r="C90" s="6">
        <v>1660</v>
      </c>
    </row>
    <row r="91" spans="1:6" x14ac:dyDescent="0.2">
      <c r="B91" s="1" t="s">
        <v>233</v>
      </c>
      <c r="C91" s="6">
        <v>1170</v>
      </c>
    </row>
    <row r="92" spans="1:6" x14ac:dyDescent="0.2">
      <c r="B92" s="1" t="s">
        <v>229</v>
      </c>
      <c r="C92" s="6">
        <v>130</v>
      </c>
    </row>
    <row r="93" spans="1:6" x14ac:dyDescent="0.2">
      <c r="B93" s="1" t="s">
        <v>230</v>
      </c>
      <c r="C93" s="6">
        <v>340</v>
      </c>
    </row>
    <row r="94" spans="1:6" x14ac:dyDescent="0.2">
      <c r="A94" s="1">
        <v>0.5</v>
      </c>
      <c r="B94" s="1" t="s">
        <v>228</v>
      </c>
      <c r="C94" s="6">
        <v>640</v>
      </c>
      <c r="D94" s="1" t="s">
        <v>688</v>
      </c>
    </row>
    <row r="95" spans="1:6" x14ac:dyDescent="0.2">
      <c r="A95" s="1">
        <v>0.5</v>
      </c>
      <c r="B95" s="1" t="s">
        <v>232</v>
      </c>
      <c r="C95" s="6">
        <v>290</v>
      </c>
    </row>
    <row r="96" spans="1:6" x14ac:dyDescent="0.2">
      <c r="B96" s="1" t="s">
        <v>240</v>
      </c>
      <c r="C96" s="6">
        <v>830</v>
      </c>
      <c r="D96" s="1" t="s">
        <v>688</v>
      </c>
    </row>
    <row r="97" spans="2:4" ht="12.75" thickBot="1" x14ac:dyDescent="0.25">
      <c r="C97" s="14">
        <f>SUM(C89:C96)</f>
        <v>7510</v>
      </c>
    </row>
    <row r="98" spans="2:4" ht="12.75" thickTop="1" x14ac:dyDescent="0.2">
      <c r="B98" s="1" t="s">
        <v>234</v>
      </c>
      <c r="C98" s="6"/>
    </row>
    <row r="99" spans="2:4" x14ac:dyDescent="0.2">
      <c r="B99" s="1" t="s">
        <v>240</v>
      </c>
      <c r="C99" s="6">
        <f>-C95</f>
        <v>-290</v>
      </c>
    </row>
    <row r="100" spans="2:4" x14ac:dyDescent="0.2">
      <c r="B100" s="1" t="s">
        <v>228</v>
      </c>
      <c r="C100" s="6">
        <v>-260</v>
      </c>
      <c r="D100" s="1" t="s">
        <v>238</v>
      </c>
    </row>
    <row r="101" spans="2:4" x14ac:dyDescent="0.2">
      <c r="B101" s="1" t="s">
        <v>229</v>
      </c>
      <c r="C101" s="6">
        <f>-0.05*C92</f>
        <v>-6.5</v>
      </c>
      <c r="D101" s="1" t="s">
        <v>235</v>
      </c>
    </row>
    <row r="102" spans="2:4" x14ac:dyDescent="0.2">
      <c r="B102" s="1" t="s">
        <v>236</v>
      </c>
      <c r="C102" s="6">
        <f>-0.1*C93</f>
        <v>-34</v>
      </c>
      <c r="D102" s="1" t="s">
        <v>237</v>
      </c>
    </row>
    <row r="103" spans="2:4" x14ac:dyDescent="0.2">
      <c r="C103" s="6">
        <f>SUM(C97:C102)</f>
        <v>6919.5</v>
      </c>
    </row>
    <row r="104" spans="2:4" x14ac:dyDescent="0.2">
      <c r="C104" s="6"/>
    </row>
    <row r="105" spans="2:4" x14ac:dyDescent="0.2">
      <c r="B105" s="1" t="s">
        <v>191</v>
      </c>
      <c r="C105" s="6"/>
    </row>
    <row r="106" spans="2:4" x14ac:dyDescent="0.2">
      <c r="B106" s="1" t="s">
        <v>205</v>
      </c>
      <c r="C106" s="26">
        <f>+C89</f>
        <v>2450</v>
      </c>
    </row>
    <row r="107" spans="2:4" x14ac:dyDescent="0.2">
      <c r="B107" s="1" t="s">
        <v>231</v>
      </c>
      <c r="C107" s="26">
        <f>+C95*0.9</f>
        <v>261</v>
      </c>
    </row>
    <row r="108" spans="2:4" x14ac:dyDescent="0.2">
      <c r="B108" s="1" t="s">
        <v>206</v>
      </c>
      <c r="C108" s="26">
        <f>0.4*C90</f>
        <v>664</v>
      </c>
    </row>
    <row r="109" spans="2:4" ht="12.75" thickBot="1" x14ac:dyDescent="0.25">
      <c r="B109" s="1" t="s">
        <v>241</v>
      </c>
      <c r="C109" s="14">
        <f>SUM(C106:C108)</f>
        <v>3375</v>
      </c>
    </row>
    <row r="110" spans="2:4" ht="12.75" thickTop="1" x14ac:dyDescent="0.2">
      <c r="C110" s="6"/>
    </row>
    <row r="111" spans="2:4" x14ac:dyDescent="0.2">
      <c r="B111" s="1" t="s">
        <v>195</v>
      </c>
      <c r="C111" s="6"/>
    </row>
    <row r="112" spans="2:4" x14ac:dyDescent="0.2">
      <c r="B112" s="1" t="s">
        <v>229</v>
      </c>
      <c r="C112" s="26">
        <f>+C92+C101</f>
        <v>123.5</v>
      </c>
    </row>
    <row r="113" spans="2:4" x14ac:dyDescent="0.2">
      <c r="B113" s="1" t="s">
        <v>230</v>
      </c>
      <c r="C113" s="26">
        <f>+C93+C102</f>
        <v>306</v>
      </c>
    </row>
    <row r="114" spans="2:4" x14ac:dyDescent="0.2">
      <c r="B114" s="1" t="s">
        <v>206</v>
      </c>
      <c r="C114" s="26">
        <f>0.6*C90</f>
        <v>996</v>
      </c>
    </row>
    <row r="115" spans="2:4" x14ac:dyDescent="0.2">
      <c r="B115" s="1" t="s">
        <v>239</v>
      </c>
      <c r="C115" s="26">
        <f>+C91</f>
        <v>1170</v>
      </c>
    </row>
    <row r="116" spans="2:4" x14ac:dyDescent="0.2">
      <c r="B116" s="1" t="s">
        <v>228</v>
      </c>
      <c r="C116" s="6">
        <f>+C94+C100</f>
        <v>380</v>
      </c>
    </row>
    <row r="117" spans="2:4" ht="12.75" thickBot="1" x14ac:dyDescent="0.25">
      <c r="B117" s="1" t="s">
        <v>68</v>
      </c>
      <c r="C117" s="14">
        <f>SUM(C112:C116)</f>
        <v>2975.5</v>
      </c>
    </row>
    <row r="118" spans="2:4" ht="12.75" thickTop="1" x14ac:dyDescent="0.2">
      <c r="C118" s="18"/>
    </row>
    <row r="119" spans="2:4" x14ac:dyDescent="0.2">
      <c r="B119" s="1" t="s">
        <v>269</v>
      </c>
      <c r="C119" s="18">
        <f>+C123/C124*C117</f>
        <v>2826.7249999999999</v>
      </c>
    </row>
    <row r="120" spans="2:4" x14ac:dyDescent="0.2">
      <c r="C120" s="18"/>
    </row>
    <row r="121" spans="2:4" ht="12.75" thickBot="1" x14ac:dyDescent="0.25">
      <c r="B121" s="1" t="s">
        <v>270</v>
      </c>
      <c r="C121" s="14">
        <f>+C119+C109</f>
        <v>6201.7250000000004</v>
      </c>
    </row>
    <row r="122" spans="2:4" ht="12.75" thickTop="1" x14ac:dyDescent="0.2">
      <c r="C122" s="6"/>
    </row>
    <row r="123" spans="2:4" x14ac:dyDescent="0.2">
      <c r="B123" s="1" t="s">
        <v>242</v>
      </c>
      <c r="C123" s="6">
        <v>58900</v>
      </c>
    </row>
    <row r="124" spans="2:4" x14ac:dyDescent="0.2">
      <c r="B124" s="1" t="s">
        <v>243</v>
      </c>
      <c r="C124" s="6">
        <v>62000</v>
      </c>
    </row>
    <row r="125" spans="2:4" x14ac:dyDescent="0.2">
      <c r="C125" s="6"/>
    </row>
    <row r="126" spans="2:4" x14ac:dyDescent="0.2">
      <c r="C126" s="6" t="s">
        <v>252</v>
      </c>
    </row>
    <row r="127" spans="2:4" x14ac:dyDescent="0.2">
      <c r="B127" s="1" t="s">
        <v>251</v>
      </c>
      <c r="C127" s="26">
        <f>+C121*1000/C123</f>
        <v>105.29244482173175</v>
      </c>
      <c r="D127" s="1" t="s">
        <v>244</v>
      </c>
    </row>
    <row r="128" spans="2:4" x14ac:dyDescent="0.2">
      <c r="C128" s="6"/>
    </row>
    <row r="129" spans="2:4" x14ac:dyDescent="0.2">
      <c r="B129" s="1" t="s">
        <v>218</v>
      </c>
      <c r="C129" s="6"/>
    </row>
    <row r="130" spans="2:4" x14ac:dyDescent="0.2">
      <c r="B130" s="1" t="s">
        <v>219</v>
      </c>
      <c r="C130" s="6">
        <v>130</v>
      </c>
      <c r="D130" s="1" t="s">
        <v>245</v>
      </c>
    </row>
    <row r="131" spans="2:4" x14ac:dyDescent="0.2">
      <c r="B131" s="1" t="s">
        <v>246</v>
      </c>
      <c r="C131" s="6">
        <f>0.9*C130</f>
        <v>117</v>
      </c>
      <c r="D131" s="1" t="s">
        <v>247</v>
      </c>
    </row>
    <row r="132" spans="2:4" x14ac:dyDescent="0.2">
      <c r="B132" s="1" t="s">
        <v>271</v>
      </c>
      <c r="C132" s="6">
        <f>+C96*1000/(C123-C135)</f>
        <v>14.459930313588851</v>
      </c>
    </row>
    <row r="133" spans="2:4" ht="12.75" thickBot="1" x14ac:dyDescent="0.25">
      <c r="C133" s="14">
        <f>+C131-C132</f>
        <v>102.54006968641114</v>
      </c>
    </row>
    <row r="134" spans="2:4" ht="12.75" thickTop="1" x14ac:dyDescent="0.2">
      <c r="C134" s="6"/>
    </row>
    <row r="135" spans="2:4" x14ac:dyDescent="0.2">
      <c r="B135" s="1" t="s">
        <v>197</v>
      </c>
      <c r="C135" s="6">
        <v>1500</v>
      </c>
      <c r="D135" s="1" t="s">
        <v>248</v>
      </c>
    </row>
    <row r="136" spans="2:4" x14ac:dyDescent="0.2">
      <c r="B136" s="1" t="s">
        <v>249</v>
      </c>
      <c r="C136" s="6">
        <f>+C123/12</f>
        <v>4908.333333333333</v>
      </c>
    </row>
    <row r="137" spans="2:4" x14ac:dyDescent="0.2">
      <c r="C137" s="6"/>
    </row>
    <row r="138" spans="2:4" x14ac:dyDescent="0.2">
      <c r="B138" s="1" t="s">
        <v>250</v>
      </c>
      <c r="C138" s="6"/>
    </row>
    <row r="139" spans="2:4" x14ac:dyDescent="0.2">
      <c r="C139" s="6"/>
    </row>
    <row r="140" spans="2:4" x14ac:dyDescent="0.2">
      <c r="B140" s="1" t="s">
        <v>217</v>
      </c>
      <c r="C140" s="6">
        <f>+C135*C133</f>
        <v>153810.10452961671</v>
      </c>
    </row>
    <row r="141" spans="2:4" x14ac:dyDescent="0.2">
      <c r="B141" s="1" t="s">
        <v>218</v>
      </c>
      <c r="C141" s="6">
        <f>+C131*C135</f>
        <v>175500</v>
      </c>
    </row>
    <row r="143" spans="2:4" x14ac:dyDescent="0.2">
      <c r="B143" s="1" t="s">
        <v>253</v>
      </c>
      <c r="C143" s="6">
        <f>+C140</f>
        <v>153810.10452961671</v>
      </c>
    </row>
    <row r="145" spans="2:6" x14ac:dyDescent="0.2">
      <c r="B145" s="1" t="s">
        <v>272</v>
      </c>
      <c r="E145" s="6">
        <f>+C143</f>
        <v>153810.10452961671</v>
      </c>
    </row>
    <row r="146" spans="2:6" x14ac:dyDescent="0.2">
      <c r="C146" s="1" t="s">
        <v>273</v>
      </c>
      <c r="F146" s="6">
        <f>+E145</f>
        <v>153810.10452961671</v>
      </c>
    </row>
    <row r="147" spans="2:6" x14ac:dyDescent="0.2">
      <c r="B147" s="1" t="s">
        <v>254</v>
      </c>
    </row>
    <row r="148" spans="2:6" x14ac:dyDescent="0.2">
      <c r="C148" s="9"/>
    </row>
    <row r="151" spans="2:6" x14ac:dyDescent="0.2">
      <c r="B151" s="5" t="s">
        <v>72</v>
      </c>
      <c r="C151" s="9"/>
    </row>
    <row r="152" spans="2:6" x14ac:dyDescent="0.2">
      <c r="B152" s="1" t="s">
        <v>5</v>
      </c>
      <c r="C152" s="1" t="s">
        <v>256</v>
      </c>
    </row>
    <row r="153" spans="2:6" x14ac:dyDescent="0.2">
      <c r="B153" s="1" t="s">
        <v>255</v>
      </c>
      <c r="C153" s="3">
        <v>44773</v>
      </c>
      <c r="D153" s="1">
        <v>0</v>
      </c>
    </row>
    <row r="154" spans="2:6" x14ac:dyDescent="0.2">
      <c r="C154" s="3"/>
    </row>
    <row r="155" spans="2:6" x14ac:dyDescent="0.2">
      <c r="B155" s="1" t="s">
        <v>274</v>
      </c>
      <c r="C155" s="3"/>
    </row>
    <row r="156" spans="2:6" x14ac:dyDescent="0.2">
      <c r="C156" s="3"/>
    </row>
    <row r="157" spans="2:6" x14ac:dyDescent="0.2">
      <c r="C157" s="3"/>
    </row>
    <row r="159" spans="2:6" x14ac:dyDescent="0.2">
      <c r="B159" s="5" t="s">
        <v>257</v>
      </c>
    </row>
    <row r="161" spans="2:9" x14ac:dyDescent="0.2">
      <c r="B161" s="1" t="s">
        <v>275</v>
      </c>
      <c r="C161" s="7">
        <v>3200</v>
      </c>
      <c r="D161" s="1" t="s">
        <v>276</v>
      </c>
    </row>
    <row r="163" spans="2:9" x14ac:dyDescent="0.2">
      <c r="B163" s="1" t="s">
        <v>277</v>
      </c>
      <c r="C163" s="1" t="s">
        <v>278</v>
      </c>
      <c r="D163" s="1" t="s">
        <v>279</v>
      </c>
      <c r="E163" s="1" t="s">
        <v>280</v>
      </c>
      <c r="F163" s="1" t="s">
        <v>281</v>
      </c>
      <c r="G163" s="1" t="s">
        <v>282</v>
      </c>
      <c r="H163" s="1" t="s">
        <v>283</v>
      </c>
      <c r="I163" s="1" t="s">
        <v>284</v>
      </c>
    </row>
    <row r="164" spans="2:9" x14ac:dyDescent="0.2">
      <c r="B164" s="27">
        <v>44777</v>
      </c>
      <c r="C164" s="8">
        <v>4500</v>
      </c>
      <c r="D164" s="7">
        <v>170</v>
      </c>
      <c r="E164" s="28">
        <f>+C164*D164</f>
        <v>765000</v>
      </c>
      <c r="F164" s="26">
        <f>+MIN(C164,$C$161-SUM($F$163:F163))</f>
        <v>3200</v>
      </c>
      <c r="G164" s="26">
        <f>+C164-F164</f>
        <v>1300</v>
      </c>
      <c r="H164" s="28">
        <f>+F164*D164</f>
        <v>544000</v>
      </c>
      <c r="I164" s="28">
        <f>+G164*D164</f>
        <v>221000</v>
      </c>
    </row>
    <row r="165" spans="2:9" x14ac:dyDescent="0.2">
      <c r="B165" s="27">
        <v>44807</v>
      </c>
      <c r="C165" s="8">
        <v>5000</v>
      </c>
      <c r="D165" s="7">
        <v>174</v>
      </c>
      <c r="E165" s="28">
        <f t="shared" ref="E165:E171" si="1">+C165*D165</f>
        <v>870000</v>
      </c>
      <c r="F165" s="26">
        <f>+MIN(C165,$C$161-SUM($F$163:F164))</f>
        <v>0</v>
      </c>
      <c r="G165" s="26">
        <f t="shared" ref="G165:G171" si="2">+C165-F165</f>
        <v>5000</v>
      </c>
      <c r="H165" s="28">
        <f t="shared" ref="H165:H171" si="3">+F165*D165</f>
        <v>0</v>
      </c>
      <c r="I165" s="28">
        <f t="shared" ref="I165:I171" si="4">+G165*D165</f>
        <v>870000</v>
      </c>
    </row>
    <row r="166" spans="2:9" x14ac:dyDescent="0.2">
      <c r="B166" s="27">
        <v>44819</v>
      </c>
      <c r="C166" s="8">
        <v>6000</v>
      </c>
      <c r="D166" s="7">
        <v>175</v>
      </c>
      <c r="E166" s="28">
        <f t="shared" si="1"/>
        <v>1050000</v>
      </c>
      <c r="F166" s="26">
        <f>+MIN(C166,$C$161-SUM($F$163:F165))</f>
        <v>0</v>
      </c>
      <c r="G166" s="26">
        <f t="shared" si="2"/>
        <v>6000</v>
      </c>
      <c r="H166" s="28">
        <f t="shared" si="3"/>
        <v>0</v>
      </c>
      <c r="I166" s="28">
        <f t="shared" si="4"/>
        <v>1050000</v>
      </c>
    </row>
    <row r="167" spans="2:9" x14ac:dyDescent="0.2">
      <c r="B167" s="27"/>
      <c r="C167" s="8"/>
      <c r="D167" s="7"/>
      <c r="E167" s="28">
        <f t="shared" si="1"/>
        <v>0</v>
      </c>
      <c r="F167" s="26">
        <f>+MIN(C167,$C$161-SUM($F$163:F166))</f>
        <v>0</v>
      </c>
      <c r="G167" s="26">
        <f t="shared" si="2"/>
        <v>0</v>
      </c>
      <c r="H167" s="28">
        <f t="shared" si="3"/>
        <v>0</v>
      </c>
      <c r="I167" s="28">
        <f t="shared" si="4"/>
        <v>0</v>
      </c>
    </row>
    <row r="168" spans="2:9" x14ac:dyDescent="0.2">
      <c r="B168" s="27"/>
      <c r="C168" s="8"/>
      <c r="D168" s="7"/>
      <c r="E168" s="28">
        <f t="shared" si="1"/>
        <v>0</v>
      </c>
      <c r="F168" s="26">
        <f>+MIN(C168,$C$161-SUM($F$163:F167))</f>
        <v>0</v>
      </c>
      <c r="G168" s="26">
        <f t="shared" si="2"/>
        <v>0</v>
      </c>
      <c r="H168" s="28">
        <f t="shared" si="3"/>
        <v>0</v>
      </c>
      <c r="I168" s="28">
        <f t="shared" si="4"/>
        <v>0</v>
      </c>
    </row>
    <row r="169" spans="2:9" x14ac:dyDescent="0.2">
      <c r="B169" s="27"/>
      <c r="C169" s="8"/>
      <c r="D169" s="7"/>
      <c r="E169" s="28">
        <f t="shared" si="1"/>
        <v>0</v>
      </c>
      <c r="F169" s="26">
        <f>+MIN(C169,$C$161-SUM($F$163:F168))</f>
        <v>0</v>
      </c>
      <c r="G169" s="26">
        <f t="shared" si="2"/>
        <v>0</v>
      </c>
      <c r="H169" s="28">
        <f t="shared" si="3"/>
        <v>0</v>
      </c>
      <c r="I169" s="28">
        <f t="shared" si="4"/>
        <v>0</v>
      </c>
    </row>
    <row r="170" spans="2:9" x14ac:dyDescent="0.2">
      <c r="B170" s="27"/>
      <c r="C170" s="8"/>
      <c r="D170" s="7"/>
      <c r="E170" s="28">
        <f t="shared" si="1"/>
        <v>0</v>
      </c>
      <c r="F170" s="26">
        <f>+MIN(C170,$C$161-SUM($F$163:F169))</f>
        <v>0</v>
      </c>
      <c r="G170" s="26">
        <f t="shared" si="2"/>
        <v>0</v>
      </c>
      <c r="H170" s="28">
        <f t="shared" si="3"/>
        <v>0</v>
      </c>
      <c r="I170" s="28">
        <f t="shared" si="4"/>
        <v>0</v>
      </c>
    </row>
    <row r="171" spans="2:9" x14ac:dyDescent="0.2">
      <c r="B171" s="27"/>
      <c r="C171" s="8"/>
      <c r="D171" s="7"/>
      <c r="E171" s="28">
        <f t="shared" si="1"/>
        <v>0</v>
      </c>
      <c r="F171" s="26">
        <f>+MIN(C171,$C$161-SUM($F$163:F170))</f>
        <v>0</v>
      </c>
      <c r="G171" s="26">
        <f t="shared" si="2"/>
        <v>0</v>
      </c>
      <c r="H171" s="28">
        <f t="shared" si="3"/>
        <v>0</v>
      </c>
      <c r="I171" s="28">
        <f t="shared" si="4"/>
        <v>0</v>
      </c>
    </row>
    <row r="172" spans="2:9" x14ac:dyDescent="0.2">
      <c r="B172" s="1" t="s">
        <v>285</v>
      </c>
      <c r="C172" s="26">
        <f>SUM(C164:C171)</f>
        <v>15500</v>
      </c>
      <c r="D172" s="16"/>
      <c r="E172" s="28">
        <f>SUM(E164:E171)</f>
        <v>2685000</v>
      </c>
      <c r="F172" s="26">
        <f>SUM(F164:F171)</f>
        <v>3200</v>
      </c>
      <c r="G172" s="26">
        <f t="shared" ref="G172:I172" si="5">SUM(G164:G171)</f>
        <v>12300</v>
      </c>
      <c r="H172" s="28">
        <f t="shared" si="5"/>
        <v>544000</v>
      </c>
      <c r="I172" s="28">
        <f t="shared" si="5"/>
        <v>2141000</v>
      </c>
    </row>
    <row r="174" spans="2:9" x14ac:dyDescent="0.2">
      <c r="I174" s="29"/>
    </row>
    <row r="177" spans="2:6" x14ac:dyDescent="0.2">
      <c r="B177" s="5" t="s">
        <v>286</v>
      </c>
    </row>
    <row r="178" spans="2:6" x14ac:dyDescent="0.2">
      <c r="B178" s="1" t="s">
        <v>287</v>
      </c>
      <c r="D178" s="28">
        <f>+E172</f>
        <v>2685000</v>
      </c>
    </row>
    <row r="179" spans="2:6" x14ac:dyDescent="0.2">
      <c r="B179" s="1" t="s">
        <v>288</v>
      </c>
      <c r="D179" s="26">
        <f>+C172</f>
        <v>15500</v>
      </c>
    </row>
    <row r="180" spans="2:6" x14ac:dyDescent="0.2">
      <c r="B180" s="1" t="s">
        <v>286</v>
      </c>
      <c r="D180" s="28">
        <f>+D178/D179</f>
        <v>173.2258064516129</v>
      </c>
    </row>
    <row r="181" spans="2:6" x14ac:dyDescent="0.2">
      <c r="B181" s="1" t="s">
        <v>289</v>
      </c>
      <c r="D181" s="26">
        <f>+C172-C161</f>
        <v>12300</v>
      </c>
    </row>
    <row r="182" spans="2:6" x14ac:dyDescent="0.2">
      <c r="B182" s="1" t="s">
        <v>286</v>
      </c>
      <c r="D182" s="28">
        <f>+D181*D180</f>
        <v>2130677.4193548388</v>
      </c>
    </row>
    <row r="184" spans="2:6" x14ac:dyDescent="0.2">
      <c r="B184" s="1" t="s">
        <v>257</v>
      </c>
      <c r="D184" s="26">
        <f>+I172/D181</f>
        <v>174.0650406504065</v>
      </c>
    </row>
    <row r="186" spans="2:6" x14ac:dyDescent="0.2">
      <c r="B186" s="1" t="s">
        <v>290</v>
      </c>
      <c r="D186" s="28">
        <f>+D184*D181</f>
        <v>2141000</v>
      </c>
      <c r="E186" s="1" t="s">
        <v>291</v>
      </c>
    </row>
    <row r="188" spans="2:6" x14ac:dyDescent="0.2">
      <c r="B188" s="1" t="s">
        <v>292</v>
      </c>
      <c r="E188" s="30">
        <f>+D186</f>
        <v>2141000</v>
      </c>
    </row>
    <row r="189" spans="2:6" x14ac:dyDescent="0.2">
      <c r="C189" s="1" t="s">
        <v>293</v>
      </c>
      <c r="F189" s="30">
        <f>+E188</f>
        <v>2141000</v>
      </c>
    </row>
  </sheetData>
  <hyperlinks>
    <hyperlink ref="A1" location="Main!A1" display="Main" xr:uid="{7EF9C9F9-63FF-4FB0-858D-1361188AC9D3}"/>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68C3C9-6B46-4663-AA71-771357E6BD9A}">
  <dimension ref="A1:G223"/>
  <sheetViews>
    <sheetView zoomScale="190" zoomScaleNormal="190" workbookViewId="0">
      <selection activeCell="C2" sqref="C2"/>
    </sheetView>
  </sheetViews>
  <sheetFormatPr defaultRowHeight="12" x14ac:dyDescent="0.2"/>
  <cols>
    <col min="1" max="16384" width="9.140625" style="1"/>
  </cols>
  <sheetData>
    <row r="1" spans="1:4" ht="15" x14ac:dyDescent="0.25">
      <c r="A1" s="2" t="s">
        <v>0</v>
      </c>
    </row>
    <row r="2" spans="1:4" x14ac:dyDescent="0.2">
      <c r="B2" s="1" t="s">
        <v>4</v>
      </c>
      <c r="C2" s="7" t="s">
        <v>147</v>
      </c>
    </row>
    <row r="3" spans="1:4" x14ac:dyDescent="0.2">
      <c r="B3" s="1" t="s">
        <v>5</v>
      </c>
      <c r="C3" s="3">
        <v>44926</v>
      </c>
    </row>
    <row r="4" spans="1:4" x14ac:dyDescent="0.2">
      <c r="B4" s="1" t="s">
        <v>6</v>
      </c>
    </row>
    <row r="5" spans="1:4" x14ac:dyDescent="0.2">
      <c r="B5" s="1" t="s">
        <v>7</v>
      </c>
    </row>
    <row r="6" spans="1:4" x14ac:dyDescent="0.2">
      <c r="B6" s="1" t="s">
        <v>8</v>
      </c>
    </row>
    <row r="8" spans="1:4" x14ac:dyDescent="0.2">
      <c r="B8" s="12" t="s">
        <v>9</v>
      </c>
    </row>
    <row r="9" spans="1:4" x14ac:dyDescent="0.2">
      <c r="B9" s="1" t="s">
        <v>10</v>
      </c>
    </row>
    <row r="10" spans="1:4" x14ac:dyDescent="0.2">
      <c r="B10" s="1" t="s">
        <v>11</v>
      </c>
    </row>
    <row r="11" spans="1:4" x14ac:dyDescent="0.2">
      <c r="B11" s="1" t="s">
        <v>12</v>
      </c>
      <c r="C11" s="4">
        <v>0.02</v>
      </c>
      <c r="D11" s="1" t="s">
        <v>13</v>
      </c>
    </row>
    <row r="12" spans="1:4" x14ac:dyDescent="0.2">
      <c r="B12" s="1" t="s">
        <v>14</v>
      </c>
      <c r="C12" s="4">
        <v>0.2</v>
      </c>
      <c r="D12" s="1" t="s">
        <v>13</v>
      </c>
    </row>
    <row r="13" spans="1:4" x14ac:dyDescent="0.2">
      <c r="C13" s="6">
        <f>12*50</f>
        <v>600</v>
      </c>
    </row>
    <row r="14" spans="1:4" x14ac:dyDescent="0.2">
      <c r="C14" s="6">
        <f>12*5</f>
        <v>60</v>
      </c>
    </row>
    <row r="16" spans="1:4" x14ac:dyDescent="0.2">
      <c r="B16" s="5" t="s">
        <v>15</v>
      </c>
    </row>
    <row r="17" spans="2:7" x14ac:dyDescent="0.2">
      <c r="B17" s="1" t="s">
        <v>16</v>
      </c>
      <c r="C17" s="3">
        <v>44805</v>
      </c>
    </row>
    <row r="18" spans="2:7" x14ac:dyDescent="0.2">
      <c r="B18" s="1" t="s">
        <v>17</v>
      </c>
      <c r="C18" s="6">
        <v>370000</v>
      </c>
    </row>
    <row r="19" spans="2:7" x14ac:dyDescent="0.2">
      <c r="B19" s="1" t="s">
        <v>18</v>
      </c>
      <c r="C19" s="3">
        <v>44835</v>
      </c>
    </row>
    <row r="20" spans="2:7" x14ac:dyDescent="0.2">
      <c r="B20" s="1" t="s">
        <v>19</v>
      </c>
      <c r="C20" s="6">
        <v>270000</v>
      </c>
      <c r="D20" s="1" t="s">
        <v>21</v>
      </c>
    </row>
    <row r="21" spans="2:7" x14ac:dyDescent="0.2">
      <c r="B21" s="1" t="s">
        <v>20</v>
      </c>
      <c r="C21" s="6">
        <f>+C18-C20</f>
        <v>100000</v>
      </c>
      <c r="D21" s="1" t="s">
        <v>21</v>
      </c>
    </row>
    <row r="22" spans="2:7" x14ac:dyDescent="0.2">
      <c r="B22" s="1" t="s">
        <v>22</v>
      </c>
      <c r="C22" s="6">
        <v>75000</v>
      </c>
      <c r="D22" s="1" t="s">
        <v>23</v>
      </c>
    </row>
    <row r="23" spans="2:7" x14ac:dyDescent="0.2">
      <c r="B23" s="1" t="s">
        <v>24</v>
      </c>
      <c r="C23" s="3">
        <v>44866</v>
      </c>
      <c r="D23" s="1" t="s">
        <v>25</v>
      </c>
    </row>
    <row r="25" spans="2:7" x14ac:dyDescent="0.2">
      <c r="B25" s="1" t="s">
        <v>27</v>
      </c>
    </row>
    <row r="27" spans="2:7" x14ac:dyDescent="0.2">
      <c r="B27" s="1" t="s">
        <v>93</v>
      </c>
      <c r="E27" s="6">
        <f>+C20</f>
        <v>270000</v>
      </c>
      <c r="G27" s="7" t="s">
        <v>101</v>
      </c>
    </row>
    <row r="28" spans="2:7" x14ac:dyDescent="0.2">
      <c r="C28" s="1" t="s">
        <v>94</v>
      </c>
      <c r="F28" s="6">
        <f>+E27</f>
        <v>270000</v>
      </c>
    </row>
    <row r="29" spans="2:7" x14ac:dyDescent="0.2">
      <c r="B29" s="1" t="s">
        <v>95</v>
      </c>
    </row>
    <row r="31" spans="2:7" x14ac:dyDescent="0.2">
      <c r="B31" s="1" t="s">
        <v>96</v>
      </c>
      <c r="C31" s="1">
        <f>+YEARFRAC(C19,C3)*12</f>
        <v>3</v>
      </c>
    </row>
    <row r="32" spans="2:7" x14ac:dyDescent="0.2">
      <c r="C32" s="6">
        <f>+C13</f>
        <v>600</v>
      </c>
    </row>
    <row r="33" spans="2:7" x14ac:dyDescent="0.2">
      <c r="C33" s="1">
        <f>+C31/C32</f>
        <v>5.0000000000000001E-3</v>
      </c>
    </row>
    <row r="34" spans="2:7" x14ac:dyDescent="0.2">
      <c r="C34" s="6">
        <f>+C33*F28</f>
        <v>1350</v>
      </c>
    </row>
    <row r="35" spans="2:7" x14ac:dyDescent="0.2">
      <c r="C35" s="6"/>
    </row>
    <row r="36" spans="2:7" x14ac:dyDescent="0.2">
      <c r="B36" s="1" t="s">
        <v>97</v>
      </c>
      <c r="C36" s="6"/>
      <c r="E36" s="6">
        <f>+C34</f>
        <v>1350</v>
      </c>
      <c r="G36" s="7" t="s">
        <v>102</v>
      </c>
    </row>
    <row r="37" spans="2:7" x14ac:dyDescent="0.2">
      <c r="C37" s="6" t="s">
        <v>98</v>
      </c>
      <c r="F37" s="6">
        <f>+E36</f>
        <v>1350</v>
      </c>
    </row>
    <row r="38" spans="2:7" x14ac:dyDescent="0.2">
      <c r="B38" s="1" t="s">
        <v>99</v>
      </c>
    </row>
    <row r="40" spans="2:7" x14ac:dyDescent="0.2">
      <c r="B40" s="1" t="s">
        <v>28</v>
      </c>
      <c r="E40" s="6">
        <f>+C22</f>
        <v>75000</v>
      </c>
      <c r="F40" s="6"/>
      <c r="G40" s="16" t="s">
        <v>100</v>
      </c>
    </row>
    <row r="41" spans="2:7" x14ac:dyDescent="0.2">
      <c r="C41" s="1" t="s">
        <v>29</v>
      </c>
      <c r="E41" s="6"/>
      <c r="F41" s="6">
        <f>+E40</f>
        <v>75000</v>
      </c>
    </row>
    <row r="42" spans="2:7" x14ac:dyDescent="0.2">
      <c r="B42" s="1" t="s">
        <v>30</v>
      </c>
    </row>
    <row r="44" spans="2:7" x14ac:dyDescent="0.2">
      <c r="B44" s="1" t="s">
        <v>104</v>
      </c>
      <c r="C44" s="1">
        <f>+YEARFRAC(C23,C3)*12</f>
        <v>2</v>
      </c>
    </row>
    <row r="45" spans="2:7" x14ac:dyDescent="0.2">
      <c r="C45" s="6">
        <f>+C13</f>
        <v>600</v>
      </c>
    </row>
    <row r="46" spans="2:7" x14ac:dyDescent="0.2">
      <c r="C46" s="1">
        <f>+C44/C45</f>
        <v>3.3333333333333335E-3</v>
      </c>
    </row>
    <row r="47" spans="2:7" x14ac:dyDescent="0.2">
      <c r="B47" s="1" t="s">
        <v>103</v>
      </c>
      <c r="C47" s="1">
        <f>+C46*E40</f>
        <v>250.00000000000003</v>
      </c>
    </row>
    <row r="49" spans="2:6" x14ac:dyDescent="0.2">
      <c r="B49" s="1" t="s">
        <v>105</v>
      </c>
      <c r="E49" s="1">
        <f>+C47</f>
        <v>250.00000000000003</v>
      </c>
    </row>
    <row r="50" spans="2:6" x14ac:dyDescent="0.2">
      <c r="C50" s="1" t="s">
        <v>106</v>
      </c>
      <c r="F50" s="1">
        <f>+E49</f>
        <v>250.00000000000003</v>
      </c>
    </row>
    <row r="51" spans="2:6" x14ac:dyDescent="0.2">
      <c r="B51" s="1" t="s">
        <v>107</v>
      </c>
    </row>
    <row r="54" spans="2:6" x14ac:dyDescent="0.2">
      <c r="B54" s="5" t="s">
        <v>31</v>
      </c>
    </row>
    <row r="55" spans="2:6" x14ac:dyDescent="0.2">
      <c r="B55" s="1" t="s">
        <v>32</v>
      </c>
      <c r="C55" s="3">
        <v>43830</v>
      </c>
      <c r="D55" s="6">
        <v>12000000</v>
      </c>
    </row>
    <row r="56" spans="2:6" x14ac:dyDescent="0.2">
      <c r="B56" s="1" t="s">
        <v>35</v>
      </c>
      <c r="C56" s="1">
        <f>+YEARFRAC(C62,C57)</f>
        <v>3</v>
      </c>
      <c r="D56" s="6">
        <f>+D55*C56/45</f>
        <v>800000</v>
      </c>
      <c r="E56" s="1" t="s">
        <v>108</v>
      </c>
    </row>
    <row r="57" spans="2:6" x14ac:dyDescent="0.2">
      <c r="B57" s="1" t="s">
        <v>33</v>
      </c>
      <c r="C57" s="3">
        <v>43830</v>
      </c>
      <c r="D57" s="6">
        <f>+D55-D56</f>
        <v>11200000</v>
      </c>
    </row>
    <row r="58" spans="2:6" x14ac:dyDescent="0.2">
      <c r="B58" s="1" t="s">
        <v>32</v>
      </c>
      <c r="C58" s="3">
        <v>44926</v>
      </c>
      <c r="D58" s="6">
        <v>16000000</v>
      </c>
    </row>
    <row r="59" spans="2:6" x14ac:dyDescent="0.2">
      <c r="B59" s="1" t="s">
        <v>109</v>
      </c>
      <c r="C59" s="3">
        <v>44926</v>
      </c>
      <c r="D59" s="6">
        <f>+D58-D57</f>
        <v>4800000</v>
      </c>
    </row>
    <row r="61" spans="2:6" x14ac:dyDescent="0.2">
      <c r="B61" s="1" t="s">
        <v>110</v>
      </c>
    </row>
    <row r="62" spans="2:6" x14ac:dyDescent="0.2">
      <c r="B62" s="1" t="s">
        <v>34</v>
      </c>
      <c r="C62" s="3">
        <v>42736</v>
      </c>
      <c r="D62" s="6">
        <v>18000000</v>
      </c>
    </row>
    <row r="63" spans="2:6" x14ac:dyDescent="0.2">
      <c r="B63" s="1" t="s">
        <v>35</v>
      </c>
      <c r="D63" s="6">
        <f>+D62*0.16</f>
        <v>2880000</v>
      </c>
    </row>
    <row r="64" spans="2:6" x14ac:dyDescent="0.2">
      <c r="B64" s="1" t="s">
        <v>111</v>
      </c>
      <c r="C64" s="3">
        <v>44926</v>
      </c>
      <c r="D64" s="6">
        <f>+D62-D63</f>
        <v>15120000</v>
      </c>
    </row>
    <row r="66" spans="2:6" x14ac:dyDescent="0.2">
      <c r="B66" s="1" t="s">
        <v>112</v>
      </c>
    </row>
    <row r="67" spans="2:6" x14ac:dyDescent="0.2">
      <c r="B67" s="1" t="s">
        <v>113</v>
      </c>
      <c r="D67" s="6">
        <f>+D64-D57</f>
        <v>3920000</v>
      </c>
      <c r="E67" s="1" t="s">
        <v>116</v>
      </c>
    </row>
    <row r="68" spans="2:6" x14ac:dyDescent="0.2">
      <c r="B68" s="1" t="s">
        <v>114</v>
      </c>
      <c r="D68" s="6">
        <f>+D59-D67</f>
        <v>880000</v>
      </c>
      <c r="E68" s="1" t="s">
        <v>117</v>
      </c>
    </row>
    <row r="69" spans="2:6" ht="12.75" thickBot="1" x14ac:dyDescent="0.25">
      <c r="B69" s="1" t="s">
        <v>115</v>
      </c>
      <c r="D69" s="14">
        <f>SUM(D67:D68)</f>
        <v>4800000</v>
      </c>
    </row>
    <row r="70" spans="2:6" ht="12.75" thickTop="1" x14ac:dyDescent="0.2"/>
    <row r="71" spans="2:6" x14ac:dyDescent="0.2">
      <c r="B71" s="1" t="s">
        <v>118</v>
      </c>
      <c r="E71" s="6">
        <f>+D58-D55</f>
        <v>4000000</v>
      </c>
    </row>
    <row r="72" spans="2:6" x14ac:dyDescent="0.2">
      <c r="B72" s="1" t="s">
        <v>119</v>
      </c>
      <c r="E72" s="6">
        <f>+D69-E71</f>
        <v>800000</v>
      </c>
    </row>
    <row r="73" spans="2:6" x14ac:dyDescent="0.2">
      <c r="C73" s="1" t="s">
        <v>120</v>
      </c>
      <c r="F73" s="6">
        <f>+D68</f>
        <v>880000</v>
      </c>
    </row>
    <row r="74" spans="2:6" x14ac:dyDescent="0.2">
      <c r="C74" s="1" t="s">
        <v>121</v>
      </c>
      <c r="F74" s="6">
        <f>+D67</f>
        <v>3920000</v>
      </c>
    </row>
    <row r="75" spans="2:6" x14ac:dyDescent="0.2">
      <c r="B75" s="1" t="s">
        <v>122</v>
      </c>
    </row>
    <row r="77" spans="2:6" x14ac:dyDescent="0.2">
      <c r="B77" s="5" t="s">
        <v>37</v>
      </c>
    </row>
    <row r="78" spans="2:6" x14ac:dyDescent="0.2">
      <c r="B78" s="1" t="s">
        <v>38</v>
      </c>
      <c r="C78" s="3">
        <v>44834</v>
      </c>
    </row>
    <row r="79" spans="2:6" x14ac:dyDescent="0.2">
      <c r="B79" s="1" t="s">
        <v>39</v>
      </c>
    </row>
    <row r="80" spans="2:6" x14ac:dyDescent="0.2">
      <c r="B80" s="1" t="s">
        <v>40</v>
      </c>
    </row>
    <row r="81" spans="2:6" x14ac:dyDescent="0.2">
      <c r="B81" s="1" t="s">
        <v>41</v>
      </c>
    </row>
    <row r="82" spans="2:6" x14ac:dyDescent="0.2">
      <c r="B82" s="1" t="s">
        <v>42</v>
      </c>
    </row>
    <row r="83" spans="2:6" x14ac:dyDescent="0.2">
      <c r="B83" s="1" t="s">
        <v>43</v>
      </c>
    </row>
    <row r="85" spans="2:6" x14ac:dyDescent="0.2">
      <c r="C85" s="11" t="s">
        <v>44</v>
      </c>
    </row>
    <row r="86" spans="2:6" x14ac:dyDescent="0.2">
      <c r="B86" s="1" t="s">
        <v>34</v>
      </c>
      <c r="C86" s="6">
        <v>9000</v>
      </c>
      <c r="D86" s="3">
        <v>41791</v>
      </c>
    </row>
    <row r="87" spans="2:6" x14ac:dyDescent="0.2">
      <c r="B87" s="1" t="s">
        <v>35</v>
      </c>
      <c r="C87" s="6">
        <f>+D87/D88*C86</f>
        <v>1499.5000000000002</v>
      </c>
      <c r="D87" s="6">
        <f>+YEARFRAC(D86,C78)*12</f>
        <v>99.966666666666669</v>
      </c>
    </row>
    <row r="88" spans="2:6" x14ac:dyDescent="0.2">
      <c r="B88" s="1" t="s">
        <v>33</v>
      </c>
      <c r="C88" s="6">
        <f>+C86-C87</f>
        <v>7500.5</v>
      </c>
      <c r="D88" s="6">
        <f>50*12</f>
        <v>600</v>
      </c>
    </row>
    <row r="89" spans="2:6" x14ac:dyDescent="0.2">
      <c r="C89" s="11"/>
    </row>
    <row r="90" spans="2:6" x14ac:dyDescent="0.2">
      <c r="B90" s="1" t="s">
        <v>32</v>
      </c>
      <c r="C90" s="6">
        <v>8500</v>
      </c>
    </row>
    <row r="91" spans="2:6" x14ac:dyDescent="0.2">
      <c r="B91" s="1" t="s">
        <v>45</v>
      </c>
      <c r="C91" s="6">
        <v>40</v>
      </c>
    </row>
    <row r="92" spans="2:6" ht="12.75" thickBot="1" x14ac:dyDescent="0.25">
      <c r="B92" s="1" t="s">
        <v>46</v>
      </c>
      <c r="C92" s="14">
        <f>SUM(C90:C91)</f>
        <v>8540</v>
      </c>
      <c r="D92" s="3">
        <v>44834</v>
      </c>
      <c r="E92" s="16" t="s">
        <v>123</v>
      </c>
    </row>
    <row r="93" spans="2:6" ht="12.75" thickTop="1" x14ac:dyDescent="0.2"/>
    <row r="94" spans="2:6" x14ac:dyDescent="0.2">
      <c r="B94" s="1" t="s">
        <v>47</v>
      </c>
      <c r="E94" s="6">
        <f>+C88</f>
        <v>7500.5</v>
      </c>
    </row>
    <row r="95" spans="2:6" x14ac:dyDescent="0.2">
      <c r="B95" s="1" t="s">
        <v>124</v>
      </c>
      <c r="E95" s="6">
        <f>+C87</f>
        <v>1499.5000000000002</v>
      </c>
    </row>
    <row r="96" spans="2:6" x14ac:dyDescent="0.2">
      <c r="C96" s="1" t="s">
        <v>48</v>
      </c>
      <c r="F96" s="6">
        <f>+C86</f>
        <v>9000</v>
      </c>
    </row>
    <row r="97" spans="2:6" x14ac:dyDescent="0.2">
      <c r="B97" s="1" t="s">
        <v>125</v>
      </c>
    </row>
    <row r="99" spans="2:6" x14ac:dyDescent="0.2">
      <c r="B99" s="1" t="s">
        <v>126</v>
      </c>
    </row>
    <row r="100" spans="2:6" x14ac:dyDescent="0.2">
      <c r="C100" s="6">
        <f>YEARFRAC(D92,C3)*12</f>
        <v>3</v>
      </c>
    </row>
    <row r="101" spans="2:6" x14ac:dyDescent="0.2">
      <c r="C101" s="6">
        <f>+C13</f>
        <v>600</v>
      </c>
    </row>
    <row r="102" spans="2:6" x14ac:dyDescent="0.2">
      <c r="C102" s="1">
        <f>+C100/C101*C86</f>
        <v>45</v>
      </c>
    </row>
    <row r="104" spans="2:6" x14ac:dyDescent="0.2">
      <c r="B104" s="1" t="s">
        <v>127</v>
      </c>
      <c r="E104" s="1">
        <f>+C102</f>
        <v>45</v>
      </c>
    </row>
    <row r="105" spans="2:6" x14ac:dyDescent="0.2">
      <c r="C105" s="1" t="s">
        <v>98</v>
      </c>
      <c r="F105" s="1">
        <f>+E104</f>
        <v>45</v>
      </c>
    </row>
    <row r="106" spans="2:6" x14ac:dyDescent="0.2">
      <c r="B106" s="1" t="s">
        <v>128</v>
      </c>
    </row>
    <row r="109" spans="2:6" x14ac:dyDescent="0.2">
      <c r="B109" s="12" t="s">
        <v>49</v>
      </c>
    </row>
    <row r="111" spans="2:6" x14ac:dyDescent="0.2">
      <c r="B111" s="5" t="s">
        <v>50</v>
      </c>
      <c r="C111" s="11" t="s">
        <v>44</v>
      </c>
    </row>
    <row r="112" spans="2:6" x14ac:dyDescent="0.2">
      <c r="B112" s="1" t="s">
        <v>51</v>
      </c>
      <c r="C112" s="1">
        <f>12*12</f>
        <v>144</v>
      </c>
      <c r="D112" s="1" t="s">
        <v>52</v>
      </c>
    </row>
    <row r="113" spans="2:4" x14ac:dyDescent="0.2">
      <c r="B113" s="1" t="s">
        <v>32</v>
      </c>
      <c r="C113" s="1">
        <v>4000</v>
      </c>
      <c r="D113" s="13" t="s">
        <v>53</v>
      </c>
    </row>
    <row r="114" spans="2:4" x14ac:dyDescent="0.2">
      <c r="B114" s="1" t="s">
        <v>54</v>
      </c>
      <c r="C114" s="1">
        <f>10*12</f>
        <v>120</v>
      </c>
    </row>
    <row r="115" spans="2:4" x14ac:dyDescent="0.2">
      <c r="B115" s="1" t="s">
        <v>55</v>
      </c>
      <c r="C115" s="1">
        <v>500</v>
      </c>
    </row>
    <row r="117" spans="2:4" x14ac:dyDescent="0.2">
      <c r="B117" s="1" t="s">
        <v>56</v>
      </c>
    </row>
    <row r="119" spans="2:4" x14ac:dyDescent="0.2">
      <c r="B119" s="1" t="s">
        <v>57</v>
      </c>
    </row>
    <row r="120" spans="2:4" x14ac:dyDescent="0.2">
      <c r="B120" s="1" t="s">
        <v>58</v>
      </c>
    </row>
    <row r="121" spans="2:4" x14ac:dyDescent="0.2">
      <c r="B121" s="1" t="s">
        <v>59</v>
      </c>
    </row>
    <row r="122" spans="2:4" x14ac:dyDescent="0.2">
      <c r="B122" s="1" t="s">
        <v>60</v>
      </c>
    </row>
    <row r="123" spans="2:4" x14ac:dyDescent="0.2">
      <c r="B123" s="1" t="s">
        <v>61</v>
      </c>
      <c r="C123" s="6">
        <f>500*10</f>
        <v>5000</v>
      </c>
    </row>
    <row r="124" spans="2:4" x14ac:dyDescent="0.2">
      <c r="B124" s="1" t="s">
        <v>62</v>
      </c>
      <c r="C124" s="6">
        <f>+C113</f>
        <v>4000</v>
      </c>
      <c r="D124" s="1" t="s">
        <v>92</v>
      </c>
    </row>
    <row r="125" spans="2:4" x14ac:dyDescent="0.2">
      <c r="B125" s="1" t="s">
        <v>63</v>
      </c>
      <c r="C125" s="6">
        <f>+C123-C124</f>
        <v>1000</v>
      </c>
      <c r="D125" s="1" t="s">
        <v>63</v>
      </c>
    </row>
    <row r="127" spans="2:4" x14ac:dyDescent="0.2">
      <c r="B127" s="5" t="s">
        <v>64</v>
      </c>
    </row>
    <row r="128" spans="2:4" x14ac:dyDescent="0.2">
      <c r="B128" s="1" t="s">
        <v>65</v>
      </c>
    </row>
    <row r="129" spans="2:3" x14ac:dyDescent="0.2">
      <c r="B129" s="1" t="s">
        <v>66</v>
      </c>
    </row>
    <row r="130" spans="2:3" x14ac:dyDescent="0.2">
      <c r="B130" s="1" t="s">
        <v>67</v>
      </c>
    </row>
    <row r="131" spans="2:3" x14ac:dyDescent="0.2">
      <c r="B131" s="1" t="s">
        <v>68</v>
      </c>
      <c r="C131" s="6">
        <v>15000</v>
      </c>
    </row>
    <row r="132" spans="2:3" x14ac:dyDescent="0.2">
      <c r="B132" s="1" t="s">
        <v>69</v>
      </c>
      <c r="C132" s="6">
        <f>35*1000*12</f>
        <v>420000</v>
      </c>
    </row>
    <row r="133" spans="2:3" ht="12.75" thickBot="1" x14ac:dyDescent="0.25">
      <c r="C133" s="14">
        <f>SUM(C131:C132)</f>
        <v>435000</v>
      </c>
    </row>
    <row r="134" spans="2:3" ht="12.75" thickTop="1" x14ac:dyDescent="0.2"/>
    <row r="135" spans="2:3" x14ac:dyDescent="0.2">
      <c r="B135" s="1" t="s">
        <v>70</v>
      </c>
    </row>
    <row r="136" spans="2:3" x14ac:dyDescent="0.2">
      <c r="B136" s="1" t="s">
        <v>71</v>
      </c>
    </row>
    <row r="137" spans="2:3" x14ac:dyDescent="0.2">
      <c r="B137" s="1" t="s">
        <v>129</v>
      </c>
    </row>
    <row r="139" spans="2:3" x14ac:dyDescent="0.2">
      <c r="B139" s="5" t="s">
        <v>72</v>
      </c>
    </row>
    <row r="141" spans="2:3" x14ac:dyDescent="0.2">
      <c r="B141" s="5" t="s">
        <v>73</v>
      </c>
    </row>
    <row r="142" spans="2:3" x14ac:dyDescent="0.2">
      <c r="B142" s="1" t="s">
        <v>130</v>
      </c>
    </row>
    <row r="144" spans="2:3" x14ac:dyDescent="0.2">
      <c r="B144" s="1" t="s">
        <v>83</v>
      </c>
    </row>
    <row r="145" spans="2:6" x14ac:dyDescent="0.2">
      <c r="B145" s="3">
        <v>45291</v>
      </c>
      <c r="C145" s="10">
        <v>289</v>
      </c>
      <c r="D145" s="1">
        <v>0.90900000000000003</v>
      </c>
      <c r="E145" s="6">
        <f>+C145*D145</f>
        <v>262.70100000000002</v>
      </c>
      <c r="F145" s="17"/>
    </row>
    <row r="146" spans="2:6" x14ac:dyDescent="0.2">
      <c r="B146" s="3">
        <v>45657</v>
      </c>
      <c r="C146" s="6">
        <v>823</v>
      </c>
      <c r="D146" s="1">
        <v>0.82599999999999996</v>
      </c>
      <c r="E146" s="6">
        <f t="shared" ref="E146:E148" si="0">+C146*D146</f>
        <v>679.798</v>
      </c>
    </row>
    <row r="147" spans="2:6" x14ac:dyDescent="0.2">
      <c r="B147" s="3">
        <v>46022</v>
      </c>
      <c r="C147" s="6">
        <v>796</v>
      </c>
      <c r="D147" s="1">
        <v>0.751</v>
      </c>
      <c r="E147" s="6">
        <f t="shared" si="0"/>
        <v>597.79600000000005</v>
      </c>
    </row>
    <row r="148" spans="2:6" x14ac:dyDescent="0.2">
      <c r="B148" s="3">
        <v>46387</v>
      </c>
      <c r="C148" s="6">
        <v>947</v>
      </c>
      <c r="D148" s="1">
        <v>0.68300000000000005</v>
      </c>
      <c r="E148" s="6">
        <f t="shared" si="0"/>
        <v>646.80100000000004</v>
      </c>
    </row>
    <row r="149" spans="2:6" ht="12.75" thickBot="1" x14ac:dyDescent="0.25">
      <c r="E149" s="14">
        <f>SUM(E145:E148)</f>
        <v>2187.096</v>
      </c>
    </row>
    <row r="150" spans="2:6" ht="12.75" thickTop="1" x14ac:dyDescent="0.2"/>
    <row r="151" spans="2:6" x14ac:dyDescent="0.2">
      <c r="C151" s="1" t="s">
        <v>81</v>
      </c>
    </row>
    <row r="152" spans="2:6" x14ac:dyDescent="0.2">
      <c r="B152" s="1" t="s">
        <v>33</v>
      </c>
      <c r="C152" s="6">
        <f>+C204</f>
        <v>3490</v>
      </c>
      <c r="D152" s="6"/>
    </row>
    <row r="153" spans="2:6" x14ac:dyDescent="0.2">
      <c r="B153" s="1" t="s">
        <v>78</v>
      </c>
      <c r="C153" s="6">
        <v>2000</v>
      </c>
    </row>
    <row r="154" spans="2:6" x14ac:dyDescent="0.2">
      <c r="B154" s="1" t="s">
        <v>83</v>
      </c>
      <c r="C154" s="6">
        <f>+E149</f>
        <v>2187.096</v>
      </c>
    </row>
    <row r="155" spans="2:6" x14ac:dyDescent="0.2">
      <c r="B155" s="1" t="s">
        <v>84</v>
      </c>
      <c r="C155" s="6">
        <f>+C154</f>
        <v>2187.096</v>
      </c>
    </row>
    <row r="156" spans="2:6" x14ac:dyDescent="0.2">
      <c r="B156" s="1" t="s">
        <v>131</v>
      </c>
      <c r="C156" s="6">
        <f>+C155-C152</f>
        <v>-1302.904</v>
      </c>
    </row>
    <row r="158" spans="2:6" x14ac:dyDescent="0.2">
      <c r="B158" s="1" t="s">
        <v>132</v>
      </c>
    </row>
    <row r="159" spans="2:6" x14ac:dyDescent="0.2">
      <c r="B159" s="1" t="s">
        <v>133</v>
      </c>
    </row>
    <row r="160" spans="2:6" x14ac:dyDescent="0.2">
      <c r="B160" s="1" t="s">
        <v>81</v>
      </c>
      <c r="C160" s="13" t="s">
        <v>135</v>
      </c>
      <c r="E160" s="6">
        <f>+C202/C204*C156</f>
        <v>-1078.9090429799428</v>
      </c>
    </row>
    <row r="161" spans="2:5" x14ac:dyDescent="0.2">
      <c r="B161" s="1" t="s">
        <v>134</v>
      </c>
      <c r="C161" s="13" t="s">
        <v>136</v>
      </c>
      <c r="E161" s="6">
        <f>+C203/C204*C156</f>
        <v>-223.99495702005729</v>
      </c>
    </row>
    <row r="162" spans="2:5" x14ac:dyDescent="0.2">
      <c r="B162" s="1" t="s">
        <v>131</v>
      </c>
      <c r="E162" s="6">
        <f>SUM(E160:E161)</f>
        <v>-1302.904</v>
      </c>
    </row>
    <row r="164" spans="2:5" x14ac:dyDescent="0.2">
      <c r="B164" s="1" t="s">
        <v>137</v>
      </c>
    </row>
    <row r="166" spans="2:5" x14ac:dyDescent="0.2">
      <c r="B166" s="1" t="s">
        <v>82</v>
      </c>
      <c r="D166" s="1">
        <v>600</v>
      </c>
    </row>
    <row r="167" spans="2:5" x14ac:dyDescent="0.2">
      <c r="D167" s="1">
        <v>450</v>
      </c>
    </row>
    <row r="168" spans="2:5" ht="12.75" thickBot="1" x14ac:dyDescent="0.25">
      <c r="D168" s="15">
        <f>+D166-D167</f>
        <v>150</v>
      </c>
    </row>
    <row r="169" spans="2:5" ht="12.75" thickTop="1" x14ac:dyDescent="0.2"/>
    <row r="170" spans="2:5" x14ac:dyDescent="0.2">
      <c r="B170" s="1" t="s">
        <v>138</v>
      </c>
    </row>
    <row r="172" spans="2:5" x14ac:dyDescent="0.2">
      <c r="B172" s="1" t="s">
        <v>81</v>
      </c>
      <c r="C172" s="13"/>
      <c r="E172" s="6">
        <f>+E174-E173</f>
        <v>1152.904</v>
      </c>
    </row>
    <row r="173" spans="2:5" x14ac:dyDescent="0.2">
      <c r="B173" s="1" t="s">
        <v>134</v>
      </c>
      <c r="C173" s="13"/>
      <c r="E173" s="6">
        <f>+D168</f>
        <v>150</v>
      </c>
    </row>
    <row r="174" spans="2:5" ht="12.75" thickBot="1" x14ac:dyDescent="0.25">
      <c r="B174" s="1" t="s">
        <v>131</v>
      </c>
      <c r="E174" s="14">
        <f>-+E162</f>
        <v>1302.904</v>
      </c>
    </row>
    <row r="175" spans="2:5" ht="12.75" thickTop="1" x14ac:dyDescent="0.2">
      <c r="C175" s="6"/>
    </row>
    <row r="176" spans="2:5" x14ac:dyDescent="0.2">
      <c r="B176" s="1" t="s">
        <v>36</v>
      </c>
      <c r="C176" s="6"/>
      <c r="E176" s="6">
        <f>+E174</f>
        <v>1302.904</v>
      </c>
    </row>
    <row r="177" spans="2:6" x14ac:dyDescent="0.2">
      <c r="C177" s="6" t="s">
        <v>85</v>
      </c>
      <c r="F177" s="6">
        <f>+E173</f>
        <v>150</v>
      </c>
    </row>
    <row r="178" spans="2:6" x14ac:dyDescent="0.2">
      <c r="C178" s="6" t="s">
        <v>139</v>
      </c>
      <c r="F178" s="6">
        <f>+E172</f>
        <v>1152.904</v>
      </c>
    </row>
    <row r="179" spans="2:6" x14ac:dyDescent="0.2">
      <c r="B179" s="1" t="s">
        <v>86</v>
      </c>
      <c r="C179" s="6"/>
    </row>
    <row r="182" spans="2:6" x14ac:dyDescent="0.2">
      <c r="B182" s="5" t="s">
        <v>74</v>
      </c>
    </row>
    <row r="183" spans="2:6" x14ac:dyDescent="0.2">
      <c r="B183" s="1" t="s">
        <v>33</v>
      </c>
      <c r="C183" s="6">
        <f>+D204</f>
        <v>2900</v>
      </c>
    </row>
    <row r="184" spans="2:6" x14ac:dyDescent="0.2">
      <c r="B184" s="1" t="s">
        <v>78</v>
      </c>
      <c r="C184" s="6">
        <v>2750</v>
      </c>
    </row>
    <row r="185" spans="2:6" x14ac:dyDescent="0.2">
      <c r="B185" s="1" t="s">
        <v>83</v>
      </c>
      <c r="C185" s="6">
        <f>+E198</f>
        <v>2312.2910000000002</v>
      </c>
    </row>
    <row r="186" spans="2:6" x14ac:dyDescent="0.2">
      <c r="B186" s="1" t="s">
        <v>89</v>
      </c>
      <c r="C186" s="6">
        <f>+C184</f>
        <v>2750</v>
      </c>
    </row>
    <row r="187" spans="2:6" x14ac:dyDescent="0.2">
      <c r="B187" s="1" t="s">
        <v>79</v>
      </c>
      <c r="C187" s="6">
        <f>+C186-C183</f>
        <v>-150</v>
      </c>
    </row>
    <row r="188" spans="2:6" x14ac:dyDescent="0.2">
      <c r="C188" s="6"/>
    </row>
    <row r="189" spans="2:6" x14ac:dyDescent="0.2">
      <c r="B189" s="1" t="s">
        <v>87</v>
      </c>
    </row>
    <row r="190" spans="2:6" x14ac:dyDescent="0.2">
      <c r="B190" s="13" t="s">
        <v>88</v>
      </c>
    </row>
    <row r="191" spans="2:6" x14ac:dyDescent="0.2">
      <c r="C191" s="6"/>
    </row>
    <row r="192" spans="2:6" x14ac:dyDescent="0.2">
      <c r="B192" s="1" t="s">
        <v>83</v>
      </c>
    </row>
    <row r="193" spans="2:7" x14ac:dyDescent="0.2">
      <c r="B193" s="3">
        <v>45291</v>
      </c>
      <c r="C193" s="6">
        <v>552</v>
      </c>
      <c r="D193" s="1">
        <v>0.90900000000000003</v>
      </c>
      <c r="E193" s="6">
        <f>+C193*D193</f>
        <v>501.76800000000003</v>
      </c>
      <c r="G193" s="9"/>
    </row>
    <row r="194" spans="2:7" x14ac:dyDescent="0.2">
      <c r="B194" s="3">
        <v>45657</v>
      </c>
      <c r="C194" s="6">
        <v>580</v>
      </c>
      <c r="D194" s="1">
        <v>0.82599999999999996</v>
      </c>
      <c r="E194" s="6">
        <f t="shared" ref="E194:E197" si="1">+C194*D194</f>
        <v>479.08</v>
      </c>
      <c r="G194" s="9"/>
    </row>
    <row r="195" spans="2:7" x14ac:dyDescent="0.2">
      <c r="B195" s="3">
        <v>46022</v>
      </c>
      <c r="C195" s="6">
        <v>650</v>
      </c>
      <c r="D195" s="1">
        <v>0.751</v>
      </c>
      <c r="E195" s="6">
        <f t="shared" si="1"/>
        <v>488.15</v>
      </c>
      <c r="G195" s="9"/>
    </row>
    <row r="196" spans="2:7" x14ac:dyDescent="0.2">
      <c r="B196" s="3">
        <v>46387</v>
      </c>
      <c r="C196" s="6">
        <v>871</v>
      </c>
      <c r="D196" s="1">
        <v>0.68300000000000005</v>
      </c>
      <c r="E196" s="6">
        <f t="shared" si="1"/>
        <v>594.89300000000003</v>
      </c>
      <c r="G196" s="9"/>
    </row>
    <row r="197" spans="2:7" x14ac:dyDescent="0.2">
      <c r="B197" s="3">
        <v>46752</v>
      </c>
      <c r="C197" s="6">
        <f>1104-704</f>
        <v>400</v>
      </c>
      <c r="D197" s="1">
        <v>0.621</v>
      </c>
      <c r="E197" s="6">
        <f t="shared" si="1"/>
        <v>248.4</v>
      </c>
      <c r="G197" s="9"/>
    </row>
    <row r="198" spans="2:7" ht="12.75" thickBot="1" x14ac:dyDescent="0.25">
      <c r="E198" s="14">
        <f>SUM(E193:E197)</f>
        <v>2312.2910000000002</v>
      </c>
      <c r="G198" s="9"/>
    </row>
    <row r="199" spans="2:7" ht="12.75" thickTop="1" x14ac:dyDescent="0.2">
      <c r="E199" s="18"/>
      <c r="G199" s="9"/>
    </row>
    <row r="200" spans="2:7" x14ac:dyDescent="0.2">
      <c r="C200" s="1" t="s">
        <v>73</v>
      </c>
      <c r="D200" s="1" t="s">
        <v>74</v>
      </c>
    </row>
    <row r="201" spans="2:7" x14ac:dyDescent="0.2">
      <c r="C201" s="11" t="s">
        <v>44</v>
      </c>
      <c r="D201" s="11" t="s">
        <v>44</v>
      </c>
    </row>
    <row r="202" spans="2:7" x14ac:dyDescent="0.2">
      <c r="B202" s="1" t="s">
        <v>76</v>
      </c>
      <c r="C202" s="6">
        <v>2890</v>
      </c>
      <c r="D202" s="6">
        <v>2900</v>
      </c>
      <c r="E202" s="6">
        <f>SUM(C202:D202)</f>
        <v>5790</v>
      </c>
    </row>
    <row r="203" spans="2:7" x14ac:dyDescent="0.2">
      <c r="B203" s="1" t="s">
        <v>75</v>
      </c>
      <c r="C203" s="6">
        <v>600</v>
      </c>
      <c r="D203" s="6">
        <v>0</v>
      </c>
      <c r="E203" s="6">
        <f t="shared" ref="E203:E204" si="2">SUM(C203:D203)</f>
        <v>600</v>
      </c>
    </row>
    <row r="204" spans="2:7" ht="12.75" thickBot="1" x14ac:dyDescent="0.25">
      <c r="B204" s="1" t="s">
        <v>26</v>
      </c>
      <c r="C204" s="15">
        <f>SUM(C202:C203)</f>
        <v>3490</v>
      </c>
      <c r="D204" s="15">
        <f>SUM(D202:D203)</f>
        <v>2900</v>
      </c>
      <c r="E204" s="6">
        <f t="shared" si="2"/>
        <v>6390</v>
      </c>
    </row>
    <row r="205" spans="2:7" ht="12.75" thickTop="1" x14ac:dyDescent="0.2">
      <c r="C205" s="6"/>
    </row>
    <row r="206" spans="2:7" x14ac:dyDescent="0.2">
      <c r="B206" s="1" t="s">
        <v>90</v>
      </c>
      <c r="C206" s="6"/>
      <c r="E206" s="6">
        <f>-C187</f>
        <v>150</v>
      </c>
    </row>
    <row r="207" spans="2:7" x14ac:dyDescent="0.2">
      <c r="C207" s="6" t="s">
        <v>91</v>
      </c>
      <c r="F207" s="6">
        <f>+E206</f>
        <v>150</v>
      </c>
    </row>
    <row r="208" spans="2:7" x14ac:dyDescent="0.2">
      <c r="B208" s="1" t="s">
        <v>140</v>
      </c>
      <c r="C208" s="6"/>
      <c r="G208" s="16" t="s">
        <v>142</v>
      </c>
    </row>
    <row r="210" spans="2:6" x14ac:dyDescent="0.2">
      <c r="B210" s="1" t="s">
        <v>141</v>
      </c>
    </row>
    <row r="212" spans="2:6" x14ac:dyDescent="0.2">
      <c r="B212" s="1" t="s">
        <v>33</v>
      </c>
      <c r="E212" s="6">
        <f>+E204</f>
        <v>6390</v>
      </c>
    </row>
    <row r="213" spans="2:6" x14ac:dyDescent="0.2">
      <c r="B213" s="1" t="s">
        <v>79</v>
      </c>
      <c r="E213" s="6">
        <f>(+E176+E206)*-1</f>
        <v>-1452.904</v>
      </c>
    </row>
    <row r="214" spans="2:6" x14ac:dyDescent="0.2">
      <c r="B214" s="1" t="s">
        <v>77</v>
      </c>
      <c r="E214" s="6">
        <v>600</v>
      </c>
    </row>
    <row r="215" spans="2:6" x14ac:dyDescent="0.2">
      <c r="B215" s="1" t="s">
        <v>143</v>
      </c>
      <c r="E215" s="6">
        <f>SUM(E212:E214)</f>
        <v>5537.0959999999995</v>
      </c>
    </row>
    <row r="216" spans="2:6" x14ac:dyDescent="0.2">
      <c r="B216" s="1" t="s">
        <v>78</v>
      </c>
      <c r="E216" s="6">
        <v>5100</v>
      </c>
    </row>
    <row r="217" spans="2:6" x14ac:dyDescent="0.2">
      <c r="B217" s="1" t="s">
        <v>144</v>
      </c>
      <c r="E217" s="6">
        <f>+E216-E215</f>
        <v>-437.09599999999955</v>
      </c>
    </row>
    <row r="219" spans="2:6" x14ac:dyDescent="0.2">
      <c r="B219" s="1" t="s">
        <v>145</v>
      </c>
    </row>
    <row r="220" spans="2:6" x14ac:dyDescent="0.2">
      <c r="E220" s="6"/>
    </row>
    <row r="221" spans="2:6" x14ac:dyDescent="0.2">
      <c r="B221" s="1" t="s">
        <v>36</v>
      </c>
      <c r="E221" s="6">
        <f>-E217</f>
        <v>437.09599999999955</v>
      </c>
    </row>
    <row r="222" spans="2:6" x14ac:dyDescent="0.2">
      <c r="C222" s="1" t="s">
        <v>80</v>
      </c>
      <c r="F222" s="6">
        <f>-E221</f>
        <v>-437.09599999999955</v>
      </c>
    </row>
    <row r="223" spans="2:6" x14ac:dyDescent="0.2">
      <c r="B223" s="1" t="s">
        <v>146</v>
      </c>
    </row>
  </sheetData>
  <hyperlinks>
    <hyperlink ref="A1" location="Main!A1" display="Main" xr:uid="{D464F07E-7EBF-435F-A4E5-C2BFEBDE47C2}"/>
  </hyperlinks>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0725F9-0EB8-4956-BDD1-479385A3CF15}">
  <dimension ref="A1:H136"/>
  <sheetViews>
    <sheetView topLeftCell="A104" zoomScale="145" zoomScaleNormal="145" workbookViewId="0">
      <selection activeCell="G148" sqref="G148"/>
    </sheetView>
  </sheetViews>
  <sheetFormatPr defaultRowHeight="12" x14ac:dyDescent="0.2"/>
  <cols>
    <col min="1" max="16384" width="9.140625" style="1"/>
  </cols>
  <sheetData>
    <row r="1" spans="1:5" ht="15" x14ac:dyDescent="0.25">
      <c r="A1" s="2" t="s">
        <v>0</v>
      </c>
    </row>
    <row r="3" spans="1:5" x14ac:dyDescent="0.2">
      <c r="B3" s="1" t="s">
        <v>546</v>
      </c>
    </row>
    <row r="4" spans="1:5" x14ac:dyDescent="0.2">
      <c r="B4" s="1" t="s">
        <v>5</v>
      </c>
      <c r="C4" s="3">
        <v>44834</v>
      </c>
    </row>
    <row r="7" spans="1:5" x14ac:dyDescent="0.2">
      <c r="B7" s="1" t="s">
        <v>9</v>
      </c>
    </row>
    <row r="8" spans="1:5" x14ac:dyDescent="0.2">
      <c r="B8" s="1" t="s">
        <v>547</v>
      </c>
    </row>
    <row r="11" spans="1:5" x14ac:dyDescent="0.2">
      <c r="B11" s="5" t="s">
        <v>548</v>
      </c>
      <c r="D11" s="1" t="s">
        <v>44</v>
      </c>
    </row>
    <row r="12" spans="1:5" x14ac:dyDescent="0.2">
      <c r="B12" s="1" t="s">
        <v>217</v>
      </c>
      <c r="C12" s="1">
        <v>2017</v>
      </c>
      <c r="D12" s="1">
        <v>1000</v>
      </c>
    </row>
    <row r="13" spans="1:5" x14ac:dyDescent="0.2">
      <c r="B13" s="1" t="s">
        <v>549</v>
      </c>
    </row>
    <row r="14" spans="1:5" x14ac:dyDescent="0.2">
      <c r="B14" s="1" t="s">
        <v>306</v>
      </c>
      <c r="C14" s="3">
        <v>44470</v>
      </c>
      <c r="D14" s="1">
        <v>600</v>
      </c>
    </row>
    <row r="15" spans="1:5" x14ac:dyDescent="0.2">
      <c r="B15" s="1" t="s">
        <v>550</v>
      </c>
      <c r="D15" s="1">
        <f>10*12</f>
        <v>120</v>
      </c>
      <c r="E15" s="1" t="s">
        <v>52</v>
      </c>
    </row>
    <row r="16" spans="1:5" x14ac:dyDescent="0.2">
      <c r="B16" s="1" t="s">
        <v>551</v>
      </c>
      <c r="C16" s="3">
        <v>44652</v>
      </c>
      <c r="D16" s="1">
        <f>2*12</f>
        <v>24</v>
      </c>
      <c r="E16" s="1" t="s">
        <v>52</v>
      </c>
    </row>
    <row r="18" spans="2:6" x14ac:dyDescent="0.2">
      <c r="B18" s="1" t="s">
        <v>552</v>
      </c>
    </row>
    <row r="20" spans="2:6" x14ac:dyDescent="0.2">
      <c r="B20" s="1" t="s">
        <v>553</v>
      </c>
    </row>
    <row r="23" spans="2:6" x14ac:dyDescent="0.2">
      <c r="B23" s="1" t="s">
        <v>554</v>
      </c>
      <c r="C23" s="3">
        <v>44835</v>
      </c>
      <c r="D23" s="6">
        <f>YEARFRAC(C23,C16)*12</f>
        <v>6</v>
      </c>
      <c r="E23" s="6">
        <f>+D12*D23/D15</f>
        <v>50</v>
      </c>
      <c r="F23" s="13" t="s">
        <v>560</v>
      </c>
    </row>
    <row r="24" spans="2:6" x14ac:dyDescent="0.2">
      <c r="B24" s="1" t="s">
        <v>555</v>
      </c>
      <c r="D24" s="6">
        <f>+YEARFRAC(C16,C4)*12</f>
        <v>5.9666666666666668</v>
      </c>
      <c r="E24" s="6">
        <f>+D14*D24/D16</f>
        <v>149.16666666666666</v>
      </c>
      <c r="F24" s="13" t="s">
        <v>559</v>
      </c>
    </row>
    <row r="25" spans="2:6" x14ac:dyDescent="0.2">
      <c r="E25" s="6">
        <f>SUM(E23:E24)</f>
        <v>199.16666666666666</v>
      </c>
    </row>
    <row r="27" spans="2:6" x14ac:dyDescent="0.2">
      <c r="B27" s="1" t="s">
        <v>556</v>
      </c>
      <c r="E27" s="6">
        <f>+E25</f>
        <v>199.16666666666666</v>
      </c>
    </row>
    <row r="28" spans="2:6" x14ac:dyDescent="0.2">
      <c r="C28" s="1" t="s">
        <v>557</v>
      </c>
      <c r="F28" s="6">
        <f>+E27</f>
        <v>199.16666666666666</v>
      </c>
    </row>
    <row r="29" spans="2:6" x14ac:dyDescent="0.2">
      <c r="B29" s="1" t="s">
        <v>558</v>
      </c>
    </row>
    <row r="32" spans="2:6" x14ac:dyDescent="0.2">
      <c r="B32" s="1" t="s">
        <v>561</v>
      </c>
    </row>
    <row r="33" spans="2:5" x14ac:dyDescent="0.2">
      <c r="B33" s="1" t="s">
        <v>571</v>
      </c>
      <c r="C33" s="1" t="s">
        <v>569</v>
      </c>
      <c r="D33" s="1">
        <v>800</v>
      </c>
      <c r="E33" s="1" t="s">
        <v>580</v>
      </c>
    </row>
    <row r="34" spans="2:5" x14ac:dyDescent="0.2">
      <c r="B34" s="1" t="s">
        <v>571</v>
      </c>
      <c r="C34" s="1" t="s">
        <v>568</v>
      </c>
      <c r="D34" s="1">
        <v>17</v>
      </c>
      <c r="E34" s="1" t="s">
        <v>581</v>
      </c>
    </row>
    <row r="35" spans="2:5" x14ac:dyDescent="0.2">
      <c r="B35" s="1" t="s">
        <v>572</v>
      </c>
      <c r="C35" s="1" t="s">
        <v>567</v>
      </c>
      <c r="D35" s="1">
        <v>960</v>
      </c>
      <c r="E35" s="1" t="s">
        <v>580</v>
      </c>
    </row>
    <row r="36" spans="2:5" x14ac:dyDescent="0.2">
      <c r="B36" s="1" t="s">
        <v>573</v>
      </c>
      <c r="C36" s="1" t="s">
        <v>566</v>
      </c>
      <c r="D36" s="1">
        <v>45</v>
      </c>
      <c r="E36" s="1" t="s">
        <v>582</v>
      </c>
    </row>
    <row r="37" spans="2:5" x14ac:dyDescent="0.2">
      <c r="B37" s="1" t="s">
        <v>570</v>
      </c>
      <c r="C37" s="1" t="s">
        <v>565</v>
      </c>
      <c r="D37" s="1">
        <v>192</v>
      </c>
      <c r="E37" s="1" t="s">
        <v>583</v>
      </c>
    </row>
    <row r="38" spans="2:5" x14ac:dyDescent="0.2">
      <c r="B38" s="1" t="s">
        <v>570</v>
      </c>
      <c r="C38" s="1" t="s">
        <v>564</v>
      </c>
      <c r="D38" s="1">
        <v>4050</v>
      </c>
      <c r="E38" s="1" t="s">
        <v>584</v>
      </c>
    </row>
    <row r="39" spans="2:5" x14ac:dyDescent="0.2">
      <c r="B39" s="1" t="s">
        <v>574</v>
      </c>
      <c r="C39" s="1" t="s">
        <v>563</v>
      </c>
      <c r="D39" s="1">
        <v>98</v>
      </c>
      <c r="E39" s="1" t="s">
        <v>580</v>
      </c>
    </row>
    <row r="40" spans="2:5" x14ac:dyDescent="0.2">
      <c r="B40" s="1" t="s">
        <v>575</v>
      </c>
      <c r="C40" s="1" t="s">
        <v>562</v>
      </c>
      <c r="D40" s="1">
        <v>138</v>
      </c>
      <c r="E40" s="1" t="s">
        <v>580</v>
      </c>
    </row>
    <row r="41" spans="2:5" x14ac:dyDescent="0.2">
      <c r="D41" s="1">
        <f>SUM(D33:D40)</f>
        <v>6300</v>
      </c>
    </row>
    <row r="42" spans="2:5" x14ac:dyDescent="0.2">
      <c r="B42" s="1" t="s">
        <v>576</v>
      </c>
    </row>
    <row r="43" spans="2:5" x14ac:dyDescent="0.2">
      <c r="D43" s="1">
        <f>-D36</f>
        <v>-45</v>
      </c>
    </row>
    <row r="44" spans="2:5" x14ac:dyDescent="0.2">
      <c r="B44" s="1" t="s">
        <v>585</v>
      </c>
      <c r="D44" s="1">
        <f>SUM(D41:D43)</f>
        <v>6255</v>
      </c>
    </row>
    <row r="47" spans="2:5" x14ac:dyDescent="0.2">
      <c r="B47" s="1" t="s">
        <v>577</v>
      </c>
    </row>
    <row r="48" spans="2:5" x14ac:dyDescent="0.2">
      <c r="B48" s="1" t="s">
        <v>578</v>
      </c>
    </row>
    <row r="49" spans="2:6" x14ac:dyDescent="0.2">
      <c r="B49" s="1" t="s">
        <v>579</v>
      </c>
    </row>
    <row r="51" spans="2:6" x14ac:dyDescent="0.2">
      <c r="B51" s="1" t="s">
        <v>586</v>
      </c>
      <c r="E51" s="1">
        <f>+D36</f>
        <v>45</v>
      </c>
    </row>
    <row r="52" spans="2:6" x14ac:dyDescent="0.2">
      <c r="C52" s="1" t="s">
        <v>588</v>
      </c>
      <c r="F52" s="1">
        <f>+E51</f>
        <v>45</v>
      </c>
    </row>
    <row r="53" spans="2:6" x14ac:dyDescent="0.2">
      <c r="B53" s="1" t="s">
        <v>589</v>
      </c>
    </row>
    <row r="55" spans="2:6" x14ac:dyDescent="0.2">
      <c r="B55" s="1" t="s">
        <v>590</v>
      </c>
      <c r="E55" s="1">
        <f>+D44</f>
        <v>6255</v>
      </c>
    </row>
    <row r="56" spans="2:6" x14ac:dyDescent="0.2">
      <c r="C56" s="1" t="s">
        <v>588</v>
      </c>
      <c r="F56" s="1">
        <f>+E55</f>
        <v>6255</v>
      </c>
    </row>
    <row r="57" spans="2:6" x14ac:dyDescent="0.2">
      <c r="B57" s="1" t="s">
        <v>591</v>
      </c>
    </row>
    <row r="60" spans="2:6" x14ac:dyDescent="0.2">
      <c r="B60" s="1" t="s">
        <v>592</v>
      </c>
    </row>
    <row r="61" spans="2:6" x14ac:dyDescent="0.2">
      <c r="B61" s="1" t="s">
        <v>593</v>
      </c>
      <c r="C61" s="3">
        <v>44501</v>
      </c>
    </row>
    <row r="62" spans="2:6" x14ac:dyDescent="0.2">
      <c r="B62" s="1" t="s">
        <v>594</v>
      </c>
      <c r="C62" s="3">
        <v>44652</v>
      </c>
    </row>
    <row r="63" spans="2:6" x14ac:dyDescent="0.2">
      <c r="B63" s="1" t="s">
        <v>595</v>
      </c>
      <c r="C63" s="3">
        <v>44712</v>
      </c>
    </row>
    <row r="65" spans="2:6" x14ac:dyDescent="0.2">
      <c r="B65" s="1" t="s">
        <v>596</v>
      </c>
    </row>
    <row r="68" spans="2:6" x14ac:dyDescent="0.2">
      <c r="B68" s="1" t="s">
        <v>598</v>
      </c>
      <c r="E68" s="1">
        <f>SUM(D33:D35)</f>
        <v>1777</v>
      </c>
    </row>
    <row r="69" spans="2:6" x14ac:dyDescent="0.2">
      <c r="C69" s="1" t="s">
        <v>587</v>
      </c>
      <c r="F69" s="1">
        <f>+E68</f>
        <v>1777</v>
      </c>
    </row>
    <row r="70" spans="2:6" x14ac:dyDescent="0.2">
      <c r="B70" s="1" t="s">
        <v>599</v>
      </c>
    </row>
    <row r="72" spans="2:6" x14ac:dyDescent="0.2">
      <c r="B72" s="1" t="s">
        <v>600</v>
      </c>
      <c r="E72" s="1">
        <f>+SUM(D44-E68)</f>
        <v>4478</v>
      </c>
    </row>
    <row r="73" spans="2:6" x14ac:dyDescent="0.2">
      <c r="C73" s="1" t="s">
        <v>601</v>
      </c>
      <c r="F73" s="1">
        <f>+E72</f>
        <v>4478</v>
      </c>
    </row>
    <row r="74" spans="2:6" x14ac:dyDescent="0.2">
      <c r="B74" s="1" t="s">
        <v>602</v>
      </c>
    </row>
    <row r="76" spans="2:6" x14ac:dyDescent="0.2">
      <c r="B76" s="1" t="s">
        <v>603</v>
      </c>
    </row>
    <row r="77" spans="2:6" x14ac:dyDescent="0.2">
      <c r="B77" s="1" t="s">
        <v>604</v>
      </c>
    </row>
    <row r="79" spans="2:6" x14ac:dyDescent="0.2">
      <c r="B79" s="1" t="s">
        <v>605</v>
      </c>
    </row>
    <row r="80" spans="2:6" x14ac:dyDescent="0.2">
      <c r="B80" s="1" t="s">
        <v>217</v>
      </c>
      <c r="C80" s="3">
        <v>44713</v>
      </c>
      <c r="D80" s="6">
        <v>4050</v>
      </c>
    </row>
    <row r="81" spans="2:6" x14ac:dyDescent="0.2">
      <c r="B81" s="1" t="s">
        <v>299</v>
      </c>
      <c r="D81" s="1">
        <v>150</v>
      </c>
    </row>
    <row r="82" spans="2:6" x14ac:dyDescent="0.2">
      <c r="B82" s="1" t="s">
        <v>606</v>
      </c>
      <c r="D82" s="1">
        <f>8*12</f>
        <v>96</v>
      </c>
      <c r="E82" s="1" t="s">
        <v>52</v>
      </c>
    </row>
    <row r="83" spans="2:6" x14ac:dyDescent="0.2">
      <c r="B83" s="1" t="s">
        <v>608</v>
      </c>
      <c r="C83" s="3">
        <v>44804</v>
      </c>
      <c r="D83" s="1">
        <f>+YEARFRAC(C80,C83)*12</f>
        <v>3</v>
      </c>
    </row>
    <row r="84" spans="2:6" x14ac:dyDescent="0.2">
      <c r="B84" s="1" t="s">
        <v>609</v>
      </c>
      <c r="C84" s="3"/>
      <c r="D84" s="1">
        <f>+YEARFRAC(C83,C4)*12</f>
        <v>1</v>
      </c>
    </row>
    <row r="86" spans="2:6" x14ac:dyDescent="0.2">
      <c r="B86" s="1" t="s">
        <v>597</v>
      </c>
      <c r="D86" s="6">
        <f>+(D80-D81)*D83/D82</f>
        <v>121.875</v>
      </c>
    </row>
    <row r="87" spans="2:6" x14ac:dyDescent="0.2">
      <c r="B87" s="1" t="s">
        <v>607</v>
      </c>
      <c r="D87" s="6">
        <f>+(D80-D81)*D84/D82</f>
        <v>40.625</v>
      </c>
    </row>
    <row r="88" spans="2:6" x14ac:dyDescent="0.2">
      <c r="D88" s="6"/>
    </row>
    <row r="89" spans="2:6" x14ac:dyDescent="0.2">
      <c r="B89" s="1" t="s">
        <v>610</v>
      </c>
      <c r="E89" s="6">
        <f>+D86</f>
        <v>121.875</v>
      </c>
    </row>
    <row r="90" spans="2:6" x14ac:dyDescent="0.2">
      <c r="B90" s="1" t="s">
        <v>611</v>
      </c>
      <c r="E90" s="6">
        <f>+D87</f>
        <v>40.625</v>
      </c>
    </row>
    <row r="91" spans="2:6" x14ac:dyDescent="0.2">
      <c r="C91" s="1" t="s">
        <v>612</v>
      </c>
      <c r="F91" s="6">
        <f>+E89</f>
        <v>121.875</v>
      </c>
    </row>
    <row r="92" spans="2:6" x14ac:dyDescent="0.2">
      <c r="C92" s="1" t="s">
        <v>311</v>
      </c>
      <c r="F92" s="6">
        <f>+E90</f>
        <v>40.625</v>
      </c>
    </row>
    <row r="93" spans="2:6" x14ac:dyDescent="0.2">
      <c r="B93" s="1" t="s">
        <v>613</v>
      </c>
    </row>
    <row r="96" spans="2:6" x14ac:dyDescent="0.2">
      <c r="B96" s="1" t="s">
        <v>49</v>
      </c>
    </row>
    <row r="97" spans="2:5" x14ac:dyDescent="0.2">
      <c r="B97" s="1" t="s">
        <v>306</v>
      </c>
      <c r="C97" s="1" t="s">
        <v>614</v>
      </c>
      <c r="D97" s="1" t="s">
        <v>615</v>
      </c>
      <c r="E97" s="1" t="s">
        <v>616</v>
      </c>
    </row>
    <row r="98" spans="2:5" x14ac:dyDescent="0.2">
      <c r="B98" s="1" t="s">
        <v>607</v>
      </c>
      <c r="C98" s="6">
        <v>56840</v>
      </c>
      <c r="D98" s="6">
        <v>86420</v>
      </c>
      <c r="E98" s="6">
        <v>32450.000000000004</v>
      </c>
    </row>
    <row r="99" spans="2:5" x14ac:dyDescent="0.2">
      <c r="B99" s="1" t="s">
        <v>618</v>
      </c>
      <c r="C99" s="6">
        <v>2000</v>
      </c>
      <c r="D99" s="6">
        <v>0</v>
      </c>
      <c r="E99" s="6">
        <v>6540</v>
      </c>
    </row>
    <row r="100" spans="2:5" x14ac:dyDescent="0.2">
      <c r="B100" s="1" t="s">
        <v>617</v>
      </c>
      <c r="C100" s="6">
        <v>1600</v>
      </c>
      <c r="D100" s="6">
        <v>4800</v>
      </c>
      <c r="E100" s="6">
        <v>1600</v>
      </c>
    </row>
    <row r="101" spans="2:5" ht="12.75" thickBot="1" x14ac:dyDescent="0.25">
      <c r="C101" s="14">
        <f>SUM(C98:C100)</f>
        <v>60440</v>
      </c>
      <c r="D101" s="14">
        <f>SUM(D98:D100)</f>
        <v>91220</v>
      </c>
      <c r="E101" s="14">
        <f>SUM(E98:E100)</f>
        <v>40590</v>
      </c>
    </row>
    <row r="102" spans="2:5" ht="12.75" thickTop="1" x14ac:dyDescent="0.2">
      <c r="C102" s="6"/>
      <c r="D102" s="6"/>
      <c r="E102" s="6"/>
    </row>
    <row r="103" spans="2:5" x14ac:dyDescent="0.2">
      <c r="B103" s="1" t="s">
        <v>78</v>
      </c>
      <c r="C103" s="6">
        <v>62560</v>
      </c>
      <c r="D103" s="6">
        <v>82800</v>
      </c>
      <c r="E103" s="6">
        <v>36800</v>
      </c>
    </row>
    <row r="104" spans="2:5" x14ac:dyDescent="0.2">
      <c r="C104" s="6"/>
      <c r="D104" s="6"/>
      <c r="E104" s="6"/>
    </row>
    <row r="105" spans="2:5" hidden="1" x14ac:dyDescent="0.2">
      <c r="B105" s="3">
        <v>45199</v>
      </c>
      <c r="C105" s="6">
        <v>16000</v>
      </c>
      <c r="D105" s="6">
        <v>24500</v>
      </c>
      <c r="E105" s="6">
        <v>11500</v>
      </c>
    </row>
    <row r="106" spans="2:5" hidden="1" x14ac:dyDescent="0.2">
      <c r="B106" s="3">
        <v>45565</v>
      </c>
      <c r="C106" s="6">
        <v>17000</v>
      </c>
      <c r="D106" s="6">
        <v>24000</v>
      </c>
      <c r="E106" s="6">
        <v>11000</v>
      </c>
    </row>
    <row r="107" spans="2:5" hidden="1" x14ac:dyDescent="0.2">
      <c r="B107" s="3">
        <v>45930</v>
      </c>
      <c r="C107" s="6">
        <v>17000</v>
      </c>
      <c r="D107" s="6">
        <v>20500</v>
      </c>
      <c r="E107" s="6">
        <v>10000</v>
      </c>
    </row>
    <row r="108" spans="2:5" hidden="1" x14ac:dyDescent="0.2">
      <c r="B108" s="3">
        <v>46295</v>
      </c>
      <c r="C108" s="6">
        <v>10000</v>
      </c>
      <c r="D108" s="6">
        <v>18000</v>
      </c>
      <c r="E108" s="6">
        <v>8000</v>
      </c>
    </row>
    <row r="109" spans="2:5" hidden="1" x14ac:dyDescent="0.2">
      <c r="B109" s="3">
        <v>46660</v>
      </c>
      <c r="C109" s="6">
        <v>8000</v>
      </c>
      <c r="D109" s="6">
        <v>12000</v>
      </c>
      <c r="E109" s="6">
        <v>0</v>
      </c>
    </row>
    <row r="110" spans="2:5" ht="12.75" thickBot="1" x14ac:dyDescent="0.25">
      <c r="B110" s="1" t="s">
        <v>83</v>
      </c>
      <c r="C110" s="14">
        <f>NPV(0.065,C105:C109)</f>
        <v>57697.394147263178</v>
      </c>
      <c r="D110" s="14">
        <f t="shared" ref="D110:E110" si="0">NPV(0.065,D105:D109)</f>
        <v>83885.809678484176</v>
      </c>
      <c r="E110" s="14">
        <f t="shared" si="0"/>
        <v>34993.449821387941</v>
      </c>
    </row>
    <row r="111" spans="2:5" ht="12.75" thickTop="1" x14ac:dyDescent="0.2">
      <c r="C111" s="18"/>
      <c r="D111" s="18"/>
      <c r="E111" s="18"/>
    </row>
    <row r="112" spans="2:5" x14ac:dyDescent="0.2">
      <c r="B112" s="1" t="s">
        <v>253</v>
      </c>
      <c r="C112" s="18">
        <f>MAX(C103,C110)</f>
        <v>62560</v>
      </c>
      <c r="D112" s="18">
        <f t="shared" ref="D112:E112" si="1">MAX(D103,D110)</f>
        <v>83885.809678484176</v>
      </c>
      <c r="E112" s="18">
        <f t="shared" si="1"/>
        <v>36800</v>
      </c>
    </row>
    <row r="113" spans="2:8" x14ac:dyDescent="0.2">
      <c r="B113" s="1" t="s">
        <v>131</v>
      </c>
      <c r="C113" s="6">
        <v>0</v>
      </c>
      <c r="D113" s="6">
        <f>MAX(D110,D103)-D101</f>
        <v>-7334.1903215158236</v>
      </c>
      <c r="E113" s="6">
        <f>MAX(E110,E103)-E101</f>
        <v>-3790</v>
      </c>
    </row>
    <row r="114" spans="2:8" x14ac:dyDescent="0.2">
      <c r="C114" s="6"/>
      <c r="D114" s="6"/>
      <c r="E114" s="6"/>
    </row>
    <row r="115" spans="2:8" x14ac:dyDescent="0.2">
      <c r="B115" s="1" t="s">
        <v>620</v>
      </c>
      <c r="C115" s="6"/>
      <c r="D115" s="6"/>
      <c r="E115" s="6"/>
    </row>
    <row r="116" spans="2:8" x14ac:dyDescent="0.2">
      <c r="B116" s="1" t="s">
        <v>607</v>
      </c>
      <c r="C116" s="6"/>
      <c r="D116" s="6"/>
      <c r="E116" s="6">
        <f>-$E$113*F116</f>
        <v>3179.3422025129344</v>
      </c>
      <c r="F116" s="4">
        <f>(E98+E100)/E101</f>
        <v>0.83887657058388765</v>
      </c>
      <c r="H116" s="1" t="s">
        <v>630</v>
      </c>
    </row>
    <row r="117" spans="2:8" x14ac:dyDescent="0.2">
      <c r="B117" s="1" t="s">
        <v>597</v>
      </c>
      <c r="C117" s="6"/>
      <c r="D117" s="6"/>
      <c r="E117" s="6">
        <f>-$E$113*F117</f>
        <v>610.65779748706586</v>
      </c>
      <c r="F117" s="4">
        <f>+E99/E101</f>
        <v>0.16112342941611235</v>
      </c>
      <c r="H117" s="1" t="s">
        <v>631</v>
      </c>
    </row>
    <row r="118" spans="2:8" x14ac:dyDescent="0.2">
      <c r="B118" s="1" t="s">
        <v>131</v>
      </c>
      <c r="C118" s="6"/>
      <c r="D118" s="6"/>
      <c r="E118" s="6">
        <f>SUM(E116:E117)</f>
        <v>3790</v>
      </c>
      <c r="H118" s="1" t="s">
        <v>632</v>
      </c>
    </row>
    <row r="119" spans="2:8" x14ac:dyDescent="0.2">
      <c r="C119" s="6"/>
      <c r="D119" s="6"/>
      <c r="E119" s="6"/>
    </row>
    <row r="120" spans="2:8" x14ac:dyDescent="0.2">
      <c r="B120" s="1" t="s">
        <v>621</v>
      </c>
      <c r="C120" s="6" t="str">
        <f>+C97</f>
        <v>Antrim</v>
      </c>
      <c r="D120" s="6" t="str">
        <f t="shared" ref="D120:E120" si="2">+D97</f>
        <v>Down</v>
      </c>
      <c r="E120" s="6" t="str">
        <f t="shared" si="2"/>
        <v>Tyrone</v>
      </c>
    </row>
    <row r="121" spans="2:8" x14ac:dyDescent="0.2">
      <c r="B121" s="1" t="s">
        <v>607</v>
      </c>
      <c r="C121" s="6"/>
      <c r="D121" s="6">
        <f>-D113</f>
        <v>7334.1903215158236</v>
      </c>
      <c r="E121" s="6">
        <f>+E123-E122</f>
        <v>3250</v>
      </c>
    </row>
    <row r="122" spans="2:8" x14ac:dyDescent="0.2">
      <c r="B122" s="1" t="s">
        <v>622</v>
      </c>
      <c r="C122" s="6"/>
      <c r="D122" s="6"/>
      <c r="E122" s="6">
        <f>+E99-6000</f>
        <v>540</v>
      </c>
      <c r="F122" s="1" t="s">
        <v>623</v>
      </c>
    </row>
    <row r="123" spans="2:8" x14ac:dyDescent="0.2">
      <c r="B123" s="1" t="s">
        <v>131</v>
      </c>
      <c r="C123" s="6"/>
      <c r="D123" s="6">
        <f>SUM(D121:D122)</f>
        <v>7334.1903215158236</v>
      </c>
      <c r="E123" s="6">
        <f>+E118</f>
        <v>3790</v>
      </c>
    </row>
    <row r="124" spans="2:8" x14ac:dyDescent="0.2">
      <c r="C124" s="6"/>
      <c r="D124" s="6"/>
      <c r="E124" s="6"/>
    </row>
    <row r="125" spans="2:8" x14ac:dyDescent="0.2">
      <c r="B125" s="1" t="s">
        <v>624</v>
      </c>
      <c r="C125" s="6"/>
      <c r="D125" s="6"/>
      <c r="E125" s="6">
        <f>SUM(D121:E121)</f>
        <v>10584.190321515824</v>
      </c>
    </row>
    <row r="126" spans="2:8" x14ac:dyDescent="0.2">
      <c r="B126" s="1" t="s">
        <v>625</v>
      </c>
      <c r="C126" s="6"/>
      <c r="D126" s="6"/>
      <c r="E126" s="6">
        <f>+E122</f>
        <v>540</v>
      </c>
    </row>
    <row r="127" spans="2:8" ht="12.75" thickBot="1" x14ac:dyDescent="0.25">
      <c r="B127" s="1" t="s">
        <v>626</v>
      </c>
      <c r="C127" s="6"/>
      <c r="D127" s="6"/>
      <c r="E127" s="14">
        <f>SUM(E125:E126)</f>
        <v>11124.190321515824</v>
      </c>
    </row>
    <row r="128" spans="2:8" ht="12.75" thickTop="1" x14ac:dyDescent="0.2">
      <c r="C128" s="6"/>
      <c r="D128" s="6"/>
      <c r="E128" s="6"/>
    </row>
    <row r="129" spans="2:6" x14ac:dyDescent="0.2">
      <c r="C129" s="6"/>
      <c r="D129" s="6"/>
      <c r="E129" s="6"/>
    </row>
    <row r="130" spans="2:6" x14ac:dyDescent="0.2">
      <c r="B130" s="1" t="s">
        <v>78</v>
      </c>
      <c r="C130" s="6">
        <v>0</v>
      </c>
      <c r="D130" s="6">
        <v>0</v>
      </c>
      <c r="E130" s="6">
        <v>6</v>
      </c>
    </row>
    <row r="131" spans="2:6" x14ac:dyDescent="0.2">
      <c r="B131" s="1" t="s">
        <v>79</v>
      </c>
      <c r="C131" s="6"/>
      <c r="D131" s="6"/>
      <c r="E131" s="6">
        <f>+E130-E99</f>
        <v>-6534</v>
      </c>
    </row>
    <row r="133" spans="2:6" x14ac:dyDescent="0.2">
      <c r="B133" s="1" t="s">
        <v>627</v>
      </c>
      <c r="E133" s="6">
        <f>+E127</f>
        <v>11124.190321515824</v>
      </c>
    </row>
    <row r="134" spans="2:6" x14ac:dyDescent="0.2">
      <c r="C134" s="1" t="s">
        <v>311</v>
      </c>
      <c r="F134" s="6">
        <f>+E125</f>
        <v>10584.190321515824</v>
      </c>
    </row>
    <row r="135" spans="2:6" x14ac:dyDescent="0.2">
      <c r="C135" s="1" t="s">
        <v>628</v>
      </c>
      <c r="F135" s="6">
        <f>+E126</f>
        <v>540</v>
      </c>
    </row>
    <row r="136" spans="2:6" x14ac:dyDescent="0.2">
      <c r="B136" s="1" t="s">
        <v>629</v>
      </c>
    </row>
  </sheetData>
  <hyperlinks>
    <hyperlink ref="A1" location="Main!A1" display="Main" xr:uid="{54BEADCE-E6CE-4763-85BF-8C6348EB7762}"/>
  </hyperlink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Sheet1</vt:lpstr>
      <vt:lpstr>Sheet2</vt:lpstr>
      <vt:lpstr>Main</vt:lpstr>
      <vt:lpstr>AMQ1</vt:lpstr>
      <vt:lpstr>AMQ3</vt:lpstr>
      <vt:lpstr>AMQ6</vt:lpstr>
      <vt:lpstr>AMQ7</vt:lpstr>
      <vt:lpstr>AMQ10</vt:lpstr>
      <vt:lpstr>AMQ17</vt:lpstr>
      <vt:lpstr>AMQ18</vt:lpstr>
      <vt:lpstr>AMQ20</vt:lpstr>
      <vt:lpstr>AMQ22</vt:lpstr>
      <vt:lpstr>AMQ23</vt:lpstr>
      <vt:lpstr>AMQ24</vt:lpstr>
      <vt:lpstr>AMQ35</vt:lpstr>
      <vt:lpstr>AMQ38</vt:lpstr>
      <vt:lpstr>AMQ42</vt:lpstr>
    </vt:vector>
  </TitlesOfParts>
  <Company>Deloitte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bcornish</dc:creator>
  <cp:lastModifiedBy>Cornish, Bob</cp:lastModifiedBy>
  <cp:lastPrinted>2023-05-14T14:02:51Z</cp:lastPrinted>
  <dcterms:created xsi:type="dcterms:W3CDTF">2023-05-01T11:00:57Z</dcterms:created>
  <dcterms:modified xsi:type="dcterms:W3CDTF">2023-05-17T18:25:59Z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a60d57e-af5b-4752-ac57-3e4f28ca11dc_Enabled">
    <vt:lpwstr>true</vt:lpwstr>
  </property>
  <property fmtid="{D5CDD505-2E9C-101B-9397-08002B2CF9AE}" pid="3" name="MSIP_Label_ea60d57e-af5b-4752-ac57-3e4f28ca11dc_SetDate">
    <vt:lpwstr>2023-05-01T11:00:59Z</vt:lpwstr>
  </property>
  <property fmtid="{D5CDD505-2E9C-101B-9397-08002B2CF9AE}" pid="4" name="MSIP_Label_ea60d57e-af5b-4752-ac57-3e4f28ca11dc_Method">
    <vt:lpwstr>Standard</vt:lpwstr>
  </property>
  <property fmtid="{D5CDD505-2E9C-101B-9397-08002B2CF9AE}" pid="5" name="MSIP_Label_ea60d57e-af5b-4752-ac57-3e4f28ca11dc_Name">
    <vt:lpwstr>ea60d57e-af5b-4752-ac57-3e4f28ca11dc</vt:lpwstr>
  </property>
  <property fmtid="{D5CDD505-2E9C-101B-9397-08002B2CF9AE}" pid="6" name="MSIP_Label_ea60d57e-af5b-4752-ac57-3e4f28ca11dc_SiteId">
    <vt:lpwstr>36da45f1-dd2c-4d1f-af13-5abe46b99921</vt:lpwstr>
  </property>
  <property fmtid="{D5CDD505-2E9C-101B-9397-08002B2CF9AE}" pid="7" name="MSIP_Label_ea60d57e-af5b-4752-ac57-3e4f28ca11dc_ActionId">
    <vt:lpwstr>c0ab4a21-b8d8-494b-a9a0-e3b2f232eddc</vt:lpwstr>
  </property>
  <property fmtid="{D5CDD505-2E9C-101B-9397-08002B2CF9AE}" pid="8" name="MSIP_Label_ea60d57e-af5b-4752-ac57-3e4f28ca11dc_ContentBits">
    <vt:lpwstr>0</vt:lpwstr>
  </property>
</Properties>
</file>